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Lucas\TA_results_final_6\"/>
    </mc:Choice>
  </mc:AlternateContent>
  <xr:revisionPtr revIDLastSave="0" documentId="8_{84EB6FBF-CA35-4BA9-A699-219FF913DF3C}" xr6:coauthVersionLast="47" xr6:coauthVersionMax="47" xr10:uidLastSave="{00000000-0000-0000-0000-000000000000}"/>
  <bookViews>
    <workbookView xWindow="1788" yWindow="-17388" windowWidth="30936" windowHeight="16776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13" i="1" l="1"/>
  <c r="P2113" i="1"/>
  <c r="O2113" i="1"/>
  <c r="N2113" i="1"/>
  <c r="M2113" i="1"/>
  <c r="L2113" i="1"/>
  <c r="K2113" i="1"/>
  <c r="J2113" i="1"/>
  <c r="I2113" i="1"/>
  <c r="H2113" i="1"/>
  <c r="G2113" i="1"/>
  <c r="F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M1693" i="1" a="1"/>
  <c r="M1693" i="1" s="1"/>
  <c r="L1693" i="1" a="1"/>
  <c r="L1693" i="1"/>
  <c r="K1693" i="1" a="1"/>
  <c r="K1693" i="1" s="1"/>
  <c r="I1693" i="1" a="1"/>
  <c r="I1693" i="1" s="1"/>
  <c r="H1693" i="1" a="1"/>
  <c r="H1693" i="1" s="1"/>
  <c r="G1693" i="1" a="1"/>
  <c r="G1693" i="1" s="1"/>
  <c r="J1693" i="1" a="1"/>
  <c r="J1693" i="1" s="1"/>
  <c r="F1693" i="1" a="1"/>
  <c r="F1693" i="1" s="1"/>
  <c r="Q1693" i="1" a="1"/>
  <c r="Q1693" i="1" s="1"/>
  <c r="P1693" i="1" a="1"/>
  <c r="P1693" i="1"/>
  <c r="O1693" i="1" a="1"/>
  <c r="O1693" i="1"/>
  <c r="N1693" i="1" a="1"/>
  <c r="N1693" i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I2231" i="1" a="1"/>
  <c r="I2231" i="1"/>
  <c r="J2232" i="1" a="1"/>
  <c r="J2232" i="1"/>
  <c r="N2231" i="1" a="1"/>
  <c r="N2231" i="1"/>
  <c r="H2231" i="1" a="1"/>
  <c r="H2231" i="1" s="1"/>
  <c r="F2231" i="1" a="1"/>
  <c r="F2231" i="1" s="1"/>
  <c r="P2231" i="1" a="1"/>
  <c r="P2231" i="1" s="1"/>
  <c r="L2232" i="1" a="1"/>
  <c r="L2232" i="1" s="1"/>
  <c r="Q2232" i="1" a="1"/>
  <c r="Q2232" i="1" s="1"/>
  <c r="N2232" i="1" a="1"/>
  <c r="N2232" i="1" s="1"/>
  <c r="G2231" i="1" a="1"/>
  <c r="G2231" i="1" s="1"/>
  <c r="O2231" i="1" a="1"/>
  <c r="O2231" i="1" s="1"/>
  <c r="O2232" i="1" a="1"/>
  <c r="O2232" i="1" s="1"/>
  <c r="M2231" i="1" a="1"/>
  <c r="M2231" i="1" s="1"/>
  <c r="P2232" i="1" a="1"/>
  <c r="P2232" i="1" s="1"/>
  <c r="L2231" i="1" a="1"/>
  <c r="L2231" i="1" s="1"/>
  <c r="J2231" i="1" a="1"/>
  <c r="J2231" i="1"/>
  <c r="O2230" i="1" a="1"/>
  <c r="O2230" i="1"/>
  <c r="N2230" i="1" a="1"/>
  <c r="N2230" i="1" s="1"/>
  <c r="I2232" i="1" a="1"/>
  <c r="I2232" i="1" s="1"/>
  <c r="Q2231" i="1" a="1"/>
  <c r="Q2231" i="1"/>
  <c r="M2232" i="1" a="1"/>
  <c r="M2232" i="1" s="1"/>
  <c r="K2232" i="1" a="1"/>
  <c r="K2232" i="1" s="1"/>
  <c r="H2232" i="1" a="1"/>
  <c r="H2232" i="1" s="1"/>
  <c r="K2231" i="1" a="1"/>
  <c r="K2231" i="1" s="1"/>
  <c r="F2232" i="1" a="1"/>
  <c r="F2232" i="1"/>
  <c r="G2232" i="1" a="1"/>
  <c r="G2232" i="1"/>
  <c r="I2227" i="1" a="1"/>
  <c r="I2227" i="1"/>
  <c r="I2228" i="1" s="1" a="1"/>
  <c r="I2228" i="1" s="1"/>
  <c r="H2226" i="1" a="1"/>
  <c r="H2226" i="1"/>
  <c r="J2226" i="1" a="1"/>
  <c r="J2226" i="1"/>
  <c r="H2229" i="1" a="1"/>
  <c r="H2229" i="1"/>
  <c r="H2230" i="1" s="1" a="1"/>
  <c r="H2230" i="1" s="1"/>
  <c r="J2229" i="1" a="1"/>
  <c r="J2229" i="1"/>
  <c r="J2230" i="1" s="1" a="1"/>
  <c r="J2230" i="1" s="1"/>
  <c r="I2229" i="1" a="1"/>
  <c r="I2229" i="1" s="1"/>
  <c r="N2228" i="1" a="1"/>
  <c r="N2228" i="1" s="1"/>
  <c r="Q2226" i="1" a="1"/>
  <c r="Q2226" i="1" s="1"/>
  <c r="K2228" i="1" a="1"/>
  <c r="K2228" i="1" s="1"/>
  <c r="P2227" i="1" a="1"/>
  <c r="P2227" i="1" s="1"/>
  <c r="P2228" i="1" s="1" a="1"/>
  <c r="P2228" i="1" s="1"/>
  <c r="K2226" i="1" a="1"/>
  <c r="K2226" i="1" s="1"/>
  <c r="K2227" i="1" a="1"/>
  <c r="K2227" i="1"/>
  <c r="Q2227" i="1" a="1"/>
  <c r="Q2227" i="1" s="1"/>
  <c r="Q2228" i="1" s="1" a="1"/>
  <c r="Q2228" i="1" s="1"/>
  <c r="M2227" i="1" a="1"/>
  <c r="M2227" i="1" s="1"/>
  <c r="M2228" i="1" s="1" a="1"/>
  <c r="M2228" i="1" s="1"/>
  <c r="H2227" i="1" a="1"/>
  <c r="H2227" i="1" s="1"/>
  <c r="H2228" i="1" s="1" a="1"/>
  <c r="H2228" i="1" s="1"/>
  <c r="F2227" i="1" a="1"/>
  <c r="F2227" i="1" s="1"/>
  <c r="F2228" i="1" s="1" a="1"/>
  <c r="F2228" i="1" s="1"/>
  <c r="L2226" i="1" a="1"/>
  <c r="L2226" i="1" s="1"/>
  <c r="P2226" i="1" a="1"/>
  <c r="P2226" i="1" s="1"/>
  <c r="M2226" i="1" a="1"/>
  <c r="M2226" i="1" s="1"/>
  <c r="M2229" i="1" a="1"/>
  <c r="M2229" i="1" s="1"/>
  <c r="M2230" i="1" s="1" a="1"/>
  <c r="M2230" i="1" s="1"/>
  <c r="I2226" i="1" a="1"/>
  <c r="I2226" i="1"/>
  <c r="K2229" i="1" a="1"/>
  <c r="K2229" i="1"/>
  <c r="K2230" i="1" s="1" a="1"/>
  <c r="K2230" i="1" s="1"/>
  <c r="J2227" i="1" a="1"/>
  <c r="J2227" i="1" s="1"/>
  <c r="J2228" i="1" s="1" a="1"/>
  <c r="J2228" i="1" s="1"/>
  <c r="I2230" i="1" a="1"/>
  <c r="I2230" i="1" s="1"/>
  <c r="F2230" i="1" a="1"/>
  <c r="F2230" i="1" s="1"/>
  <c r="P2229" i="1" a="1"/>
  <c r="P2229" i="1"/>
  <c r="P2230" i="1" s="1" a="1"/>
  <c r="P2230" i="1" s="1"/>
  <c r="L2229" i="1" a="1"/>
  <c r="L2229" i="1" s="1"/>
  <c r="L2230" i="1" s="1" a="1"/>
  <c r="L2230" i="1" s="1"/>
  <c r="G2229" i="1" a="1"/>
  <c r="G2229" i="1" s="1"/>
  <c r="G2230" i="1" s="1" a="1"/>
  <c r="G2230" i="1" s="1"/>
  <c r="N2227" i="1" a="1"/>
  <c r="N2227" i="1" s="1"/>
  <c r="L2227" i="1" a="1"/>
  <c r="L2227" i="1" s="1"/>
  <c r="L2228" i="1" s="1" a="1"/>
  <c r="L2228" i="1" s="1"/>
  <c r="K2225" i="1" a="1"/>
  <c r="K2225" i="1" s="1"/>
  <c r="O2226" i="1" a="1"/>
  <c r="O2226" i="1" s="1"/>
  <c r="N2226" i="1" a="1"/>
  <c r="N2226" i="1" s="1"/>
  <c r="G2226" i="1" a="1"/>
  <c r="G2226" i="1"/>
  <c r="F2229" i="1" a="1"/>
  <c r="F2229" i="1" s="1"/>
  <c r="G2227" i="1" a="1"/>
  <c r="G2227" i="1" s="1"/>
  <c r="G2228" i="1" s="1" a="1"/>
  <c r="G2228" i="1" s="1"/>
  <c r="Q2229" i="1" a="1"/>
  <c r="Q2229" i="1" s="1"/>
  <c r="Q2230" i="1" s="1" a="1"/>
  <c r="Q2230" i="1" s="1"/>
  <c r="N2229" i="1" a="1"/>
  <c r="N2229" i="1" s="1"/>
  <c r="Q2225" i="1" a="1"/>
  <c r="Q2225" i="1" s="1"/>
  <c r="F2226" i="1" a="1"/>
  <c r="F2226" i="1"/>
  <c r="O2227" i="1" a="1"/>
  <c r="O2227" i="1" s="1"/>
  <c r="O2228" i="1" s="1" a="1"/>
  <c r="O2228" i="1" s="1"/>
  <c r="O2229" i="1" a="1"/>
  <c r="O2229" i="1" s="1"/>
  <c r="Q2224" i="1" a="1"/>
  <c r="Q2224" i="1" s="1"/>
  <c r="P2224" i="1" a="1"/>
  <c r="P2224" i="1" s="1"/>
  <c r="P2225" i="1" s="1" a="1"/>
  <c r="P2225" i="1" s="1"/>
  <c r="O2224" i="1" a="1"/>
  <c r="O2224" i="1" s="1"/>
  <c r="O2225" i="1" s="1" a="1"/>
  <c r="O2225" i="1" s="1"/>
  <c r="J2222" i="1" a="1"/>
  <c r="J2222" i="1" s="1"/>
  <c r="I2224" i="1" a="1"/>
  <c r="I2224" i="1"/>
  <c r="I2225" i="1" s="1" a="1"/>
  <c r="I2225" i="1" s="1"/>
  <c r="P2222" i="1" a="1"/>
  <c r="P2222" i="1" s="1"/>
  <c r="M2222" i="1" a="1"/>
  <c r="M2222" i="1" s="1"/>
  <c r="N2224" i="1" a="1"/>
  <c r="N2224" i="1" s="1"/>
  <c r="N2225" i="1" s="1" a="1"/>
  <c r="N2225" i="1" s="1"/>
  <c r="G2224" i="1" a="1"/>
  <c r="G2224" i="1" s="1"/>
  <c r="G2225" i="1" s="1" a="1"/>
  <c r="G2225" i="1" s="1"/>
  <c r="M2224" i="1" a="1"/>
  <c r="M2224" i="1" s="1"/>
  <c r="M2225" i="1" s="1" a="1"/>
  <c r="M2225" i="1" s="1"/>
  <c r="L2221" i="1" a="1"/>
  <c r="L2221" i="1" s="1"/>
  <c r="F2221" i="1" a="1"/>
  <c r="F2221" i="1" s="1"/>
  <c r="N2222" i="1" a="1"/>
  <c r="N2222" i="1" s="1"/>
  <c r="I2222" i="1" a="1"/>
  <c r="I2222" i="1"/>
  <c r="N2221" i="1" a="1"/>
  <c r="N2221" i="1"/>
  <c r="K2219" i="1" a="1"/>
  <c r="K2219" i="1"/>
  <c r="K2220" i="1" s="1" a="1"/>
  <c r="K2220" i="1" s="1"/>
  <c r="N2220" i="1" a="1"/>
  <c r="N2220" i="1" s="1"/>
  <c r="L2219" i="1" a="1"/>
  <c r="L2219" i="1" s="1"/>
  <c r="L2220" i="1" s="1" a="1"/>
  <c r="L2220" i="1" s="1"/>
  <c r="M2220" i="1" a="1"/>
  <c r="M2220" i="1"/>
  <c r="L2224" i="1" a="1"/>
  <c r="L2224" i="1" s="1"/>
  <c r="L2225" i="1" s="1" a="1"/>
  <c r="L2225" i="1" s="1"/>
  <c r="O2222" i="1" a="1"/>
  <c r="O2222" i="1" s="1"/>
  <c r="F2222" i="1" a="1"/>
  <c r="F2222" i="1" s="1"/>
  <c r="P2221" i="1" a="1"/>
  <c r="P2221" i="1" s="1"/>
  <c r="I2219" i="1" a="1"/>
  <c r="I2219" i="1" s="1"/>
  <c r="K2224" i="1" a="1"/>
  <c r="K2224" i="1" s="1"/>
  <c r="H2224" i="1" a="1"/>
  <c r="H2224" i="1" s="1"/>
  <c r="H2225" i="1" s="1" a="1"/>
  <c r="H2225" i="1" s="1"/>
  <c r="J2221" i="1" a="1"/>
  <c r="J2221" i="1" s="1"/>
  <c r="L2222" i="1" a="1"/>
  <c r="L2222" i="1" s="1"/>
  <c r="K2222" i="1" a="1"/>
  <c r="K2222" i="1"/>
  <c r="G2222" i="1" a="1"/>
  <c r="G2222" i="1"/>
  <c r="Q2219" i="1" a="1"/>
  <c r="Q2219" i="1" s="1"/>
  <c r="Q2220" i="1" s="1" a="1"/>
  <c r="Q2220" i="1" s="1"/>
  <c r="O2219" i="1" a="1"/>
  <c r="O2219" i="1"/>
  <c r="O2220" i="1" s="1" a="1"/>
  <c r="O2220" i="1" s="1"/>
  <c r="M2219" i="1" a="1"/>
  <c r="M2219" i="1" s="1"/>
  <c r="J2220" i="1" a="1"/>
  <c r="J2220" i="1" s="1"/>
  <c r="H2219" i="1" a="1"/>
  <c r="H2219" i="1" s="1"/>
  <c r="H2220" i="1" s="1" a="1"/>
  <c r="H2220" i="1" s="1"/>
  <c r="H2221" i="1" a="1"/>
  <c r="H2221" i="1" s="1"/>
  <c r="G2219" i="1" a="1"/>
  <c r="G2219" i="1" s="1"/>
  <c r="G2220" i="1" s="1" a="1"/>
  <c r="G2220" i="1" s="1"/>
  <c r="F2224" i="1" a="1"/>
  <c r="F2224" i="1"/>
  <c r="Q2222" i="1" a="1"/>
  <c r="Q2222" i="1" s="1"/>
  <c r="K2221" i="1" a="1"/>
  <c r="K2221" i="1" s="1"/>
  <c r="P2219" i="1" a="1"/>
  <c r="P2219" i="1"/>
  <c r="P2220" i="1" s="1" a="1"/>
  <c r="P2220" i="1" s="1"/>
  <c r="H2222" i="1" a="1"/>
  <c r="H2222" i="1"/>
  <c r="Q2221" i="1" a="1"/>
  <c r="Q2221" i="1"/>
  <c r="F2219" i="1" a="1"/>
  <c r="F2219" i="1" s="1"/>
  <c r="F2220" i="1" s="1" a="1"/>
  <c r="F2220" i="1" s="1"/>
  <c r="I2221" i="1" a="1"/>
  <c r="I2221" i="1" s="1"/>
  <c r="G2221" i="1" a="1"/>
  <c r="G2221" i="1" s="1"/>
  <c r="J2224" i="1" a="1"/>
  <c r="J2224" i="1" s="1"/>
  <c r="J2225" i="1" s="1" a="1"/>
  <c r="J2225" i="1" s="1"/>
  <c r="N2219" i="1" a="1"/>
  <c r="N2219" i="1" s="1"/>
  <c r="J2219" i="1" a="1"/>
  <c r="J2219" i="1" s="1"/>
  <c r="O2221" i="1" a="1"/>
  <c r="O2221" i="1" s="1"/>
  <c r="I2220" i="1" a="1"/>
  <c r="I2220" i="1" s="1"/>
  <c r="M2221" i="1" a="1"/>
  <c r="M2221" i="1" s="1"/>
  <c r="F2225" i="1" a="1"/>
  <c r="F2225" i="1" s="1"/>
  <c r="M2216" i="1" a="1"/>
  <c r="M2216" i="1" s="1"/>
  <c r="N2214" i="1" a="1"/>
  <c r="N2214" i="1" s="1"/>
  <c r="N2215" i="1" s="1" a="1"/>
  <c r="N2215" i="1" s="1"/>
  <c r="H2218" i="1" a="1"/>
  <c r="H2218" i="1" s="1"/>
  <c r="Q2214" i="1" a="1"/>
  <c r="Q2214" i="1" s="1"/>
  <c r="Q2215" i="1" s="1" a="1"/>
  <c r="Q2215" i="1" s="1"/>
  <c r="F2217" i="1" a="1"/>
  <c r="F2217" i="1" s="1"/>
  <c r="F2218" i="1" s="1" a="1"/>
  <c r="F2218" i="1" s="1"/>
  <c r="P2217" i="1" a="1"/>
  <c r="P2217" i="1"/>
  <c r="N2217" i="1" a="1"/>
  <c r="N2217" i="1"/>
  <c r="I2216" i="1" a="1"/>
  <c r="I2216" i="1"/>
  <c r="Q2212" i="1" a="1"/>
  <c r="Q2212" i="1"/>
  <c r="Q2217" i="1" a="1"/>
  <c r="Q2217" i="1"/>
  <c r="M2217" i="1" a="1"/>
  <c r="M2217" i="1"/>
  <c r="G2217" i="1" a="1"/>
  <c r="G2217" i="1"/>
  <c r="G2218" i="1" s="1" a="1"/>
  <c r="G2218" i="1" s="1"/>
  <c r="M2214" i="1" a="1"/>
  <c r="M2214" i="1" s="1"/>
  <c r="M2215" i="1" s="1" a="1"/>
  <c r="M2215" i="1" s="1"/>
  <c r="P2216" i="1" a="1"/>
  <c r="P2216" i="1" s="1"/>
  <c r="H2216" i="1" a="1"/>
  <c r="H2216" i="1" s="1"/>
  <c r="G2216" i="1" a="1"/>
  <c r="G2216" i="1" s="1"/>
  <c r="I2215" i="1" a="1"/>
  <c r="I2215" i="1" s="1"/>
  <c r="K2215" i="1" a="1"/>
  <c r="K2215" i="1" s="1"/>
  <c r="I2214" i="1" a="1"/>
  <c r="I2214" i="1" s="1"/>
  <c r="L2217" i="1" a="1"/>
  <c r="L2217" i="1" s="1"/>
  <c r="L2218" i="1" s="1" a="1"/>
  <c r="L2218" i="1" s="1"/>
  <c r="I2217" i="1" a="1"/>
  <c r="I2217" i="1" s="1"/>
  <c r="I2218" i="1" s="1" a="1"/>
  <c r="I2218" i="1" s="1"/>
  <c r="O2216" i="1" a="1"/>
  <c r="O2216" i="1" s="1"/>
  <c r="J2216" i="1" a="1"/>
  <c r="J2216" i="1" s="1"/>
  <c r="J2217" i="1" a="1"/>
  <c r="J2217" i="1" s="1"/>
  <c r="J2218" i="1" s="1" a="1"/>
  <c r="J2218" i="1" s="1"/>
  <c r="K2217" i="1" a="1"/>
  <c r="K2217" i="1" s="1"/>
  <c r="K2218" i="1" s="1" a="1"/>
  <c r="K2218" i="1" s="1"/>
  <c r="H2217" i="1" a="1"/>
  <c r="H2217" i="1"/>
  <c r="Q2216" i="1" a="1"/>
  <c r="Q2216" i="1" s="1"/>
  <c r="N2216" i="1" a="1"/>
  <c r="N2216" i="1" s="1"/>
  <c r="O2214" i="1" a="1"/>
  <c r="O2214" i="1" s="1"/>
  <c r="O2215" i="1" s="1" a="1"/>
  <c r="O2215" i="1" s="1"/>
  <c r="P2214" i="1" a="1"/>
  <c r="P2214" i="1" s="1"/>
  <c r="P2215" i="1" s="1" a="1"/>
  <c r="P2215" i="1" s="1"/>
  <c r="F2216" i="1" a="1"/>
  <c r="F2216" i="1" s="1"/>
  <c r="J2214" i="1" a="1"/>
  <c r="J2214" i="1" s="1"/>
  <c r="J2215" i="1" s="1" a="1"/>
  <c r="J2215" i="1" s="1"/>
  <c r="G2214" i="1" a="1"/>
  <c r="G2214" i="1" s="1"/>
  <c r="G2215" i="1" s="1" a="1"/>
  <c r="G2215" i="1" s="1"/>
  <c r="L2216" i="1" a="1"/>
  <c r="L2216" i="1"/>
  <c r="P2212" i="1" a="1"/>
  <c r="P2212" i="1"/>
  <c r="K2216" i="1" a="1"/>
  <c r="K2216" i="1"/>
  <c r="H2214" i="1" a="1"/>
  <c r="H2214" i="1"/>
  <c r="F2214" i="1" a="1"/>
  <c r="F2214" i="1" s="1"/>
  <c r="F2215" i="1" s="1" a="1"/>
  <c r="F2215" i="1" s="1"/>
  <c r="K2214" i="1" a="1"/>
  <c r="K2214" i="1" s="1"/>
  <c r="H2215" i="1" a="1"/>
  <c r="H2215" i="1" s="1"/>
  <c r="L2214" i="1" a="1"/>
  <c r="L2214" i="1" s="1"/>
  <c r="L2215" i="1" s="1" a="1"/>
  <c r="L2215" i="1" s="1"/>
  <c r="Q2218" i="1" a="1"/>
  <c r="Q2218" i="1"/>
  <c r="P2218" i="1" a="1"/>
  <c r="P2218" i="1" s="1"/>
  <c r="M2218" i="1" a="1"/>
  <c r="M2218" i="1" s="1"/>
  <c r="O2217" i="1" a="1"/>
  <c r="O2217" i="1" s="1"/>
  <c r="O2218" i="1" s="1" a="1"/>
  <c r="O2218" i="1" s="1"/>
  <c r="N2218" i="1" a="1"/>
  <c r="N2218" i="1" s="1"/>
  <c r="I2212" i="1" a="1"/>
  <c r="I2212" i="1" s="1"/>
  <c r="H2212" i="1" a="1"/>
  <c r="H2212" i="1" s="1"/>
  <c r="N2211" i="1" a="1"/>
  <c r="N2211" i="1" s="1"/>
  <c r="O2210" i="1" a="1"/>
  <c r="O2210" i="1"/>
  <c r="H2208" i="1" a="1"/>
  <c r="H2208" i="1"/>
  <c r="H2210" i="1" a="1"/>
  <c r="H2210" i="1"/>
  <c r="I2210" i="1" a="1"/>
  <c r="I2210" i="1" s="1"/>
  <c r="O2209" i="1" a="1"/>
  <c r="O2209" i="1" s="1"/>
  <c r="I2209" i="1" a="1"/>
  <c r="I2209" i="1" s="1"/>
  <c r="L2207" i="1" a="1"/>
  <c r="L2207" i="1" s="1"/>
  <c r="P2208" i="1" a="1"/>
  <c r="P2208" i="1" s="1"/>
  <c r="M2212" i="1" a="1"/>
  <c r="M2212" i="1" s="1"/>
  <c r="K2212" i="1" a="1"/>
  <c r="K2212" i="1"/>
  <c r="J2212" i="1" a="1"/>
  <c r="J2212" i="1"/>
  <c r="G2209" i="1" a="1"/>
  <c r="G2209" i="1" s="1"/>
  <c r="G2212" i="1" a="1"/>
  <c r="G2212" i="1" s="1"/>
  <c r="M2209" i="1" a="1"/>
  <c r="M2209" i="1" s="1"/>
  <c r="P2210" i="1" a="1"/>
  <c r="P2210" i="1" s="1"/>
  <c r="G2210" i="1" a="1"/>
  <c r="G2210" i="1" s="1"/>
  <c r="K2210" i="1" a="1"/>
  <c r="K2210" i="1"/>
  <c r="G2211" i="1" a="1"/>
  <c r="G2211" i="1"/>
  <c r="K2208" i="1" a="1"/>
  <c r="K2208" i="1" s="1"/>
  <c r="M2207" i="1" a="1"/>
  <c r="M2207" i="1"/>
  <c r="P2211" i="1" a="1"/>
  <c r="P2211" i="1"/>
  <c r="F2209" i="1" a="1"/>
  <c r="F2209" i="1" s="1"/>
  <c r="L2211" i="1" a="1"/>
  <c r="L2211" i="1" s="1"/>
  <c r="K2209" i="1" a="1"/>
  <c r="K2209" i="1"/>
  <c r="F2208" i="1" a="1"/>
  <c r="F2208" i="1" s="1"/>
  <c r="K2211" i="1" a="1"/>
  <c r="K2211" i="1" s="1"/>
  <c r="J2208" i="1" a="1"/>
  <c r="J2208" i="1" s="1"/>
  <c r="L2208" i="1" a="1"/>
  <c r="L2208" i="1" s="1"/>
  <c r="F2211" i="1" a="1"/>
  <c r="F2211" i="1"/>
  <c r="Q2207" i="1" a="1"/>
  <c r="Q2207" i="1"/>
  <c r="Q2208" i="1" a="1"/>
  <c r="Q2208" i="1"/>
  <c r="O2211" i="1" a="1"/>
  <c r="O2211" i="1"/>
  <c r="M2211" i="1" a="1"/>
  <c r="M2211" i="1"/>
  <c r="M2210" i="1" a="1"/>
  <c r="M2210" i="1" s="1"/>
  <c r="Q2209" i="1" a="1"/>
  <c r="Q2209" i="1" s="1"/>
  <c r="L2209" i="1" a="1"/>
  <c r="L2209" i="1"/>
  <c r="L2210" i="1" a="1"/>
  <c r="L2210" i="1" s="1"/>
  <c r="F2210" i="1" a="1"/>
  <c r="F2210" i="1" s="1"/>
  <c r="N2209" i="1" a="1"/>
  <c r="N2209" i="1" s="1"/>
  <c r="J2210" i="1" a="1"/>
  <c r="J2210" i="1" s="1"/>
  <c r="O2207" i="1" a="1"/>
  <c r="O2207" i="1" s="1"/>
  <c r="N2207" i="1" a="1"/>
  <c r="N2207" i="1" s="1"/>
  <c r="F2212" i="1" a="1"/>
  <c r="F2212" i="1" s="1"/>
  <c r="Q2211" i="1" a="1"/>
  <c r="Q2211" i="1" s="1"/>
  <c r="M2208" i="1" a="1"/>
  <c r="M2208" i="1" s="1"/>
  <c r="J2209" i="1" a="1"/>
  <c r="J2209" i="1" s="1"/>
  <c r="I2208" i="1" a="1"/>
  <c r="I2208" i="1" s="1"/>
  <c r="N2210" i="1" a="1"/>
  <c r="N2210" i="1"/>
  <c r="I2211" i="1" a="1"/>
  <c r="I2211" i="1"/>
  <c r="H2211" i="1" a="1"/>
  <c r="H2211" i="1" s="1"/>
  <c r="Q2210" i="1" a="1"/>
  <c r="Q2210" i="1"/>
  <c r="N2208" i="1" a="1"/>
  <c r="N2208" i="1" s="1"/>
  <c r="J2211" i="1" a="1"/>
  <c r="J2211" i="1" s="1"/>
  <c r="O2212" i="1" a="1"/>
  <c r="O2212" i="1" s="1"/>
  <c r="P2209" i="1" a="1"/>
  <c r="P2209" i="1" s="1"/>
  <c r="H2209" i="1" a="1"/>
  <c r="H2209" i="1" s="1"/>
  <c r="G2208" i="1" a="1"/>
  <c r="G2208" i="1" s="1"/>
  <c r="N2212" i="1" a="1"/>
  <c r="N2212" i="1"/>
  <c r="O2208" i="1" a="1"/>
  <c r="O2208" i="1"/>
  <c r="P2207" i="1" a="1"/>
  <c r="P2207" i="1"/>
  <c r="L2212" i="1" a="1"/>
  <c r="L2212" i="1"/>
  <c r="G2203" i="1" a="1"/>
  <c r="G2203" i="1"/>
  <c r="K2202" i="1" a="1"/>
  <c r="K2202" i="1"/>
  <c r="I2203" i="1" a="1"/>
  <c r="I2203" i="1"/>
  <c r="G2205" i="1" a="1"/>
  <c r="G2205" i="1"/>
  <c r="Q2206" i="1" a="1"/>
  <c r="Q2206" i="1" s="1"/>
  <c r="M2204" i="1" a="1"/>
  <c r="M2204" i="1" s="1"/>
  <c r="J2205" i="1" a="1"/>
  <c r="J2205" i="1" s="1"/>
  <c r="H2202" i="1" a="1"/>
  <c r="H2202" i="1" s="1"/>
  <c r="J2207" i="1" a="1"/>
  <c r="J2207" i="1" s="1"/>
  <c r="N2204" i="1" a="1"/>
  <c r="N2204" i="1" s="1"/>
  <c r="N2202" i="1" a="1"/>
  <c r="N2202" i="1"/>
  <c r="K2207" i="1" a="1"/>
  <c r="K2207" i="1" s="1"/>
  <c r="H2207" i="1" a="1"/>
  <c r="H2207" i="1" s="1"/>
  <c r="G2207" i="1" a="1"/>
  <c r="G2207" i="1" s="1"/>
  <c r="O2205" i="1" a="1"/>
  <c r="O2205" i="1" s="1"/>
  <c r="J2203" i="1" a="1"/>
  <c r="J2203" i="1" s="1"/>
  <c r="H2203" i="1" a="1"/>
  <c r="H2203" i="1" s="1"/>
  <c r="P2202" i="1" a="1"/>
  <c r="P2202" i="1"/>
  <c r="F2207" i="1" a="1"/>
  <c r="F2207" i="1" s="1"/>
  <c r="P2204" i="1" a="1"/>
  <c r="P2204" i="1"/>
  <c r="O2206" i="1" a="1"/>
  <c r="O2206" i="1" s="1"/>
  <c r="M2206" i="1" a="1"/>
  <c r="M2206" i="1" s="1"/>
  <c r="F2204" i="1" a="1"/>
  <c r="F2204" i="1" s="1"/>
  <c r="M2203" i="1" a="1"/>
  <c r="M2203" i="1"/>
  <c r="I2205" i="1" a="1"/>
  <c r="I2205" i="1" s="1"/>
  <c r="K2203" i="1" a="1"/>
  <c r="K2203" i="1" s="1"/>
  <c r="L2206" i="1" a="1"/>
  <c r="L2206" i="1" s="1"/>
  <c r="K2206" i="1" a="1"/>
  <c r="K2206" i="1"/>
  <c r="J2206" i="1" a="1"/>
  <c r="J2206" i="1"/>
  <c r="H2206" i="1" a="1"/>
  <c r="H2206" i="1"/>
  <c r="F2206" i="1" a="1"/>
  <c r="F2206" i="1"/>
  <c r="I2202" i="1" a="1"/>
  <c r="I2202" i="1"/>
  <c r="J2204" i="1" a="1"/>
  <c r="J2204" i="1"/>
  <c r="P2205" i="1" a="1"/>
  <c r="P2205" i="1"/>
  <c r="L2204" i="1" a="1"/>
  <c r="L2204" i="1" s="1"/>
  <c r="L2202" i="1" a="1"/>
  <c r="L2202" i="1" s="1"/>
  <c r="K2205" i="1" a="1"/>
  <c r="K2205" i="1" s="1"/>
  <c r="F2205" i="1" a="1"/>
  <c r="F2205" i="1"/>
  <c r="Q2204" i="1" a="1"/>
  <c r="Q2204" i="1" s="1"/>
  <c r="O2204" i="1" a="1"/>
  <c r="O2204" i="1" s="1"/>
  <c r="N2203" i="1" a="1"/>
  <c r="N2203" i="1" s="1"/>
  <c r="H2204" i="1" a="1"/>
  <c r="H2204" i="1"/>
  <c r="O2202" i="1" a="1"/>
  <c r="O2202" i="1" s="1"/>
  <c r="G2204" i="1" a="1"/>
  <c r="G2204" i="1" s="1"/>
  <c r="Q2203" i="1" a="1"/>
  <c r="Q2203" i="1" s="1"/>
  <c r="L2203" i="1" a="1"/>
  <c r="L2203" i="1" s="1"/>
  <c r="M2202" i="1" a="1"/>
  <c r="M2202" i="1" s="1"/>
  <c r="F2203" i="1" a="1"/>
  <c r="F2203" i="1" s="1"/>
  <c r="J2202" i="1" a="1"/>
  <c r="J2202" i="1" s="1"/>
  <c r="K2204" i="1" a="1"/>
  <c r="K2204" i="1" s="1"/>
  <c r="P2203" i="1" a="1"/>
  <c r="P2203" i="1" s="1"/>
  <c r="O2203" i="1" a="1"/>
  <c r="O2203" i="1" s="1"/>
  <c r="I2206" i="1" a="1"/>
  <c r="I2206" i="1"/>
  <c r="L2205" i="1" a="1"/>
  <c r="L2205" i="1" s="1"/>
  <c r="Q2205" i="1" a="1"/>
  <c r="Q2205" i="1"/>
  <c r="I2207" i="1" a="1"/>
  <c r="I2207" i="1" s="1"/>
  <c r="N2205" i="1" a="1"/>
  <c r="N2205" i="1" s="1"/>
  <c r="P2206" i="1" a="1"/>
  <c r="P2206" i="1" s="1"/>
  <c r="N2206" i="1" a="1"/>
  <c r="N2206" i="1"/>
  <c r="G2206" i="1" a="1"/>
  <c r="G2206" i="1"/>
  <c r="M2205" i="1" a="1"/>
  <c r="M2205" i="1"/>
  <c r="Q2202" i="1" a="1"/>
  <c r="Q2202" i="1"/>
  <c r="I2204" i="1" a="1"/>
  <c r="I2204" i="1" s="1"/>
  <c r="H2205" i="1" a="1"/>
  <c r="H2205" i="1" s="1"/>
  <c r="O2200" i="1" a="1"/>
  <c r="O2200" i="1" s="1"/>
  <c r="N2200" i="1" a="1"/>
  <c r="N2200" i="1"/>
  <c r="F2199" i="1" a="1"/>
  <c r="F2199" i="1" s="1"/>
  <c r="M2198" i="1" a="1"/>
  <c r="M2198" i="1"/>
  <c r="M2197" i="1" a="1"/>
  <c r="M2197" i="1" s="1"/>
  <c r="L2197" i="1" a="1"/>
  <c r="L2197" i="1"/>
  <c r="Q2200" i="1" a="1"/>
  <c r="Q2200" i="1" s="1"/>
  <c r="J2200" i="1" a="1"/>
  <c r="J2200" i="1" s="1"/>
  <c r="O2199" i="1" a="1"/>
  <c r="O2199" i="1"/>
  <c r="I2199" i="1" a="1"/>
  <c r="I2199" i="1" s="1"/>
  <c r="J2199" i="1" a="1"/>
  <c r="J2199" i="1" s="1"/>
  <c r="H2199" i="1" a="1"/>
  <c r="H2199" i="1" s="1"/>
  <c r="O2198" i="1" a="1"/>
  <c r="O2198" i="1" s="1"/>
  <c r="N2198" i="1" a="1"/>
  <c r="N2198" i="1" s="1"/>
  <c r="J2197" i="1" a="1"/>
  <c r="J2197" i="1" s="1"/>
  <c r="G2197" i="1" a="1"/>
  <c r="G2197" i="1"/>
  <c r="O2197" i="1" a="1"/>
  <c r="O2197" i="1"/>
  <c r="P2201" i="1" a="1"/>
  <c r="P2201" i="1"/>
  <c r="Q2197" i="1" a="1"/>
  <c r="Q2197" i="1" s="1"/>
  <c r="M2199" i="1" a="1"/>
  <c r="M2199" i="1" s="1"/>
  <c r="O2201" i="1" a="1"/>
  <c r="O2201" i="1" s="1"/>
  <c r="P2199" i="1" a="1"/>
  <c r="P2199" i="1"/>
  <c r="I2198" i="1" a="1"/>
  <c r="I2198" i="1" s="1"/>
  <c r="M2201" i="1" a="1"/>
  <c r="M2201" i="1" s="1"/>
  <c r="J2201" i="1" a="1"/>
  <c r="J2201" i="1" s="1"/>
  <c r="L2200" i="1" a="1"/>
  <c r="L2200" i="1"/>
  <c r="I2200" i="1" a="1"/>
  <c r="I2200" i="1" s="1"/>
  <c r="H2198" i="1" a="1"/>
  <c r="H2198" i="1" s="1"/>
  <c r="P2198" i="1" a="1"/>
  <c r="P2198" i="1" s="1"/>
  <c r="J2198" i="1" a="1"/>
  <c r="J2198" i="1" s="1"/>
  <c r="N2197" i="1" a="1"/>
  <c r="N2197" i="1" s="1"/>
  <c r="I2197" i="1" a="1"/>
  <c r="I2197" i="1" s="1"/>
  <c r="P2197" i="1" a="1"/>
  <c r="P2197" i="1"/>
  <c r="H2197" i="1" a="1"/>
  <c r="H2197" i="1" s="1"/>
  <c r="G2201" i="1" a="1"/>
  <c r="G2201" i="1" s="1"/>
  <c r="H2200" i="1" a="1"/>
  <c r="H2200" i="1"/>
  <c r="G2198" i="1" a="1"/>
  <c r="G2198" i="1" s="1"/>
  <c r="P2200" i="1" a="1"/>
  <c r="P2200" i="1"/>
  <c r="M2200" i="1" a="1"/>
  <c r="M2200" i="1" s="1"/>
  <c r="L2199" i="1" a="1"/>
  <c r="L2199" i="1"/>
  <c r="F2200" i="1" a="1"/>
  <c r="F2200" i="1" s="1"/>
  <c r="N2199" i="1" a="1"/>
  <c r="N2199" i="1" s="1"/>
  <c r="Q2199" i="1" a="1"/>
  <c r="Q2199" i="1" s="1"/>
  <c r="K2199" i="1" a="1"/>
  <c r="K2199" i="1" s="1"/>
  <c r="G2199" i="1" a="1"/>
  <c r="G2199" i="1"/>
  <c r="K2198" i="1" a="1"/>
  <c r="K2198" i="1"/>
  <c r="F2197" i="1" a="1"/>
  <c r="F2197" i="1"/>
  <c r="Q2201" i="1" a="1"/>
  <c r="Q2201" i="1" s="1"/>
  <c r="K2200" i="1" a="1"/>
  <c r="K2200" i="1"/>
  <c r="Q2198" i="1" a="1"/>
  <c r="Q2198" i="1" s="1"/>
  <c r="H2201" i="1" a="1"/>
  <c r="H2201" i="1" s="1"/>
  <c r="K2197" i="1" a="1"/>
  <c r="K2197" i="1" s="1"/>
  <c r="L2198" i="1" a="1"/>
  <c r="L2198" i="1" s="1"/>
  <c r="G2202" i="1" a="1"/>
  <c r="G2202" i="1" s="1"/>
  <c r="L2201" i="1" a="1"/>
  <c r="L2201" i="1" s="1"/>
  <c r="F2202" i="1" a="1"/>
  <c r="F2202" i="1" s="1"/>
  <c r="G2200" i="1" a="1"/>
  <c r="G2200" i="1" s="1"/>
  <c r="F2198" i="1" a="1"/>
  <c r="F2198" i="1"/>
  <c r="N2201" i="1" a="1"/>
  <c r="N2201" i="1"/>
  <c r="K2201" i="1" a="1"/>
  <c r="K2201" i="1" s="1"/>
  <c r="I2201" i="1" a="1"/>
  <c r="I2201" i="1" s="1"/>
  <c r="F2201" i="1" a="1"/>
  <c r="F2201" i="1" s="1"/>
  <c r="J2195" i="1" a="1"/>
  <c r="J2195" i="1"/>
  <c r="L2196" i="1" a="1"/>
  <c r="L2196" i="1" s="1"/>
  <c r="K2196" i="1" a="1"/>
  <c r="K2196" i="1"/>
  <c r="N2193" i="1" a="1"/>
  <c r="N2193" i="1"/>
  <c r="J2196" i="1" a="1"/>
  <c r="J2196" i="1"/>
  <c r="F2194" i="1" a="1"/>
  <c r="F2194" i="1" s="1"/>
  <c r="M2194" i="1" a="1"/>
  <c r="M2194" i="1" s="1"/>
  <c r="I2196" i="1" a="1"/>
  <c r="I2196" i="1" s="1"/>
  <c r="G2194" i="1" a="1"/>
  <c r="G2194" i="1" s="1"/>
  <c r="P2191" i="1" a="1"/>
  <c r="P2191" i="1" s="1"/>
  <c r="Q2194" i="1" a="1"/>
  <c r="Q2194" i="1" s="1"/>
  <c r="H2196" i="1" a="1"/>
  <c r="H2196" i="1" s="1"/>
  <c r="G2196" i="1" a="1"/>
  <c r="G2196" i="1" s="1"/>
  <c r="M2193" i="1" a="1"/>
  <c r="M2193" i="1"/>
  <c r="Q2195" i="1" a="1"/>
  <c r="Q2195" i="1"/>
  <c r="F2196" i="1" a="1"/>
  <c r="F2196" i="1"/>
  <c r="K2195" i="1" a="1"/>
  <c r="K2195" i="1"/>
  <c r="N2194" i="1" a="1"/>
  <c r="N2194" i="1"/>
  <c r="I2194" i="1" a="1"/>
  <c r="I2194" i="1"/>
  <c r="J2193" i="1" a="1"/>
  <c r="J2193" i="1" s="1"/>
  <c r="G2193" i="1" a="1"/>
  <c r="G2193" i="1" s="1"/>
  <c r="Q2191" i="1" a="1"/>
  <c r="Q2191" i="1" s="1"/>
  <c r="N2192" i="1" a="1"/>
  <c r="N2192" i="1" s="1"/>
  <c r="L2192" i="1" a="1"/>
  <c r="L2192" i="1"/>
  <c r="P2195" i="1" a="1"/>
  <c r="P2195" i="1" s="1"/>
  <c r="O2195" i="1" a="1"/>
  <c r="O2195" i="1"/>
  <c r="I2192" i="1" a="1"/>
  <c r="I2192" i="1"/>
  <c r="L2195" i="1" a="1"/>
  <c r="L2195" i="1"/>
  <c r="G2195" i="1" a="1"/>
  <c r="G2195" i="1" s="1"/>
  <c r="F2193" i="1" a="1"/>
  <c r="F2193" i="1" s="1"/>
  <c r="H2193" i="1" a="1"/>
  <c r="H2193" i="1" s="1"/>
  <c r="O2194" i="1" a="1"/>
  <c r="O2194" i="1"/>
  <c r="K2194" i="1" a="1"/>
  <c r="K2194" i="1" s="1"/>
  <c r="J2194" i="1" a="1"/>
  <c r="J2194" i="1" s="1"/>
  <c r="G2192" i="1" a="1"/>
  <c r="G2192" i="1" s="1"/>
  <c r="H2194" i="1" a="1"/>
  <c r="H2194" i="1" s="1"/>
  <c r="Q2193" i="1" a="1"/>
  <c r="Q2193" i="1" s="1"/>
  <c r="K2193" i="1" a="1"/>
  <c r="K2193" i="1"/>
  <c r="F2192" i="1" a="1"/>
  <c r="F2192" i="1" s="1"/>
  <c r="O2193" i="1" a="1"/>
  <c r="O2193" i="1" s="1"/>
  <c r="L2193" i="1" a="1"/>
  <c r="L2193" i="1" s="1"/>
  <c r="P2192" i="1" a="1"/>
  <c r="P2192" i="1" s="1"/>
  <c r="O2191" i="1" a="1"/>
  <c r="O2191" i="1" s="1"/>
  <c r="K2192" i="1" a="1"/>
  <c r="K2192" i="1" s="1"/>
  <c r="O2192" i="1" a="1"/>
  <c r="O2192" i="1"/>
  <c r="I2195" i="1" a="1"/>
  <c r="I2195" i="1"/>
  <c r="P2194" i="1" a="1"/>
  <c r="P2194" i="1"/>
  <c r="I2193" i="1" a="1"/>
  <c r="I2193" i="1"/>
  <c r="H2195" i="1" a="1"/>
  <c r="H2195" i="1" s="1"/>
  <c r="F2195" i="1" a="1"/>
  <c r="F2195" i="1" s="1"/>
  <c r="L2194" i="1" a="1"/>
  <c r="L2194" i="1" s="1"/>
  <c r="Q2196" i="1" a="1"/>
  <c r="Q2196" i="1"/>
  <c r="H2192" i="1" a="1"/>
  <c r="H2192" i="1" s="1"/>
  <c r="P2196" i="1" a="1"/>
  <c r="P2196" i="1"/>
  <c r="O2196" i="1" a="1"/>
  <c r="O2196" i="1" s="1"/>
  <c r="N2196" i="1" a="1"/>
  <c r="N2196" i="1"/>
  <c r="N2195" i="1" a="1"/>
  <c r="N2195" i="1"/>
  <c r="M2195" i="1" a="1"/>
  <c r="M2195" i="1"/>
  <c r="P2193" i="1" a="1"/>
  <c r="P2193" i="1"/>
  <c r="J2192" i="1" a="1"/>
  <c r="J2192" i="1" s="1"/>
  <c r="M2192" i="1" a="1"/>
  <c r="M2192" i="1" s="1"/>
  <c r="N2191" i="1" a="1"/>
  <c r="N2191" i="1" s="1"/>
  <c r="Q2192" i="1" a="1"/>
  <c r="Q2192" i="1" s="1"/>
  <c r="M2196" i="1" a="1"/>
  <c r="M2196" i="1" s="1"/>
  <c r="J2188" i="1" a="1"/>
  <c r="J2188" i="1" s="1"/>
  <c r="K2186" i="1" a="1"/>
  <c r="K2186" i="1" s="1"/>
  <c r="G2191" i="1" a="1"/>
  <c r="G2191" i="1" s="1"/>
  <c r="M2190" i="1" a="1"/>
  <c r="M2190" i="1" s="1"/>
  <c r="O2187" i="1" a="1"/>
  <c r="O2187" i="1"/>
  <c r="L2185" i="1" a="1"/>
  <c r="L2185" i="1" s="1"/>
  <c r="G2188" i="1" a="1"/>
  <c r="G2188" i="1"/>
  <c r="H2186" i="1" a="1"/>
  <c r="H2186" i="1" s="1"/>
  <c r="P2186" i="1" a="1"/>
  <c r="P2186" i="1" s="1"/>
  <c r="M2185" i="1" a="1"/>
  <c r="M2185" i="1" s="1"/>
  <c r="F2187" i="1" a="1"/>
  <c r="F2187" i="1" s="1"/>
  <c r="N2190" i="1" a="1"/>
  <c r="N2190" i="1"/>
  <c r="H2190" i="1" a="1"/>
  <c r="H2190" i="1" s="1"/>
  <c r="P2188" i="1" a="1"/>
  <c r="P2188" i="1" s="1"/>
  <c r="P2187" i="1" a="1"/>
  <c r="P2187" i="1" s="1"/>
  <c r="L2188" i="1" a="1"/>
  <c r="L2188" i="1"/>
  <c r="Q2187" i="1" a="1"/>
  <c r="Q2187" i="1"/>
  <c r="J2187" i="1" a="1"/>
  <c r="J2187" i="1" s="1"/>
  <c r="G2186" i="1" a="1"/>
  <c r="G2186" i="1"/>
  <c r="O2185" i="1" a="1"/>
  <c r="O2185" i="1"/>
  <c r="O2190" i="1" a="1"/>
  <c r="O2190" i="1" s="1"/>
  <c r="K2187" i="1" a="1"/>
  <c r="K2187" i="1" s="1"/>
  <c r="G2187" i="1" a="1"/>
  <c r="G2187" i="1" s="1"/>
  <c r="I2187" i="1" a="1"/>
  <c r="I2187" i="1"/>
  <c r="K2190" i="1" a="1"/>
  <c r="K2190" i="1" s="1"/>
  <c r="F2188" i="1" a="1"/>
  <c r="F2188" i="1"/>
  <c r="N2188" i="1" a="1"/>
  <c r="N2188" i="1" s="1"/>
  <c r="J2191" i="1" a="1"/>
  <c r="J2191" i="1" s="1"/>
  <c r="H2191" i="1" a="1"/>
  <c r="H2191" i="1" s="1"/>
  <c r="F2186" i="1" a="1"/>
  <c r="F2186" i="1" s="1"/>
  <c r="L2187" i="1" a="1"/>
  <c r="L2187" i="1"/>
  <c r="I2186" i="1" a="1"/>
  <c r="I2186" i="1" s="1"/>
  <c r="O2186" i="1" a="1"/>
  <c r="O2186" i="1"/>
  <c r="F2191" i="1" a="1"/>
  <c r="F2191" i="1" s="1"/>
  <c r="M2186" i="1" a="1"/>
  <c r="M2186" i="1" s="1"/>
  <c r="P2190" i="1" a="1"/>
  <c r="P2190" i="1"/>
  <c r="F2190" i="1" a="1"/>
  <c r="F2190" i="1" s="1"/>
  <c r="I2190" i="1" a="1"/>
  <c r="I2190" i="1" s="1"/>
  <c r="L2186" i="1" a="1"/>
  <c r="L2186" i="1" s="1"/>
  <c r="P2185" i="1" a="1"/>
  <c r="P2185" i="1"/>
  <c r="L2190" i="1" a="1"/>
  <c r="L2190" i="1" s="1"/>
  <c r="Q2185" i="1" a="1"/>
  <c r="Q2185" i="1" s="1"/>
  <c r="I2188" i="1" a="1"/>
  <c r="I2188" i="1" s="1"/>
  <c r="N2185" i="1" a="1"/>
  <c r="N2185" i="1" s="1"/>
  <c r="H2188" i="1" a="1"/>
  <c r="H2188" i="1"/>
  <c r="H2187" i="1" a="1"/>
  <c r="H2187" i="1" s="1"/>
  <c r="M2187" i="1" a="1"/>
  <c r="M2187" i="1"/>
  <c r="J2186" i="1" a="1"/>
  <c r="J2186" i="1"/>
  <c r="Q2188" i="1" a="1"/>
  <c r="Q2188" i="1" s="1"/>
  <c r="M2188" i="1" a="1"/>
  <c r="M2188" i="1" s="1"/>
  <c r="N2186" i="1" a="1"/>
  <c r="N2186" i="1" s="1"/>
  <c r="K2188" i="1" a="1"/>
  <c r="K2188" i="1" s="1"/>
  <c r="N2187" i="1" a="1"/>
  <c r="N2187" i="1" s="1"/>
  <c r="M2191" i="1" a="1"/>
  <c r="M2191" i="1"/>
  <c r="Q2186" i="1" a="1"/>
  <c r="Q2186" i="1" s="1"/>
  <c r="L2191" i="1" a="1"/>
  <c r="L2191" i="1" s="1"/>
  <c r="K2191" i="1" a="1"/>
  <c r="K2191" i="1" s="1"/>
  <c r="J2190" i="1" a="1"/>
  <c r="J2190" i="1" s="1"/>
  <c r="G2190" i="1" a="1"/>
  <c r="G2190" i="1" s="1"/>
  <c r="O2188" i="1" a="1"/>
  <c r="O2188" i="1"/>
  <c r="Q2190" i="1" a="1"/>
  <c r="Q2190" i="1" s="1"/>
  <c r="I2191" i="1" a="1"/>
  <c r="I2191" i="1"/>
  <c r="K2180" i="1" a="1"/>
  <c r="K2180" i="1"/>
  <c r="J2180" i="1" a="1"/>
  <c r="J2180" i="1" s="1"/>
  <c r="Q2181" i="1" a="1"/>
  <c r="Q2181" i="1"/>
  <c r="K2185" i="1" a="1"/>
  <c r="K2185" i="1" s="1"/>
  <c r="J2185" i="1" a="1"/>
  <c r="J2185" i="1" s="1"/>
  <c r="N2183" i="1" a="1"/>
  <c r="N2183" i="1" s="1"/>
  <c r="I2185" i="1" a="1"/>
  <c r="I2185" i="1" s="1"/>
  <c r="H2185" i="1" a="1"/>
  <c r="H2185" i="1" s="1"/>
  <c r="G2185" i="1" a="1"/>
  <c r="G2185" i="1" s="1"/>
  <c r="O2183" i="1" a="1"/>
  <c r="O2183" i="1" s="1"/>
  <c r="N2184" i="1" a="1"/>
  <c r="N2184" i="1" s="1"/>
  <c r="F2185" i="1" a="1"/>
  <c r="F2185" i="1"/>
  <c r="Q2184" i="1" a="1"/>
  <c r="Q2184" i="1" s="1"/>
  <c r="G2181" i="1" a="1"/>
  <c r="G2181" i="1"/>
  <c r="J2182" i="1" a="1"/>
  <c r="J2182" i="1" s="1"/>
  <c r="H2184" i="1" a="1"/>
  <c r="H2184" i="1"/>
  <c r="P2184" i="1" a="1"/>
  <c r="P2184" i="1" s="1"/>
  <c r="I2183" i="1" a="1"/>
  <c r="I2183" i="1" s="1"/>
  <c r="M2180" i="1" a="1"/>
  <c r="M2180" i="1" s="1"/>
  <c r="O2184" i="1" a="1"/>
  <c r="O2184" i="1" s="1"/>
  <c r="M2184" i="1" a="1"/>
  <c r="M2184" i="1" s="1"/>
  <c r="L2184" i="1" a="1"/>
  <c r="L2184" i="1" s="1"/>
  <c r="J2184" i="1" a="1"/>
  <c r="J2184" i="1" s="1"/>
  <c r="I2182" i="1" a="1"/>
  <c r="I2182" i="1" s="1"/>
  <c r="O2181" i="1" a="1"/>
  <c r="O2181" i="1" s="1"/>
  <c r="J2181" i="1" a="1"/>
  <c r="J2181" i="1" s="1"/>
  <c r="O2180" i="1" a="1"/>
  <c r="O2180" i="1" s="1"/>
  <c r="I2184" i="1" a="1"/>
  <c r="I2184" i="1" s="1"/>
  <c r="I2181" i="1" a="1"/>
  <c r="I2181" i="1"/>
  <c r="Q2183" i="1" a="1"/>
  <c r="Q2183" i="1" s="1"/>
  <c r="G2184" i="1" a="1"/>
  <c r="G2184" i="1"/>
  <c r="F2184" i="1" a="1"/>
  <c r="F2184" i="1" s="1"/>
  <c r="P2182" i="1" a="1"/>
  <c r="P2182" i="1"/>
  <c r="P2181" i="1" a="1"/>
  <c r="P2181" i="1" s="1"/>
  <c r="P2183" i="1" a="1"/>
  <c r="P2183" i="1" s="1"/>
  <c r="J2183" i="1" a="1"/>
  <c r="J2183" i="1" s="1"/>
  <c r="M2183" i="1" a="1"/>
  <c r="M2183" i="1" s="1"/>
  <c r="H2183" i="1" a="1"/>
  <c r="H2183" i="1"/>
  <c r="H2182" i="1" a="1"/>
  <c r="H2182" i="1" s="1"/>
  <c r="L2183" i="1" a="1"/>
  <c r="L2183" i="1" s="1"/>
  <c r="F2181" i="1" a="1"/>
  <c r="F2181" i="1" s="1"/>
  <c r="M2182" i="1" a="1"/>
  <c r="M2182" i="1" s="1"/>
  <c r="Q2180" i="1" a="1"/>
  <c r="Q2180" i="1"/>
  <c r="K2181" i="1" a="1"/>
  <c r="K2181" i="1" s="1"/>
  <c r="L2181" i="1" a="1"/>
  <c r="L2181" i="1"/>
  <c r="K2183" i="1" a="1"/>
  <c r="K2183" i="1" s="1"/>
  <c r="G2183" i="1" a="1"/>
  <c r="G2183" i="1"/>
  <c r="H2180" i="1" a="1"/>
  <c r="H2180" i="1" s="1"/>
  <c r="F2183" i="1" a="1"/>
  <c r="F2183" i="1" s="1"/>
  <c r="L2182" i="1" a="1"/>
  <c r="L2182" i="1" s="1"/>
  <c r="N2181" i="1" a="1"/>
  <c r="N2181" i="1" s="1"/>
  <c r="M2181" i="1" a="1"/>
  <c r="M2181" i="1" s="1"/>
  <c r="N2180" i="1" a="1"/>
  <c r="N2180" i="1" s="1"/>
  <c r="I2180" i="1" a="1"/>
  <c r="I2180" i="1"/>
  <c r="L2180" i="1" a="1"/>
  <c r="L2180" i="1"/>
  <c r="H2181" i="1" a="1"/>
  <c r="H2181" i="1"/>
  <c r="N2182" i="1" a="1"/>
  <c r="N2182" i="1" s="1"/>
  <c r="O2182" i="1" a="1"/>
  <c r="O2182" i="1" s="1"/>
  <c r="K2182" i="1" a="1"/>
  <c r="K2182" i="1" s="1"/>
  <c r="G2182" i="1" a="1"/>
  <c r="G2182" i="1"/>
  <c r="F2182" i="1" a="1"/>
  <c r="F2182" i="1" s="1"/>
  <c r="P2180" i="1" a="1"/>
  <c r="P2180" i="1"/>
  <c r="K2184" i="1" a="1"/>
  <c r="K2184" i="1" s="1"/>
  <c r="Q2182" i="1" a="1"/>
  <c r="Q2182" i="1" s="1"/>
  <c r="F2175" i="1" a="1"/>
  <c r="F2175" i="1" s="1"/>
  <c r="F2180" i="1" a="1"/>
  <c r="F2180" i="1"/>
  <c r="Q2179" i="1" a="1"/>
  <c r="Q2179" i="1" s="1"/>
  <c r="I2176" i="1" a="1"/>
  <c r="I2176" i="1"/>
  <c r="P2179" i="1" a="1"/>
  <c r="P2179" i="1" s="1"/>
  <c r="O2179" i="1" a="1"/>
  <c r="O2179" i="1" s="1"/>
  <c r="N2178" i="1" a="1"/>
  <c r="N2178" i="1"/>
  <c r="I2177" i="1" a="1"/>
  <c r="I2177" i="1"/>
  <c r="O2176" i="1" a="1"/>
  <c r="O2176" i="1"/>
  <c r="Q2175" i="1" a="1"/>
  <c r="Q2175" i="1"/>
  <c r="H2179" i="1" a="1"/>
  <c r="H2179" i="1" s="1"/>
  <c r="N2179" i="1" a="1"/>
  <c r="N2179" i="1"/>
  <c r="L2179" i="1" a="1"/>
  <c r="L2179" i="1" s="1"/>
  <c r="G2179" i="1" a="1"/>
  <c r="G2179" i="1" s="1"/>
  <c r="P2176" i="1" a="1"/>
  <c r="P2176" i="1" s="1"/>
  <c r="Q2174" i="1" a="1"/>
  <c r="Q2174" i="1" s="1"/>
  <c r="O2175" i="1" a="1"/>
  <c r="O2175" i="1" s="1"/>
  <c r="Q2177" i="1" a="1"/>
  <c r="Q2177" i="1"/>
  <c r="H2175" i="1" a="1"/>
  <c r="H2175" i="1" s="1"/>
  <c r="K2179" i="1" a="1"/>
  <c r="K2179" i="1"/>
  <c r="J2179" i="1" a="1"/>
  <c r="J2179" i="1" s="1"/>
  <c r="I2179" i="1" a="1"/>
  <c r="I2179" i="1" s="1"/>
  <c r="O2178" i="1" a="1"/>
  <c r="O2178" i="1"/>
  <c r="K2177" i="1" a="1"/>
  <c r="K2177" i="1" s="1"/>
  <c r="K2178" i="1" a="1"/>
  <c r="K2178" i="1" s="1"/>
  <c r="F2177" i="1" a="1"/>
  <c r="F2177" i="1" s="1"/>
  <c r="J2175" i="1" a="1"/>
  <c r="J2175" i="1" s="1"/>
  <c r="H2176" i="1" a="1"/>
  <c r="H2176" i="1" s="1"/>
  <c r="I2178" i="1" a="1"/>
  <c r="I2178" i="1" s="1"/>
  <c r="F2179" i="1" a="1"/>
  <c r="F2179" i="1" s="1"/>
  <c r="Q2178" i="1" a="1"/>
  <c r="Q2178" i="1"/>
  <c r="P2178" i="1" a="1"/>
  <c r="P2178" i="1" s="1"/>
  <c r="G2176" i="1" a="1"/>
  <c r="G2176" i="1" s="1"/>
  <c r="M2178" i="1" a="1"/>
  <c r="M2178" i="1" s="1"/>
  <c r="J2178" i="1" a="1"/>
  <c r="J2178" i="1" s="1"/>
  <c r="G2178" i="1" a="1"/>
  <c r="G2178" i="1" s="1"/>
  <c r="P2177" i="1" a="1"/>
  <c r="P2177" i="1"/>
  <c r="Q2176" i="1" a="1"/>
  <c r="Q2176" i="1" s="1"/>
  <c r="M2176" i="1" a="1"/>
  <c r="M2176" i="1" s="1"/>
  <c r="H2177" i="1" a="1"/>
  <c r="H2177" i="1" s="1"/>
  <c r="L2175" i="1" a="1"/>
  <c r="L2175" i="1" s="1"/>
  <c r="N2176" i="1" a="1"/>
  <c r="N2176" i="1" s="1"/>
  <c r="L2176" i="1" a="1"/>
  <c r="L2176" i="1" s="1"/>
  <c r="J2177" i="1" a="1"/>
  <c r="J2177" i="1"/>
  <c r="G2177" i="1" a="1"/>
  <c r="G2177" i="1" s="1"/>
  <c r="L2177" i="1" a="1"/>
  <c r="L2177" i="1"/>
  <c r="K2176" i="1" a="1"/>
  <c r="K2176" i="1"/>
  <c r="N2175" i="1" a="1"/>
  <c r="N2175" i="1" s="1"/>
  <c r="F2178" i="1" a="1"/>
  <c r="F2178" i="1" s="1"/>
  <c r="O2177" i="1" a="1"/>
  <c r="O2177" i="1" s="1"/>
  <c r="M2177" i="1" a="1"/>
  <c r="M2177" i="1" s="1"/>
  <c r="M2175" i="1" a="1"/>
  <c r="M2175" i="1" s="1"/>
  <c r="N2177" i="1" a="1"/>
  <c r="N2177" i="1"/>
  <c r="I2175" i="1" a="1"/>
  <c r="I2175" i="1" s="1"/>
  <c r="G2175" i="1" a="1"/>
  <c r="G2175" i="1" s="1"/>
  <c r="H2178" i="1" a="1"/>
  <c r="H2178" i="1" s="1"/>
  <c r="G2180" i="1" a="1"/>
  <c r="G2180" i="1" s="1"/>
  <c r="M2179" i="1" a="1"/>
  <c r="M2179" i="1"/>
  <c r="L2178" i="1" a="1"/>
  <c r="L2178" i="1" s="1"/>
  <c r="J2176" i="1" a="1"/>
  <c r="J2176" i="1"/>
  <c r="K2175" i="1" a="1"/>
  <c r="K2175" i="1" s="1"/>
  <c r="P2174" i="1" a="1"/>
  <c r="P2174" i="1"/>
  <c r="F2176" i="1" a="1"/>
  <c r="F2176" i="1" s="1"/>
  <c r="P2175" i="1" a="1"/>
  <c r="P2175" i="1" s="1"/>
  <c r="K2173" i="1" a="1"/>
  <c r="K2173" i="1"/>
  <c r="K2170" i="1" a="1"/>
  <c r="K2170" i="1"/>
  <c r="I2173" i="1" a="1"/>
  <c r="I2173" i="1"/>
  <c r="Q2172" i="1" a="1"/>
  <c r="Q2172" i="1" s="1"/>
  <c r="P2170" i="1" a="1"/>
  <c r="P2170" i="1" s="1"/>
  <c r="H2170" i="1" a="1"/>
  <c r="H2170" i="1" s="1"/>
  <c r="N2169" i="1" a="1"/>
  <c r="N2169" i="1" s="1"/>
  <c r="J2173" i="1" a="1"/>
  <c r="J2173" i="1" s="1"/>
  <c r="N2170" i="1" a="1"/>
  <c r="N2170" i="1" s="1"/>
  <c r="L2171" i="1" a="1"/>
  <c r="L2171" i="1" s="1"/>
  <c r="G2172" i="1" a="1"/>
  <c r="G2172" i="1"/>
  <c r="O2174" i="1" a="1"/>
  <c r="O2174" i="1" s="1"/>
  <c r="N2174" i="1" a="1"/>
  <c r="N2174" i="1"/>
  <c r="M2174" i="1" a="1"/>
  <c r="M2174" i="1" s="1"/>
  <c r="K2174" i="1" a="1"/>
  <c r="K2174" i="1" s="1"/>
  <c r="L2172" i="1" a="1"/>
  <c r="L2172" i="1" s="1"/>
  <c r="F2173" i="1" a="1"/>
  <c r="F2173" i="1" s="1"/>
  <c r="Q2170" i="1" a="1"/>
  <c r="Q2170" i="1"/>
  <c r="J2174" i="1" a="1"/>
  <c r="J2174" i="1" s="1"/>
  <c r="F2171" i="1" a="1"/>
  <c r="F2171" i="1" s="1"/>
  <c r="O2173" i="1" a="1"/>
  <c r="O2173" i="1" s="1"/>
  <c r="H2173" i="1" a="1"/>
  <c r="H2173" i="1" s="1"/>
  <c r="M2171" i="1" a="1"/>
  <c r="M2171" i="1" s="1"/>
  <c r="O2170" i="1" a="1"/>
  <c r="O2170" i="1"/>
  <c r="G2170" i="1" a="1"/>
  <c r="G2170" i="1"/>
  <c r="M2169" i="1" a="1"/>
  <c r="M2169" i="1" s="1"/>
  <c r="I2171" i="1" a="1"/>
  <c r="I2171" i="1"/>
  <c r="I2172" i="1" a="1"/>
  <c r="I2172" i="1" s="1"/>
  <c r="I2174" i="1" a="1"/>
  <c r="I2174" i="1"/>
  <c r="Q2173" i="1" a="1"/>
  <c r="Q2173" i="1"/>
  <c r="N2172" i="1" a="1"/>
  <c r="N2172" i="1" s="1"/>
  <c r="N2173" i="1" a="1"/>
  <c r="N2173" i="1"/>
  <c r="Q2171" i="1" a="1"/>
  <c r="Q2171" i="1" s="1"/>
  <c r="F2170" i="1" a="1"/>
  <c r="F2170" i="1" s="1"/>
  <c r="L2169" i="1" a="1"/>
  <c r="L2169" i="1" s="1"/>
  <c r="G2173" i="1" a="1"/>
  <c r="G2173" i="1"/>
  <c r="L2173" i="1" a="1"/>
  <c r="L2173" i="1"/>
  <c r="O2172" i="1" a="1"/>
  <c r="O2172" i="1"/>
  <c r="K2172" i="1" a="1"/>
  <c r="K2172" i="1" s="1"/>
  <c r="G2171" i="1" a="1"/>
  <c r="G2171" i="1" s="1"/>
  <c r="J2172" i="1" a="1"/>
  <c r="J2172" i="1" s="1"/>
  <c r="H2171" i="1" a="1"/>
  <c r="H2171" i="1"/>
  <c r="K2171" i="1" a="1"/>
  <c r="K2171" i="1" s="1"/>
  <c r="O2171" i="1" a="1"/>
  <c r="O2171" i="1"/>
  <c r="N2171" i="1" a="1"/>
  <c r="N2171" i="1"/>
  <c r="M2172" i="1" a="1"/>
  <c r="M2172" i="1"/>
  <c r="I2170" i="1" a="1"/>
  <c r="I2170" i="1" s="1"/>
  <c r="O2169" i="1" a="1"/>
  <c r="O2169" i="1" s="1"/>
  <c r="H2172" i="1" a="1"/>
  <c r="H2172" i="1" s="1"/>
  <c r="L2174" i="1" a="1"/>
  <c r="L2174" i="1" s="1"/>
  <c r="H2174" i="1" a="1"/>
  <c r="H2174" i="1" s="1"/>
  <c r="J2170" i="1" a="1"/>
  <c r="J2170" i="1" s="1"/>
  <c r="Q2169" i="1" a="1"/>
  <c r="Q2169" i="1"/>
  <c r="P2169" i="1" a="1"/>
  <c r="P2169" i="1"/>
  <c r="P2172" i="1" a="1"/>
  <c r="P2172" i="1"/>
  <c r="G2174" i="1" a="1"/>
  <c r="G2174" i="1"/>
  <c r="L2170" i="1" a="1"/>
  <c r="L2170" i="1" s="1"/>
  <c r="F2172" i="1" a="1"/>
  <c r="F2172" i="1"/>
  <c r="M2170" i="1" a="1"/>
  <c r="M2170" i="1" s="1"/>
  <c r="M2173" i="1" a="1"/>
  <c r="M2173" i="1"/>
  <c r="F2174" i="1" a="1"/>
  <c r="F2174" i="1" s="1"/>
  <c r="J2171" i="1" a="1"/>
  <c r="J2171" i="1" s="1"/>
  <c r="P2171" i="1" a="1"/>
  <c r="P2171" i="1" s="1"/>
  <c r="P2173" i="1" a="1"/>
  <c r="P2173" i="1"/>
  <c r="K2169" i="1" a="1"/>
  <c r="K2169" i="1"/>
  <c r="O2167" i="1" a="1"/>
  <c r="O2167" i="1" s="1"/>
  <c r="G2169" i="1" a="1"/>
  <c r="G2169" i="1"/>
  <c r="G2167" i="1" a="1"/>
  <c r="G2167" i="1"/>
  <c r="J2167" i="1" a="1"/>
  <c r="J2167" i="1" s="1"/>
  <c r="M2168" i="1" a="1"/>
  <c r="M2168" i="1" s="1"/>
  <c r="Q2168" i="1" a="1"/>
  <c r="Q2168" i="1" s="1"/>
  <c r="J2169" i="1" a="1"/>
  <c r="J2169" i="1" s="1"/>
  <c r="I2169" i="1" a="1"/>
  <c r="I2169" i="1"/>
  <c r="G2164" i="1" a="1"/>
  <c r="G2164" i="1" s="1"/>
  <c r="I2168" i="1" a="1"/>
  <c r="I2168" i="1" s="1"/>
  <c r="N2168" i="1" a="1"/>
  <c r="N2168" i="1" s="1"/>
  <c r="L2168" i="1" a="1"/>
  <c r="L2168" i="1" s="1"/>
  <c r="F2167" i="1" a="1"/>
  <c r="F2167" i="1" s="1"/>
  <c r="P2166" i="1" a="1"/>
  <c r="P2166" i="1" s="1"/>
  <c r="F2164" i="1" a="1"/>
  <c r="F2164" i="1"/>
  <c r="Q2167" i="1" a="1"/>
  <c r="Q2167" i="1"/>
  <c r="P2163" i="1" a="1"/>
  <c r="P2163" i="1"/>
  <c r="K2168" i="1" a="1"/>
  <c r="K2168" i="1" s="1"/>
  <c r="J2168" i="1" a="1"/>
  <c r="J2168" i="1"/>
  <c r="M2167" i="1" a="1"/>
  <c r="M2167" i="1"/>
  <c r="J2166" i="1" a="1"/>
  <c r="J2166" i="1" s="1"/>
  <c r="G2166" i="1" a="1"/>
  <c r="G2166" i="1"/>
  <c r="Q2163" i="1" a="1"/>
  <c r="Q2163" i="1" s="1"/>
  <c r="O2166" i="1" a="1"/>
  <c r="O2166" i="1" s="1"/>
  <c r="G2168" i="1" a="1"/>
  <c r="G2168" i="1" s="1"/>
  <c r="N2167" i="1" a="1"/>
  <c r="N2167" i="1" s="1"/>
  <c r="O2164" i="1" a="1"/>
  <c r="O2164" i="1"/>
  <c r="L2167" i="1" a="1"/>
  <c r="L2167" i="1"/>
  <c r="M2164" i="1" a="1"/>
  <c r="M2164" i="1" s="1"/>
  <c r="K2166" i="1" a="1"/>
  <c r="K2166" i="1" s="1"/>
  <c r="H2167" i="1" a="1"/>
  <c r="H2167" i="1" s="1"/>
  <c r="F2166" i="1" a="1"/>
  <c r="F2166" i="1"/>
  <c r="L2163" i="1" a="1"/>
  <c r="L2163" i="1" s="1"/>
  <c r="O2168" i="1" a="1"/>
  <c r="O2168" i="1" s="1"/>
  <c r="H2169" i="1" a="1"/>
  <c r="H2169" i="1"/>
  <c r="N2166" i="1" a="1"/>
  <c r="N2166" i="1"/>
  <c r="P2164" i="1" a="1"/>
  <c r="P2164" i="1" s="1"/>
  <c r="L2164" i="1" a="1"/>
  <c r="L2164" i="1" s="1"/>
  <c r="K2164" i="1" a="1"/>
  <c r="K2164" i="1" s="1"/>
  <c r="O2163" i="1" a="1"/>
  <c r="O2163" i="1" s="1"/>
  <c r="H2164" i="1" a="1"/>
  <c r="H2164" i="1"/>
  <c r="N2163" i="1" a="1"/>
  <c r="N2163" i="1" s="1"/>
  <c r="F2169" i="1" a="1"/>
  <c r="F2169" i="1"/>
  <c r="P2168" i="1" a="1"/>
  <c r="P2168" i="1"/>
  <c r="K2167" i="1" a="1"/>
  <c r="K2167" i="1" s="1"/>
  <c r="I2166" i="1" a="1"/>
  <c r="I2166" i="1"/>
  <c r="M2163" i="1" a="1"/>
  <c r="M2163" i="1" s="1"/>
  <c r="H2166" i="1" a="1"/>
  <c r="H2166" i="1" s="1"/>
  <c r="J2164" i="1" a="1"/>
  <c r="J2164" i="1"/>
  <c r="Q2164" i="1" a="1"/>
  <c r="Q2164" i="1" s="1"/>
  <c r="F2168" i="1" a="1"/>
  <c r="F2168" i="1" s="1"/>
  <c r="P2167" i="1" a="1"/>
  <c r="P2167" i="1" s="1"/>
  <c r="N2164" i="1" a="1"/>
  <c r="N2164" i="1" s="1"/>
  <c r="I2164" i="1" a="1"/>
  <c r="I2164" i="1" s="1"/>
  <c r="Q2166" i="1" a="1"/>
  <c r="Q2166" i="1" s="1"/>
  <c r="I2167" i="1" a="1"/>
  <c r="I2167" i="1"/>
  <c r="L2166" i="1" a="1"/>
  <c r="L2166" i="1" s="1"/>
  <c r="M2166" i="1" a="1"/>
  <c r="M2166" i="1"/>
  <c r="H2168" i="1" a="1"/>
  <c r="H2168" i="1" s="1"/>
  <c r="M2159" i="1" a="1"/>
  <c r="M2159" i="1" s="1"/>
  <c r="P2159" i="1" a="1"/>
  <c r="P2159" i="1"/>
  <c r="H2158" i="1" a="1"/>
  <c r="H2158" i="1" s="1"/>
  <c r="M2158" i="1" a="1"/>
  <c r="M2158" i="1" s="1"/>
  <c r="N2159" i="1" a="1"/>
  <c r="N2159" i="1" s="1"/>
  <c r="I2159" i="1" a="1"/>
  <c r="I2159" i="1" s="1"/>
  <c r="I2158" i="1" a="1"/>
  <c r="I2158" i="1" s="1"/>
  <c r="J2158" i="1" a="1"/>
  <c r="J2158" i="1" s="1"/>
  <c r="L2158" i="1" a="1"/>
  <c r="L2158" i="1" s="1"/>
  <c r="K2161" i="1" a="1"/>
  <c r="K2161" i="1" s="1"/>
  <c r="K2160" i="1" a="1"/>
  <c r="K2160" i="1"/>
  <c r="M2162" i="1" a="1"/>
  <c r="M2162" i="1" s="1"/>
  <c r="O2161" i="1" a="1"/>
  <c r="O2161" i="1"/>
  <c r="L2161" i="1" a="1"/>
  <c r="L2161" i="1" s="1"/>
  <c r="F2160" i="1" a="1"/>
  <c r="F2160" i="1"/>
  <c r="G2160" i="1" a="1"/>
  <c r="G2160" i="1"/>
  <c r="P2160" i="1" a="1"/>
  <c r="P2160" i="1" s="1"/>
  <c r="M2161" i="1" a="1"/>
  <c r="M2161" i="1"/>
  <c r="I2161" i="1" a="1"/>
  <c r="I2161" i="1"/>
  <c r="J2161" i="1" a="1"/>
  <c r="J2161" i="1"/>
  <c r="K2163" i="1" a="1"/>
  <c r="K2163" i="1" s="1"/>
  <c r="J2163" i="1" a="1"/>
  <c r="J2163" i="1" s="1"/>
  <c r="H2162" i="1" a="1"/>
  <c r="H2162" i="1" s="1"/>
  <c r="O2159" i="1" a="1"/>
  <c r="O2159" i="1" s="1"/>
  <c r="I2163" i="1" a="1"/>
  <c r="I2163" i="1" s="1"/>
  <c r="N2162" i="1" a="1"/>
  <c r="N2162" i="1" s="1"/>
  <c r="H2163" i="1" a="1"/>
  <c r="H2163" i="1" s="1"/>
  <c r="Q2161" i="1" a="1"/>
  <c r="Q2161" i="1"/>
  <c r="L2159" i="1" a="1"/>
  <c r="L2159" i="1" s="1"/>
  <c r="L2162" i="1" a="1"/>
  <c r="L2162" i="1"/>
  <c r="I2162" i="1" a="1"/>
  <c r="I2162" i="1"/>
  <c r="J2162" i="1" a="1"/>
  <c r="J2162" i="1"/>
  <c r="J2159" i="1" a="1"/>
  <c r="J2159" i="1"/>
  <c r="P2162" i="1" a="1"/>
  <c r="P2162" i="1" s="1"/>
  <c r="G2163" i="1" a="1"/>
  <c r="G2163" i="1" s="1"/>
  <c r="H2159" i="1" a="1"/>
  <c r="H2159" i="1" s="1"/>
  <c r="F2163" i="1" a="1"/>
  <c r="F2163" i="1" s="1"/>
  <c r="P2161" i="1" a="1"/>
  <c r="P2161" i="1" s="1"/>
  <c r="K2159" i="1" a="1"/>
  <c r="K2159" i="1"/>
  <c r="K2162" i="1" a="1"/>
  <c r="K2162" i="1"/>
  <c r="Q2160" i="1" a="1"/>
  <c r="Q2160" i="1" s="1"/>
  <c r="G2161" i="1" a="1"/>
  <c r="G2161" i="1"/>
  <c r="F2161" i="1" a="1"/>
  <c r="F2161" i="1" s="1"/>
  <c r="Q2159" i="1" a="1"/>
  <c r="Q2159" i="1"/>
  <c r="Q2158" i="1" a="1"/>
  <c r="Q2158" i="1" s="1"/>
  <c r="M2160" i="1" a="1"/>
  <c r="M2160" i="1"/>
  <c r="G2159" i="1" a="1"/>
  <c r="G2159" i="1" s="1"/>
  <c r="Q2162" i="1" a="1"/>
  <c r="Q2162" i="1" s="1"/>
  <c r="K2158" i="1" a="1"/>
  <c r="K2158" i="1" s="1"/>
  <c r="O2160" i="1" a="1"/>
  <c r="O2160" i="1" s="1"/>
  <c r="F2159" i="1" a="1"/>
  <c r="F2159" i="1" s="1"/>
  <c r="I2160" i="1" a="1"/>
  <c r="I2160" i="1" s="1"/>
  <c r="N2160" i="1" a="1"/>
  <c r="N2160" i="1"/>
  <c r="H2160" i="1" a="1"/>
  <c r="H2160" i="1"/>
  <c r="F2162" i="1" a="1"/>
  <c r="F2162" i="1"/>
  <c r="P2158" i="1" a="1"/>
  <c r="P2158" i="1" s="1"/>
  <c r="N2158" i="1" a="1"/>
  <c r="N2158" i="1" s="1"/>
  <c r="O2162" i="1" a="1"/>
  <c r="O2162" i="1" s="1"/>
  <c r="L2160" i="1" a="1"/>
  <c r="L2160" i="1"/>
  <c r="O2158" i="1" a="1"/>
  <c r="O2158" i="1"/>
  <c r="G2162" i="1" a="1"/>
  <c r="G2162" i="1"/>
  <c r="H2161" i="1" a="1"/>
  <c r="H2161" i="1" s="1"/>
  <c r="N2161" i="1" a="1"/>
  <c r="N2161" i="1" s="1"/>
  <c r="J2160" i="1" a="1"/>
  <c r="J2160" i="1" s="1"/>
  <c r="Q2155" i="1" a="1"/>
  <c r="Q2155" i="1" s="1"/>
  <c r="L2154" i="1" a="1"/>
  <c r="L2154" i="1" s="1"/>
  <c r="J2155" i="1" a="1"/>
  <c r="J2155" i="1"/>
  <c r="G2158" i="1" a="1"/>
  <c r="G2158" i="1" s="1"/>
  <c r="N2156" i="1" a="1"/>
  <c r="N2156" i="1" s="1"/>
  <c r="P2156" i="1" a="1"/>
  <c r="P2156" i="1" s="1"/>
  <c r="K2155" i="1" a="1"/>
  <c r="K2155" i="1"/>
  <c r="Q2157" i="1" a="1"/>
  <c r="Q2157" i="1" s="1"/>
  <c r="P2157" i="1" a="1"/>
  <c r="P2157" i="1"/>
  <c r="F2155" i="1" a="1"/>
  <c r="F2155" i="1" s="1"/>
  <c r="F2157" i="1" a="1"/>
  <c r="F2157" i="1"/>
  <c r="H2157" i="1" a="1"/>
  <c r="H2157" i="1" s="1"/>
  <c r="P2154" i="1" a="1"/>
  <c r="P2154" i="1" s="1"/>
  <c r="F2153" i="1" a="1"/>
  <c r="F2153" i="1" s="1"/>
  <c r="F2156" i="1" a="1"/>
  <c r="F2156" i="1" s="1"/>
  <c r="Q2154" i="1" a="1"/>
  <c r="Q2154" i="1" s="1"/>
  <c r="K2153" i="1" a="1"/>
  <c r="K2153" i="1" s="1"/>
  <c r="J2154" i="1" a="1"/>
  <c r="J2154" i="1"/>
  <c r="O2157" i="1" a="1"/>
  <c r="O2157" i="1"/>
  <c r="J2157" i="1" a="1"/>
  <c r="J2157" i="1" s="1"/>
  <c r="O2156" i="1" a="1"/>
  <c r="O2156" i="1" s="1"/>
  <c r="I2155" i="1" a="1"/>
  <c r="I2155" i="1"/>
  <c r="G2155" i="1" a="1"/>
  <c r="G2155" i="1"/>
  <c r="K2154" i="1" a="1"/>
  <c r="K2154" i="1" s="1"/>
  <c r="M2157" i="1" a="1"/>
  <c r="M2157" i="1" s="1"/>
  <c r="N2157" i="1" a="1"/>
  <c r="N2157" i="1"/>
  <c r="F2154" i="1" a="1"/>
  <c r="F2154" i="1" s="1"/>
  <c r="M2153" i="1" a="1"/>
  <c r="M2153" i="1" s="1"/>
  <c r="Q2156" i="1" a="1"/>
  <c r="Q2156" i="1" s="1"/>
  <c r="N2154" i="1" a="1"/>
  <c r="N2154" i="1"/>
  <c r="M2156" i="1" a="1"/>
  <c r="M2156" i="1" s="1"/>
  <c r="L2157" i="1" a="1"/>
  <c r="L2157" i="1"/>
  <c r="I2157" i="1" a="1"/>
  <c r="I2157" i="1"/>
  <c r="G2157" i="1" a="1"/>
  <c r="G2157" i="1" s="1"/>
  <c r="H2156" i="1" a="1"/>
  <c r="H2156" i="1" s="1"/>
  <c r="G2156" i="1" a="1"/>
  <c r="G2156" i="1" s="1"/>
  <c r="M2155" i="1" a="1"/>
  <c r="M2155" i="1"/>
  <c r="H2153" i="1" a="1"/>
  <c r="H2153" i="1" s="1"/>
  <c r="G2153" i="1" a="1"/>
  <c r="G2153" i="1" s="1"/>
  <c r="L2155" i="1" a="1"/>
  <c r="L2155" i="1"/>
  <c r="Q2153" i="1" a="1"/>
  <c r="Q2153" i="1" s="1"/>
  <c r="L2153" i="1" a="1"/>
  <c r="L2153" i="1" s="1"/>
  <c r="I2154" i="1" a="1"/>
  <c r="I2154" i="1" s="1"/>
  <c r="P2153" i="1" a="1"/>
  <c r="P2153" i="1"/>
  <c r="Q2152" i="1" a="1"/>
  <c r="Q2152" i="1"/>
  <c r="K2156" i="1" a="1"/>
  <c r="K2156" i="1" s="1"/>
  <c r="I2153" i="1" a="1"/>
  <c r="I2153" i="1" s="1"/>
  <c r="P2152" i="1" a="1"/>
  <c r="P2152" i="1" s="1"/>
  <c r="G2154" i="1" a="1"/>
  <c r="G2154" i="1" s="1"/>
  <c r="I2156" i="1" a="1"/>
  <c r="I2156" i="1"/>
  <c r="P2155" i="1" a="1"/>
  <c r="P2155" i="1"/>
  <c r="O2154" i="1" a="1"/>
  <c r="O2154" i="1" s="1"/>
  <c r="O2153" i="1" a="1"/>
  <c r="O2153" i="1" s="1"/>
  <c r="N2155" i="1" a="1"/>
  <c r="N2155" i="1"/>
  <c r="J2156" i="1" a="1"/>
  <c r="J2156" i="1" s="1"/>
  <c r="H2154" i="1" a="1"/>
  <c r="H2154" i="1" s="1"/>
  <c r="N2153" i="1" a="1"/>
  <c r="N2153" i="1" s="1"/>
  <c r="J2153" i="1" a="1"/>
  <c r="J2153" i="1" s="1"/>
  <c r="M2154" i="1" a="1"/>
  <c r="M2154" i="1"/>
  <c r="O2155" i="1" a="1"/>
  <c r="O2155" i="1" s="1"/>
  <c r="F2158" i="1" a="1"/>
  <c r="F2158" i="1"/>
  <c r="K2157" i="1" a="1"/>
  <c r="K2157" i="1"/>
  <c r="H2155" i="1" a="1"/>
  <c r="H2155" i="1" s="1"/>
  <c r="L2156" i="1" a="1"/>
  <c r="L2156" i="1"/>
  <c r="J2152" i="1" a="1"/>
  <c r="J2152" i="1"/>
  <c r="I2152" i="1" a="1"/>
  <c r="I2152" i="1" s="1"/>
  <c r="H2152" i="1" a="1"/>
  <c r="H2152" i="1" s="1"/>
  <c r="N2149" i="1" a="1"/>
  <c r="N2149" i="1" s="1"/>
  <c r="G2152" i="1" a="1"/>
  <c r="G2152" i="1" s="1"/>
  <c r="F2152" i="1" a="1"/>
  <c r="F2152" i="1" s="1"/>
  <c r="K2151" i="1" a="1"/>
  <c r="K2151" i="1" s="1"/>
  <c r="J2151" i="1" a="1"/>
  <c r="J2151" i="1" s="1"/>
  <c r="L2147" i="1" a="1"/>
  <c r="L2147" i="1" s="1"/>
  <c r="O2150" i="1" a="1"/>
  <c r="O2150" i="1"/>
  <c r="O2149" i="1" a="1"/>
  <c r="O2149" i="1"/>
  <c r="K2150" i="1" a="1"/>
  <c r="K2150" i="1"/>
  <c r="P2149" i="1" a="1"/>
  <c r="P2149" i="1" s="1"/>
  <c r="M2149" i="1" a="1"/>
  <c r="M2149" i="1"/>
  <c r="H2149" i="1" a="1"/>
  <c r="H2149" i="1"/>
  <c r="G2149" i="1" a="1"/>
  <c r="G2149" i="1" s="1"/>
  <c r="P2148" i="1" a="1"/>
  <c r="P2148" i="1" s="1"/>
  <c r="N2147" i="1" a="1"/>
  <c r="N2147" i="1" s="1"/>
  <c r="P2147" i="1" a="1"/>
  <c r="P2147" i="1" s="1"/>
  <c r="I2150" i="1" a="1"/>
  <c r="I2150" i="1" s="1"/>
  <c r="I2149" i="1" a="1"/>
  <c r="I2149" i="1" s="1"/>
  <c r="J2149" i="1" a="1"/>
  <c r="J2149" i="1"/>
  <c r="M2148" i="1" a="1"/>
  <c r="M2148" i="1"/>
  <c r="P2151" i="1" a="1"/>
  <c r="P2151" i="1"/>
  <c r="O2151" i="1" a="1"/>
  <c r="O2151" i="1" s="1"/>
  <c r="H2151" i="1" a="1"/>
  <c r="H2151" i="1"/>
  <c r="I2148" i="1" a="1"/>
  <c r="I2148" i="1" s="1"/>
  <c r="F2148" i="1" a="1"/>
  <c r="F2148" i="1"/>
  <c r="G2151" i="1" a="1"/>
  <c r="G2151" i="1" s="1"/>
  <c r="G2148" i="1" a="1"/>
  <c r="G2148" i="1"/>
  <c r="O2147" i="1" a="1"/>
  <c r="O2147" i="1" s="1"/>
  <c r="F2151" i="1" a="1"/>
  <c r="F2151" i="1" s="1"/>
  <c r="M2147" i="1" a="1"/>
  <c r="M2147" i="1" s="1"/>
  <c r="F2150" i="1" a="1"/>
  <c r="F2150" i="1" s="1"/>
  <c r="Q2149" i="1" a="1"/>
  <c r="Q2149" i="1" s="1"/>
  <c r="J2150" i="1" a="1"/>
  <c r="J2150" i="1" s="1"/>
  <c r="M2150" i="1" a="1"/>
  <c r="M2150" i="1"/>
  <c r="L2150" i="1" a="1"/>
  <c r="L2150" i="1"/>
  <c r="K2149" i="1" a="1"/>
  <c r="K2149" i="1" s="1"/>
  <c r="N2148" i="1" a="1"/>
  <c r="N2148" i="1" s="1"/>
  <c r="P2150" i="1" a="1"/>
  <c r="P2150" i="1"/>
  <c r="I2151" i="1" a="1"/>
  <c r="I2151" i="1"/>
  <c r="L2148" i="1" a="1"/>
  <c r="L2148" i="1"/>
  <c r="M2151" i="1" a="1"/>
  <c r="M2151" i="1" s="1"/>
  <c r="H2150" i="1" a="1"/>
  <c r="H2150" i="1"/>
  <c r="L2151" i="1" a="1"/>
  <c r="L2151" i="1"/>
  <c r="N2150" i="1" a="1"/>
  <c r="N2150" i="1" s="1"/>
  <c r="Q2148" i="1" a="1"/>
  <c r="Q2148" i="1" s="1"/>
  <c r="J2148" i="1" a="1"/>
  <c r="J2148" i="1" s="1"/>
  <c r="Q2151" i="1" a="1"/>
  <c r="Q2151" i="1"/>
  <c r="G2150" i="1" a="1"/>
  <c r="G2150" i="1"/>
  <c r="O2152" i="1" a="1"/>
  <c r="O2152" i="1"/>
  <c r="N2151" i="1" a="1"/>
  <c r="N2151" i="1" s="1"/>
  <c r="Q2150" i="1" a="1"/>
  <c r="Q2150" i="1" s="1"/>
  <c r="L2149" i="1" a="1"/>
  <c r="L2149" i="1"/>
  <c r="O2148" i="1" a="1"/>
  <c r="O2148" i="1" s="1"/>
  <c r="K2148" i="1" a="1"/>
  <c r="K2148" i="1"/>
  <c r="H2148" i="1" a="1"/>
  <c r="H2148" i="1" s="1"/>
  <c r="L2152" i="1" a="1"/>
  <c r="L2152" i="1"/>
  <c r="F2149" i="1" a="1"/>
  <c r="F2149" i="1"/>
  <c r="Q2147" i="1" a="1"/>
  <c r="Q2147" i="1" s="1"/>
  <c r="N2152" i="1" a="1"/>
  <c r="N2152" i="1" s="1"/>
  <c r="M2152" i="1" a="1"/>
  <c r="M2152" i="1" s="1"/>
  <c r="K2152" i="1" a="1"/>
  <c r="K2152" i="1"/>
  <c r="F2146" i="1" a="1"/>
  <c r="F2146" i="1"/>
  <c r="P2142" i="1" a="1"/>
  <c r="P2142" i="1"/>
  <c r="P2145" i="1" a="1"/>
  <c r="P2145" i="1" s="1"/>
  <c r="P2143" i="1" a="1"/>
  <c r="P2143" i="1" s="1"/>
  <c r="H2143" i="1" a="1"/>
  <c r="H2143" i="1" s="1"/>
  <c r="J2145" i="1" a="1"/>
  <c r="J2145" i="1" s="1"/>
  <c r="P2144" i="1" a="1"/>
  <c r="P2144" i="1" s="1"/>
  <c r="K2145" i="1" a="1"/>
  <c r="K2145" i="1"/>
  <c r="O2144" i="1" a="1"/>
  <c r="O2144" i="1"/>
  <c r="I2144" i="1" a="1"/>
  <c r="I2144" i="1"/>
  <c r="K2142" i="1" a="1"/>
  <c r="K2142" i="1" s="1"/>
  <c r="Q2146" i="1" a="1"/>
  <c r="Q2146" i="1" s="1"/>
  <c r="O2145" i="1" a="1"/>
  <c r="O2145" i="1" s="1"/>
  <c r="F2145" i="1" a="1"/>
  <c r="F2145" i="1"/>
  <c r="M2142" i="1" a="1"/>
  <c r="M2142" i="1"/>
  <c r="F2143" i="1" a="1"/>
  <c r="F2143" i="1"/>
  <c r="N2144" i="1" a="1"/>
  <c r="N2144" i="1" s="1"/>
  <c r="M2144" i="1" a="1"/>
  <c r="M2144" i="1"/>
  <c r="H2144" i="1" a="1"/>
  <c r="H2144" i="1" s="1"/>
  <c r="O2146" i="1" a="1"/>
  <c r="O2146" i="1"/>
  <c r="I2145" i="1" a="1"/>
  <c r="I2145" i="1"/>
  <c r="L2145" i="1" a="1"/>
  <c r="L2145" i="1"/>
  <c r="O2143" i="1" a="1"/>
  <c r="O2143" i="1" s="1"/>
  <c r="I2147" i="1" a="1"/>
  <c r="I2147" i="1"/>
  <c r="O2142" i="1" a="1"/>
  <c r="O2142" i="1" s="1"/>
  <c r="H2147" i="1" a="1"/>
  <c r="H2147" i="1" s="1"/>
  <c r="I2146" i="1" a="1"/>
  <c r="I2146" i="1" s="1"/>
  <c r="N2146" i="1" a="1"/>
  <c r="N2146" i="1" s="1"/>
  <c r="Q2145" i="1" a="1"/>
  <c r="Q2145" i="1"/>
  <c r="Q2143" i="1" a="1"/>
  <c r="Q2143" i="1"/>
  <c r="G2145" i="1" a="1"/>
  <c r="G2145" i="1"/>
  <c r="L2143" i="1" a="1"/>
  <c r="L2143" i="1" s="1"/>
  <c r="L2142" i="1" a="1"/>
  <c r="L2142" i="1"/>
  <c r="Q2142" i="1" a="1"/>
  <c r="Q2142" i="1" s="1"/>
  <c r="P2146" i="1" a="1"/>
  <c r="P2146" i="1" s="1"/>
  <c r="H2146" i="1" a="1"/>
  <c r="H2146" i="1"/>
  <c r="M2145" i="1" a="1"/>
  <c r="M2145" i="1" s="1"/>
  <c r="K2144" i="1" a="1"/>
  <c r="K2144" i="1" s="1"/>
  <c r="G2144" i="1" a="1"/>
  <c r="G2144" i="1" s="1"/>
  <c r="F2144" i="1" a="1"/>
  <c r="F2144" i="1" s="1"/>
  <c r="N2143" i="1" a="1"/>
  <c r="N2143" i="1" s="1"/>
  <c r="K2143" i="1" a="1"/>
  <c r="K2143" i="1" s="1"/>
  <c r="J2143" i="1" a="1"/>
  <c r="J2143" i="1" s="1"/>
  <c r="K2147" i="1" a="1"/>
  <c r="K2147" i="1"/>
  <c r="J2144" i="1" a="1"/>
  <c r="J2144" i="1" s="1"/>
  <c r="M2146" i="1" a="1"/>
  <c r="M2146" i="1"/>
  <c r="M2143" i="1" a="1"/>
  <c r="M2143" i="1"/>
  <c r="G2143" i="1" a="1"/>
  <c r="G2143" i="1"/>
  <c r="L2146" i="1" a="1"/>
  <c r="L2146" i="1" s="1"/>
  <c r="K2146" i="1" a="1"/>
  <c r="K2146" i="1" s="1"/>
  <c r="H2145" i="1" a="1"/>
  <c r="H2145" i="1" s="1"/>
  <c r="N2142" i="1" a="1"/>
  <c r="N2142" i="1" s="1"/>
  <c r="J2147" i="1" a="1"/>
  <c r="J2147" i="1" s="1"/>
  <c r="G2147" i="1" a="1"/>
  <c r="G2147" i="1" s="1"/>
  <c r="J2146" i="1" a="1"/>
  <c r="J2146" i="1" s="1"/>
  <c r="G2146" i="1" a="1"/>
  <c r="G2146" i="1"/>
  <c r="N2145" i="1" a="1"/>
  <c r="N2145" i="1"/>
  <c r="Q2144" i="1" a="1"/>
  <c r="Q2144" i="1"/>
  <c r="L2144" i="1" a="1"/>
  <c r="L2144" i="1" s="1"/>
  <c r="I2143" i="1" a="1"/>
  <c r="I2143" i="1"/>
  <c r="F2147" i="1" a="1"/>
  <c r="F2147" i="1"/>
  <c r="M2140" i="1" a="1"/>
  <c r="M2140" i="1"/>
  <c r="J2141" i="1" a="1"/>
  <c r="J2141" i="1" s="1"/>
  <c r="P2140" i="1" a="1"/>
  <c r="P2140" i="1"/>
  <c r="N2140" i="1" a="1"/>
  <c r="N2140" i="1"/>
  <c r="O2139" i="1" a="1"/>
  <c r="O2139" i="1"/>
  <c r="Q2137" i="1" a="1"/>
  <c r="Q2137" i="1" s="1"/>
  <c r="J2138" i="1" a="1"/>
  <c r="J2138" i="1" s="1"/>
  <c r="F2138" i="1" a="1"/>
  <c r="F2138" i="1" s="1"/>
  <c r="N2141" i="1" a="1"/>
  <c r="N2141" i="1"/>
  <c r="F2141" i="1" a="1"/>
  <c r="F2141" i="1" s="1"/>
  <c r="K2140" i="1" a="1"/>
  <c r="K2140" i="1"/>
  <c r="G2140" i="1" a="1"/>
  <c r="G2140" i="1" s="1"/>
  <c r="F2140" i="1" a="1"/>
  <c r="F2140" i="1" s="1"/>
  <c r="P2137" i="1" a="1"/>
  <c r="P2137" i="1"/>
  <c r="G2137" i="1" a="1"/>
  <c r="G2137" i="1" s="1"/>
  <c r="N2137" i="1" a="1"/>
  <c r="N2137" i="1"/>
  <c r="I2137" i="1" a="1"/>
  <c r="I2137" i="1"/>
  <c r="H2141" i="1" a="1"/>
  <c r="H2141" i="1"/>
  <c r="H2142" i="1" a="1"/>
  <c r="H2142" i="1" s="1"/>
  <c r="G2142" i="1" a="1"/>
  <c r="G2142" i="1" s="1"/>
  <c r="F2142" i="1" a="1"/>
  <c r="F2142" i="1" s="1"/>
  <c r="Q2141" i="1" a="1"/>
  <c r="Q2141" i="1" s="1"/>
  <c r="I2141" i="1" a="1"/>
  <c r="I2141" i="1"/>
  <c r="O2140" i="1" a="1"/>
  <c r="O2140" i="1" s="1"/>
  <c r="P2141" i="1" a="1"/>
  <c r="P2141" i="1" s="1"/>
  <c r="M2141" i="1" a="1"/>
  <c r="M2141" i="1"/>
  <c r="M2138" i="1" a="1"/>
  <c r="M2138" i="1" s="1"/>
  <c r="I2138" i="1" a="1"/>
  <c r="I2138" i="1"/>
  <c r="L2140" i="1" a="1"/>
  <c r="L2140" i="1"/>
  <c r="Q2140" i="1" a="1"/>
  <c r="Q2140" i="1"/>
  <c r="K2141" i="1" a="1"/>
  <c r="K2141" i="1"/>
  <c r="J2139" i="1" a="1"/>
  <c r="J2139" i="1" s="1"/>
  <c r="O2141" i="1" a="1"/>
  <c r="O2141" i="1"/>
  <c r="G2141" i="1" a="1"/>
  <c r="G2141" i="1" s="1"/>
  <c r="J2140" i="1" a="1"/>
  <c r="J2140" i="1" s="1"/>
  <c r="I2140" i="1" a="1"/>
  <c r="I2140" i="1" s="1"/>
  <c r="Q2139" i="1" a="1"/>
  <c r="Q2139" i="1"/>
  <c r="N2139" i="1" a="1"/>
  <c r="N2139" i="1"/>
  <c r="M2139" i="1" a="1"/>
  <c r="M2139" i="1"/>
  <c r="L2138" i="1" a="1"/>
  <c r="L2138" i="1"/>
  <c r="O2137" i="1" a="1"/>
  <c r="O2137" i="1" s="1"/>
  <c r="H2138" i="1" a="1"/>
  <c r="H2138" i="1" s="1"/>
  <c r="F2139" i="1" a="1"/>
  <c r="F2139" i="1" s="1"/>
  <c r="P2138" i="1" a="1"/>
  <c r="P2138" i="1"/>
  <c r="Q2138" i="1" a="1"/>
  <c r="Q2138" i="1"/>
  <c r="H2137" i="1" a="1"/>
  <c r="H2137" i="1" s="1"/>
  <c r="K2137" i="1" a="1"/>
  <c r="K2137" i="1" s="1"/>
  <c r="I2139" i="1" a="1"/>
  <c r="I2139" i="1" s="1"/>
  <c r="G2139" i="1" a="1"/>
  <c r="G2139" i="1" s="1"/>
  <c r="H2139" i="1" a="1"/>
  <c r="H2139" i="1" s="1"/>
  <c r="M2137" i="1" a="1"/>
  <c r="M2137" i="1" s="1"/>
  <c r="O2138" i="1" a="1"/>
  <c r="O2138" i="1"/>
  <c r="L2137" i="1" a="1"/>
  <c r="L2137" i="1"/>
  <c r="H2140" i="1" a="1"/>
  <c r="H2140" i="1" s="1"/>
  <c r="L2141" i="1" a="1"/>
  <c r="L2141" i="1" s="1"/>
  <c r="P2139" i="1" a="1"/>
  <c r="P2139" i="1"/>
  <c r="N2138" i="1" a="1"/>
  <c r="N2138" i="1"/>
  <c r="K2138" i="1" a="1"/>
  <c r="K2138" i="1"/>
  <c r="G2138" i="1" a="1"/>
  <c r="G2138" i="1"/>
  <c r="J2137" i="1" a="1"/>
  <c r="J2137" i="1"/>
  <c r="L2139" i="1" a="1"/>
  <c r="L2139" i="1" s="1"/>
  <c r="K2139" i="1" a="1"/>
  <c r="K2139" i="1" s="1"/>
  <c r="J2142" i="1" a="1"/>
  <c r="J2142" i="1" s="1"/>
  <c r="I2142" i="1" a="1"/>
  <c r="I2142" i="1" s="1"/>
  <c r="Q2131" i="1" a="1"/>
  <c r="Q2131" i="1" s="1"/>
  <c r="G2132" i="1" a="1"/>
  <c r="G2132" i="1"/>
  <c r="J2133" i="1" a="1"/>
  <c r="J2133" i="1"/>
  <c r="P2136" i="1" a="1"/>
  <c r="P2136" i="1"/>
  <c r="N2136" i="1" a="1"/>
  <c r="N2136" i="1" s="1"/>
  <c r="N2134" i="1" a="1"/>
  <c r="N2134" i="1" s="1"/>
  <c r="O2133" i="1" a="1"/>
  <c r="O2133" i="1"/>
  <c r="M2136" i="1" a="1"/>
  <c r="M2136" i="1" s="1"/>
  <c r="H2134" i="1" a="1"/>
  <c r="H2134" i="1"/>
  <c r="Q2132" i="1" a="1"/>
  <c r="Q2132" i="1" s="1"/>
  <c r="J2132" i="1" a="1"/>
  <c r="J2132" i="1" s="1"/>
  <c r="J2136" i="1" a="1"/>
  <c r="J2136" i="1" s="1"/>
  <c r="F2136" i="1" a="1"/>
  <c r="F2136" i="1" s="1"/>
  <c r="L2135" i="1" a="1"/>
  <c r="L2135" i="1" s="1"/>
  <c r="I2135" i="1" a="1"/>
  <c r="I2135" i="1" s="1"/>
  <c r="P2132" i="1" a="1"/>
  <c r="P2132" i="1" s="1"/>
  <c r="L2134" i="1" a="1"/>
  <c r="L2134" i="1" s="1"/>
  <c r="J2134" i="1" a="1"/>
  <c r="J2134" i="1" s="1"/>
  <c r="Q2133" i="1" a="1"/>
  <c r="Q2133" i="1" s="1"/>
  <c r="L2132" i="1" a="1"/>
  <c r="L2132" i="1"/>
  <c r="M2135" i="1" a="1"/>
  <c r="M2135" i="1"/>
  <c r="N2133" i="1" a="1"/>
  <c r="N2133" i="1" s="1"/>
  <c r="Q2134" i="1" a="1"/>
  <c r="Q2134" i="1"/>
  <c r="P2134" i="1" a="1"/>
  <c r="P2134" i="1"/>
  <c r="N2135" i="1" a="1"/>
  <c r="N2135" i="1" s="1"/>
  <c r="F2132" i="1" a="1"/>
  <c r="F2132" i="1" s="1"/>
  <c r="I2132" i="1" a="1"/>
  <c r="I2132" i="1" s="1"/>
  <c r="P2131" i="1" a="1"/>
  <c r="P2131" i="1" s="1"/>
  <c r="J2135" i="1" a="1"/>
  <c r="J2135" i="1"/>
  <c r="K2134" i="1" a="1"/>
  <c r="K2134" i="1"/>
  <c r="I2134" i="1" a="1"/>
  <c r="I2134" i="1" s="1"/>
  <c r="L2133" i="1" a="1"/>
  <c r="L2133" i="1" s="1"/>
  <c r="N2132" i="1" a="1"/>
  <c r="N2132" i="1"/>
  <c r="M2132" i="1" a="1"/>
  <c r="M2132" i="1" s="1"/>
  <c r="H2132" i="1" a="1"/>
  <c r="H2132" i="1" s="1"/>
  <c r="G2134" i="1" a="1"/>
  <c r="G2134" i="1" s="1"/>
  <c r="K2135" i="1" a="1"/>
  <c r="K2135" i="1"/>
  <c r="I2136" i="1" a="1"/>
  <c r="I2136" i="1"/>
  <c r="Q2135" i="1" a="1"/>
  <c r="Q2135" i="1" s="1"/>
  <c r="O2134" i="1" a="1"/>
  <c r="O2134" i="1" s="1"/>
  <c r="F2133" i="1" a="1"/>
  <c r="F2133" i="1" s="1"/>
  <c r="O2131" i="1" a="1"/>
  <c r="O2131" i="1" s="1"/>
  <c r="O2132" i="1" a="1"/>
  <c r="O2132" i="1"/>
  <c r="H2135" i="1" a="1"/>
  <c r="H2135" i="1" s="1"/>
  <c r="M2134" i="1" a="1"/>
  <c r="M2134" i="1"/>
  <c r="K2133" i="1" a="1"/>
  <c r="K2133" i="1"/>
  <c r="F2134" i="1" a="1"/>
  <c r="F2134" i="1" s="1"/>
  <c r="G2135" i="1" a="1"/>
  <c r="G2135" i="1" s="1"/>
  <c r="O2136" i="1" a="1"/>
  <c r="O2136" i="1"/>
  <c r="L2136" i="1" a="1"/>
  <c r="L2136" i="1" s="1"/>
  <c r="G2133" i="1" a="1"/>
  <c r="G2133" i="1" s="1"/>
  <c r="G2136" i="1" a="1"/>
  <c r="G2136" i="1" s="1"/>
  <c r="P2135" i="1" a="1"/>
  <c r="P2135" i="1" s="1"/>
  <c r="I2133" i="1" a="1"/>
  <c r="I2133" i="1" s="1"/>
  <c r="M2133" i="1" a="1"/>
  <c r="M2133" i="1" s="1"/>
  <c r="F2137" i="1" a="1"/>
  <c r="F2137" i="1" s="1"/>
  <c r="O2135" i="1" a="1"/>
  <c r="O2135" i="1" s="1"/>
  <c r="F2135" i="1" a="1"/>
  <c r="F2135" i="1"/>
  <c r="H2133" i="1" a="1"/>
  <c r="H2133" i="1" s="1"/>
  <c r="Q2136" i="1" a="1"/>
  <c r="Q2136" i="1" s="1"/>
  <c r="H2136" i="1" a="1"/>
  <c r="H2136" i="1"/>
  <c r="K2136" i="1" a="1"/>
  <c r="K2136" i="1"/>
  <c r="P2133" i="1" a="1"/>
  <c r="P2133" i="1" s="1"/>
  <c r="K2132" i="1" a="1"/>
  <c r="K2132" i="1" s="1"/>
  <c r="L2131" i="1" a="1"/>
  <c r="L2131" i="1"/>
  <c r="K2131" i="1" a="1"/>
  <c r="K2131" i="1"/>
  <c r="J2131" i="1" a="1"/>
  <c r="J2131" i="1" s="1"/>
  <c r="I2131" i="1" a="1"/>
  <c r="I2131" i="1" s="1"/>
  <c r="L2130" i="1" a="1"/>
  <c r="L2130" i="1" s="1"/>
  <c r="F2130" i="1" a="1"/>
  <c r="F2130" i="1" s="1"/>
  <c r="Q2129" i="1" a="1"/>
  <c r="Q2129" i="1"/>
  <c r="O2128" i="1" a="1"/>
  <c r="O2128" i="1"/>
  <c r="Q2128" i="1" a="1"/>
  <c r="Q2128" i="1"/>
  <c r="H2129" i="1" a="1"/>
  <c r="H2129" i="1" s="1"/>
  <c r="N2127" i="1" a="1"/>
  <c r="N2127" i="1"/>
  <c r="K2129" i="1" a="1"/>
  <c r="K2129" i="1" s="1"/>
  <c r="J2129" i="1" a="1"/>
  <c r="J2129" i="1" s="1"/>
  <c r="L2127" i="1" a="1"/>
  <c r="L2127" i="1" s="1"/>
  <c r="F2129" i="1" a="1"/>
  <c r="F2129" i="1"/>
  <c r="J2128" i="1" a="1"/>
  <c r="J2128" i="1"/>
  <c r="N2128" i="1" a="1"/>
  <c r="N2128" i="1" s="1"/>
  <c r="L2128" i="1" a="1"/>
  <c r="L2128" i="1"/>
  <c r="O2127" i="1" a="1"/>
  <c r="O2127" i="1" s="1"/>
  <c r="M2127" i="1" a="1"/>
  <c r="M2127" i="1" s="1"/>
  <c r="H2131" i="1" a="1"/>
  <c r="H2131" i="1" s="1"/>
  <c r="J2127" i="1" a="1"/>
  <c r="J2127" i="1" s="1"/>
  <c r="M2126" i="1" a="1"/>
  <c r="M2126" i="1"/>
  <c r="G2131" i="1" a="1"/>
  <c r="G2131" i="1"/>
  <c r="F2131" i="1" a="1"/>
  <c r="F2131" i="1"/>
  <c r="Q2130" i="1" a="1"/>
  <c r="Q2130" i="1" s="1"/>
  <c r="G2129" i="1" a="1"/>
  <c r="G2129" i="1"/>
  <c r="H2128" i="1" a="1"/>
  <c r="H2128" i="1"/>
  <c r="Q2127" i="1" a="1"/>
  <c r="Q2127" i="1" s="1"/>
  <c r="I2127" i="1" a="1"/>
  <c r="I2127" i="1" s="1"/>
  <c r="N2126" i="1" a="1"/>
  <c r="N2126" i="1" s="1"/>
  <c r="Q2126" i="1" a="1"/>
  <c r="Q2126" i="1"/>
  <c r="O2126" i="1" a="1"/>
  <c r="O2126" i="1" s="1"/>
  <c r="P2130" i="1" a="1"/>
  <c r="P2130" i="1" s="1"/>
  <c r="K2126" i="1" a="1"/>
  <c r="K2126" i="1" s="1"/>
  <c r="K2127" i="1" a="1"/>
  <c r="K2127" i="1"/>
  <c r="O2130" i="1" a="1"/>
  <c r="O2130" i="1" s="1"/>
  <c r="J2130" i="1" a="1"/>
  <c r="J2130" i="1" s="1"/>
  <c r="P2127" i="1" a="1"/>
  <c r="P2127" i="1" s="1"/>
  <c r="N2129" i="1" a="1"/>
  <c r="N2129" i="1"/>
  <c r="L2129" i="1" a="1"/>
  <c r="L2129" i="1" s="1"/>
  <c r="M2128" i="1" a="1"/>
  <c r="M2128" i="1" s="1"/>
  <c r="I2129" i="1" a="1"/>
  <c r="I2129" i="1" s="1"/>
  <c r="P2128" i="1" a="1"/>
  <c r="P2128" i="1"/>
  <c r="K2128" i="1" a="1"/>
  <c r="K2128" i="1"/>
  <c r="I2128" i="1" a="1"/>
  <c r="I2128" i="1"/>
  <c r="P2126" i="1" a="1"/>
  <c r="P2126" i="1" s="1"/>
  <c r="H2127" i="1" a="1"/>
  <c r="H2127" i="1" s="1"/>
  <c r="F2127" i="1" a="1"/>
  <c r="F2127" i="1" s="1"/>
  <c r="K2130" i="1" a="1"/>
  <c r="K2130" i="1"/>
  <c r="I2130" i="1" a="1"/>
  <c r="I2130" i="1" s="1"/>
  <c r="P2129" i="1" a="1"/>
  <c r="P2129" i="1" s="1"/>
  <c r="G2127" i="1" a="1"/>
  <c r="G2127" i="1" s="1"/>
  <c r="G2128" i="1" a="1"/>
  <c r="G2128" i="1" s="1"/>
  <c r="F2128" i="1" a="1"/>
  <c r="F2128" i="1" s="1"/>
  <c r="N2130" i="1" a="1"/>
  <c r="N2130" i="1"/>
  <c r="M2130" i="1" a="1"/>
  <c r="M2130" i="1"/>
  <c r="H2130" i="1" a="1"/>
  <c r="H2130" i="1" s="1"/>
  <c r="M2129" i="1" a="1"/>
  <c r="M2129" i="1" s="1"/>
  <c r="G2130" i="1" a="1"/>
  <c r="G2130" i="1"/>
  <c r="O2129" i="1" a="1"/>
  <c r="O2129" i="1" s="1"/>
  <c r="L2126" i="1" a="1"/>
  <c r="L2126" i="1" s="1"/>
  <c r="N2131" i="1" a="1"/>
  <c r="N2131" i="1" s="1"/>
  <c r="M2131" i="1" a="1"/>
  <c r="M2131" i="1"/>
  <c r="O2121" i="1" a="1"/>
  <c r="O2121" i="1"/>
  <c r="Q2124" i="1" a="1"/>
  <c r="Q2124" i="1" s="1"/>
  <c r="N2125" i="1" a="1"/>
  <c r="N2125" i="1" s="1"/>
  <c r="H2124" i="1" a="1"/>
  <c r="H2124" i="1" s="1"/>
  <c r="P2121" i="1" a="1"/>
  <c r="P2121" i="1" s="1"/>
  <c r="L2121" i="1" a="1"/>
  <c r="L2121" i="1" s="1"/>
  <c r="M2125" i="1" a="1"/>
  <c r="M2125" i="1" s="1"/>
  <c r="G2125" i="1" a="1"/>
  <c r="G2125" i="1" s="1"/>
  <c r="I2124" i="1" a="1"/>
  <c r="I2124" i="1"/>
  <c r="G2123" i="1" a="1"/>
  <c r="G2123" i="1"/>
  <c r="F2125" i="1" a="1"/>
  <c r="F2125" i="1"/>
  <c r="G2124" i="1" a="1"/>
  <c r="G2124" i="1" s="1"/>
  <c r="N2124" i="1" a="1"/>
  <c r="N2124" i="1"/>
  <c r="L2124" i="1" a="1"/>
  <c r="L2124" i="1" s="1"/>
  <c r="F2124" i="1" a="1"/>
  <c r="F2124" i="1" s="1"/>
  <c r="F2123" i="1" a="1"/>
  <c r="F2123" i="1" s="1"/>
  <c r="P2122" i="1" a="1"/>
  <c r="P2122" i="1"/>
  <c r="I2122" i="1" a="1"/>
  <c r="I2122" i="1" s="1"/>
  <c r="N2122" i="1" a="1"/>
  <c r="N2122" i="1"/>
  <c r="M2123" i="1" a="1"/>
  <c r="M2123" i="1"/>
  <c r="J2122" i="1" a="1"/>
  <c r="J2122" i="1"/>
  <c r="Q2122" i="1" a="1"/>
  <c r="Q2122" i="1"/>
  <c r="K2122" i="1" a="1"/>
  <c r="K2122" i="1" s="1"/>
  <c r="Q2121" i="1" a="1"/>
  <c r="Q2121" i="1"/>
  <c r="M2121" i="1" a="1"/>
  <c r="M2121" i="1" s="1"/>
  <c r="P2124" i="1" a="1"/>
  <c r="P2124" i="1" s="1"/>
  <c r="I2121" i="1" a="1"/>
  <c r="I2121" i="1"/>
  <c r="J2124" i="1" a="1"/>
  <c r="J2124" i="1"/>
  <c r="N2121" i="1" a="1"/>
  <c r="N2121" i="1" s="1"/>
  <c r="N2123" i="1" a="1"/>
  <c r="N2123" i="1" s="1"/>
  <c r="I2123" i="1" a="1"/>
  <c r="I2123" i="1"/>
  <c r="L2123" i="1" a="1"/>
  <c r="L2123" i="1" s="1"/>
  <c r="J2123" i="1" a="1"/>
  <c r="J2123" i="1"/>
  <c r="J2125" i="1" a="1"/>
  <c r="J2125" i="1" s="1"/>
  <c r="O2124" i="1" a="1"/>
  <c r="O2124" i="1" s="1"/>
  <c r="G2121" i="1" a="1"/>
  <c r="G2121" i="1" s="1"/>
  <c r="H2122" i="1" a="1"/>
  <c r="H2122" i="1" s="1"/>
  <c r="K2121" i="1" a="1"/>
  <c r="K2121" i="1"/>
  <c r="H2121" i="1" a="1"/>
  <c r="H2121" i="1" s="1"/>
  <c r="L2122" i="1" a="1"/>
  <c r="L2122" i="1" s="1"/>
  <c r="P2123" i="1" a="1"/>
  <c r="P2123" i="1"/>
  <c r="O2122" i="1" a="1"/>
  <c r="O2122" i="1" s="1"/>
  <c r="J2121" i="1" a="1"/>
  <c r="J2121" i="1"/>
  <c r="L2125" i="1" a="1"/>
  <c r="L2125" i="1" s="1"/>
  <c r="H2123" i="1" a="1"/>
  <c r="H2123" i="1"/>
  <c r="M2124" i="1" a="1"/>
  <c r="M2124" i="1" s="1"/>
  <c r="K2123" i="1" a="1"/>
  <c r="K2123" i="1"/>
  <c r="K2124" i="1" a="1"/>
  <c r="K2124" i="1"/>
  <c r="H2125" i="1" a="1"/>
  <c r="H2125" i="1" s="1"/>
  <c r="Q2123" i="1" a="1"/>
  <c r="Q2123" i="1"/>
  <c r="F2122" i="1" a="1"/>
  <c r="F2122" i="1"/>
  <c r="G2126" i="1" a="1"/>
  <c r="G2126" i="1" s="1"/>
  <c r="K2125" i="1" a="1"/>
  <c r="K2125" i="1" s="1"/>
  <c r="F2126" i="1" a="1"/>
  <c r="F2126" i="1" s="1"/>
  <c r="O2123" i="1" a="1"/>
  <c r="O2123" i="1" s="1"/>
  <c r="J2126" i="1" a="1"/>
  <c r="J2126" i="1"/>
  <c r="M2122" i="1" a="1"/>
  <c r="M2122" i="1" s="1"/>
  <c r="O2125" i="1" a="1"/>
  <c r="O2125" i="1" s="1"/>
  <c r="G2122" i="1" a="1"/>
  <c r="G2122" i="1" s="1"/>
  <c r="Q2125" i="1" a="1"/>
  <c r="Q2125" i="1" s="1"/>
  <c r="I2126" i="1" a="1"/>
  <c r="I2126" i="1" s="1"/>
  <c r="H2126" i="1" a="1"/>
  <c r="H2126" i="1" s="1"/>
  <c r="P2125" i="1" a="1"/>
  <c r="P2125" i="1"/>
  <c r="I2125" i="1" a="1"/>
  <c r="I2125" i="1" s="1"/>
  <c r="G1440" i="1" a="1"/>
  <c r="G1440" i="1" s="1"/>
  <c r="H1442" i="1" a="1"/>
  <c r="H1442" i="1" s="1"/>
  <c r="P1441" i="1" a="1"/>
  <c r="P1441" i="1"/>
  <c r="L1439" i="1" a="1"/>
  <c r="L1439" i="1" s="1"/>
  <c r="P1439" i="1" a="1"/>
  <c r="P1439" i="1"/>
  <c r="I1439" i="1" a="1"/>
  <c r="I1439" i="1"/>
  <c r="M1442" i="1" a="1"/>
  <c r="M1442" i="1" s="1"/>
  <c r="O1441" i="1" a="1"/>
  <c r="O1441" i="1"/>
  <c r="M1438" i="1" a="1"/>
  <c r="M1438" i="1" s="1"/>
  <c r="L1441" i="1" a="1"/>
  <c r="L1441" i="1" s="1"/>
  <c r="J1438" i="1" a="1"/>
  <c r="J1438" i="1" s="1"/>
  <c r="H1439" i="1" a="1"/>
  <c r="H1439" i="1" s="1"/>
  <c r="L1442" i="1" a="1"/>
  <c r="L1442" i="1" s="1"/>
  <c r="K1442" i="1" a="1"/>
  <c r="K1442" i="1" s="1"/>
  <c r="F1440" i="1" a="1"/>
  <c r="F1440" i="1"/>
  <c r="K1439" i="1" a="1"/>
  <c r="K1439" i="1"/>
  <c r="O1440" i="1" a="1"/>
  <c r="O1440" i="1" s="1"/>
  <c r="J1440" i="1" a="1"/>
  <c r="J1440" i="1" s="1"/>
  <c r="J1442" i="1" a="1"/>
  <c r="J1442" i="1" s="1"/>
  <c r="I1442" i="1" a="1"/>
  <c r="I1442" i="1" s="1"/>
  <c r="G1442" i="1" a="1"/>
  <c r="G1442" i="1"/>
  <c r="Q1440" i="1" a="1"/>
  <c r="Q1440" i="1" s="1"/>
  <c r="N1441" i="1" a="1"/>
  <c r="N1441" i="1"/>
  <c r="K1441" i="1" a="1"/>
  <c r="K1441" i="1" s="1"/>
  <c r="G1439" i="1" a="1"/>
  <c r="G1439" i="1" s="1"/>
  <c r="I1438" i="1" a="1"/>
  <c r="I1438" i="1"/>
  <c r="J1441" i="1" a="1"/>
  <c r="J1441" i="1"/>
  <c r="H1438" i="1" a="1"/>
  <c r="H1438" i="1" s="1"/>
  <c r="Q1439" i="1" a="1"/>
  <c r="Q1439" i="1" s="1"/>
  <c r="F1442" i="1" a="1"/>
  <c r="F1442" i="1" s="1"/>
  <c r="Q1441" i="1" a="1"/>
  <c r="Q1441" i="1" s="1"/>
  <c r="M1441" i="1" a="1"/>
  <c r="M1441" i="1" s="1"/>
  <c r="H1441" i="1" a="1"/>
  <c r="H1441" i="1"/>
  <c r="I1440" i="1" a="1"/>
  <c r="I1440" i="1" s="1"/>
  <c r="H1440" i="1" a="1"/>
  <c r="H1440" i="1" s="1"/>
  <c r="L1438" i="1" a="1"/>
  <c r="L1438" i="1"/>
  <c r="P1438" i="1" a="1"/>
  <c r="P1438" i="1"/>
  <c r="F1438" i="1" a="1"/>
  <c r="F1438" i="1" s="1"/>
  <c r="J1439" i="1" a="1"/>
  <c r="J1439" i="1"/>
  <c r="G1441" i="1" a="1"/>
  <c r="G1441" i="1" s="1"/>
  <c r="K1438" i="1" a="1"/>
  <c r="K1438" i="1" s="1"/>
  <c r="K1440" i="1" a="1"/>
  <c r="K1440" i="1"/>
  <c r="O1439" i="1" a="1"/>
  <c r="O1439" i="1"/>
  <c r="L1440" i="1" a="1"/>
  <c r="L1440" i="1"/>
  <c r="M1440" i="1" a="1"/>
  <c r="M1440" i="1"/>
  <c r="I1441" i="1" a="1"/>
  <c r="I1441" i="1" s="1"/>
  <c r="F1441" i="1" a="1"/>
  <c r="F1441" i="1"/>
  <c r="P1440" i="1" a="1"/>
  <c r="P1440" i="1" s="1"/>
  <c r="N1440" i="1" a="1"/>
  <c r="N1440" i="1"/>
  <c r="N1439" i="1" a="1"/>
  <c r="N1439" i="1" s="1"/>
  <c r="M1439" i="1" a="1"/>
  <c r="M1439" i="1" s="1"/>
  <c r="F1439" i="1" a="1"/>
  <c r="F1439" i="1" s="1"/>
  <c r="Q1438" i="1" a="1"/>
  <c r="Q1438" i="1"/>
  <c r="O1438" i="1" a="1"/>
  <c r="O1438" i="1"/>
  <c r="G1438" i="1" a="1"/>
  <c r="G1438" i="1"/>
  <c r="N1438" i="1" a="1"/>
  <c r="N1438" i="1"/>
  <c r="O1442" i="1" a="1"/>
  <c r="O1442" i="1"/>
  <c r="N1442" i="1" a="1"/>
  <c r="N1442" i="1" s="1"/>
  <c r="L1437" i="1" a="1"/>
  <c r="L1437" i="1" s="1"/>
  <c r="L1436" i="1" a="1"/>
  <c r="L1436" i="1" s="1"/>
  <c r="G1436" i="1" a="1"/>
  <c r="G1436" i="1" s="1"/>
  <c r="P1434" i="1" a="1"/>
  <c r="P1434" i="1"/>
  <c r="Q1433" i="1" a="1"/>
  <c r="Q1433" i="1" s="1"/>
  <c r="K1437" i="1" a="1"/>
  <c r="K1437" i="1"/>
  <c r="I1436" i="1" a="1"/>
  <c r="I1436" i="1"/>
  <c r="J1437" i="1" a="1"/>
  <c r="J1437" i="1"/>
  <c r="J1433" i="1" a="1"/>
  <c r="J1433" i="1" s="1"/>
  <c r="K1436" i="1" a="1"/>
  <c r="K1436" i="1" s="1"/>
  <c r="F1436" i="1" a="1"/>
  <c r="F1436" i="1"/>
  <c r="H1437" i="1" a="1"/>
  <c r="H1437" i="1"/>
  <c r="Q1436" i="1" a="1"/>
  <c r="Q1436" i="1"/>
  <c r="P1436" i="1" a="1"/>
  <c r="P1436" i="1"/>
  <c r="F1434" i="1" a="1"/>
  <c r="F1434" i="1"/>
  <c r="L1432" i="1" a="1"/>
  <c r="L1432" i="1" s="1"/>
  <c r="M1434" i="1" a="1"/>
  <c r="M1434" i="1" s="1"/>
  <c r="M1436" i="1" a="1"/>
  <c r="M1436" i="1"/>
  <c r="F1437" i="1" a="1"/>
  <c r="F1437" i="1"/>
  <c r="M1432" i="1" a="1"/>
  <c r="M1432" i="1"/>
  <c r="N1432" i="1" a="1"/>
  <c r="N1432" i="1" s="1"/>
  <c r="P1433" i="1" a="1"/>
  <c r="P1433" i="1"/>
  <c r="O1432" i="1" a="1"/>
  <c r="O1432" i="1"/>
  <c r="F1433" i="1" a="1"/>
  <c r="F1433" i="1" s="1"/>
  <c r="G1437" i="1" a="1"/>
  <c r="G1437" i="1"/>
  <c r="G1433" i="1" a="1"/>
  <c r="G1433" i="1"/>
  <c r="N1436" i="1" a="1"/>
  <c r="N1436" i="1"/>
  <c r="J1436" i="1" a="1"/>
  <c r="J1436" i="1"/>
  <c r="Q1432" i="1" a="1"/>
  <c r="Q1432" i="1" s="1"/>
  <c r="H1436" i="1" a="1"/>
  <c r="H1436" i="1" s="1"/>
  <c r="Q1434" i="1" a="1"/>
  <c r="Q1434" i="1"/>
  <c r="I1433" i="1" a="1"/>
  <c r="I1433" i="1" s="1"/>
  <c r="O1433" i="1" a="1"/>
  <c r="O1433" i="1" s="1"/>
  <c r="M1433" i="1" a="1"/>
  <c r="M1433" i="1" s="1"/>
  <c r="P1432" i="1" a="1"/>
  <c r="P1432" i="1"/>
  <c r="K1432" i="1" a="1"/>
  <c r="K1432" i="1" s="1"/>
  <c r="Q1437" i="1" a="1"/>
  <c r="Q1437" i="1" s="1"/>
  <c r="P1437" i="1" a="1"/>
  <c r="P1437" i="1"/>
  <c r="O1437" i="1" a="1"/>
  <c r="O1437" i="1"/>
  <c r="J1434" i="1" a="1"/>
  <c r="J1434" i="1"/>
  <c r="H1434" i="1" a="1"/>
  <c r="H1434" i="1" s="1"/>
  <c r="I1437" i="1" a="1"/>
  <c r="I1437" i="1"/>
  <c r="O1436" i="1" a="1"/>
  <c r="O1436" i="1" s="1"/>
  <c r="L1434" i="1" a="1"/>
  <c r="L1434" i="1" s="1"/>
  <c r="N1434" i="1" a="1"/>
  <c r="N1434" i="1" s="1"/>
  <c r="K1434" i="1" a="1"/>
  <c r="K1434" i="1" s="1"/>
  <c r="G1434" i="1" a="1"/>
  <c r="G1434" i="1"/>
  <c r="O1434" i="1" a="1"/>
  <c r="O1434" i="1"/>
  <c r="I1434" i="1" a="1"/>
  <c r="I1434" i="1"/>
  <c r="L1433" i="1" a="1"/>
  <c r="L1433" i="1"/>
  <c r="N1433" i="1" a="1"/>
  <c r="N1433" i="1" s="1"/>
  <c r="K1433" i="1" a="1"/>
  <c r="K1433" i="1"/>
  <c r="N1437" i="1" a="1"/>
  <c r="N1437" i="1" s="1"/>
  <c r="H1433" i="1" a="1"/>
  <c r="H1433" i="1"/>
  <c r="M1437" i="1" a="1"/>
  <c r="M1437" i="1" s="1"/>
  <c r="H1424" i="1" a="1"/>
  <c r="H1424" i="1" s="1"/>
  <c r="P1423" i="1" a="1"/>
  <c r="P1423" i="1"/>
  <c r="J1431" i="1" a="1"/>
  <c r="J1431" i="1" s="1"/>
  <c r="L1431" i="1" a="1"/>
  <c r="L1431" i="1"/>
  <c r="N1423" i="1" a="1"/>
  <c r="N1423" i="1"/>
  <c r="I1431" i="1" a="1"/>
  <c r="I1431" i="1" s="1"/>
  <c r="N1430" i="1" a="1"/>
  <c r="N1430" i="1"/>
  <c r="F1430" i="1" a="1"/>
  <c r="F1430" i="1"/>
  <c r="F1431" i="1" a="1"/>
  <c r="F1431" i="1"/>
  <c r="O1424" i="1" a="1"/>
  <c r="O1424" i="1"/>
  <c r="Q1430" i="1" a="1"/>
  <c r="Q1430" i="1"/>
  <c r="M1430" i="1" a="1"/>
  <c r="M1430" i="1"/>
  <c r="J1430" i="1" a="1"/>
  <c r="J1430" i="1"/>
  <c r="K1424" i="1" a="1"/>
  <c r="K1424" i="1"/>
  <c r="Q1423" i="1" a="1"/>
  <c r="Q1423" i="1" s="1"/>
  <c r="I1430" i="1" a="1"/>
  <c r="I1430" i="1" s="1"/>
  <c r="G1424" i="1" a="1"/>
  <c r="G1424" i="1" s="1"/>
  <c r="G1432" i="1" a="1"/>
  <c r="G1432" i="1" s="1"/>
  <c r="G1431" i="1" a="1"/>
  <c r="G1431" i="1" s="1"/>
  <c r="Q1424" i="1" a="1"/>
  <c r="Q1424" i="1" s="1"/>
  <c r="M1424" i="1" a="1"/>
  <c r="M1424" i="1"/>
  <c r="P1430" i="1" a="1"/>
  <c r="P1430" i="1"/>
  <c r="H1430" i="1" a="1"/>
  <c r="H1430" i="1" s="1"/>
  <c r="J1432" i="1" a="1"/>
  <c r="J1432" i="1" s="1"/>
  <c r="P1431" i="1" a="1"/>
  <c r="P1431" i="1"/>
  <c r="N1431" i="1" a="1"/>
  <c r="N1431" i="1"/>
  <c r="M1431" i="1" a="1"/>
  <c r="M1431" i="1"/>
  <c r="K1431" i="1" a="1"/>
  <c r="K1431" i="1" s="1"/>
  <c r="J1424" i="1" a="1"/>
  <c r="J1424" i="1"/>
  <c r="I1424" i="1" a="1"/>
  <c r="I1424" i="1" s="1"/>
  <c r="O1430" i="1" a="1"/>
  <c r="O1430" i="1" s="1"/>
  <c r="L1430" i="1" a="1"/>
  <c r="L1430" i="1"/>
  <c r="N1424" i="1" a="1"/>
  <c r="N1424" i="1"/>
  <c r="G1430" i="1" a="1"/>
  <c r="G1430" i="1"/>
  <c r="L1424" i="1" a="1"/>
  <c r="L1424" i="1" s="1"/>
  <c r="F1424" i="1" a="1"/>
  <c r="F1424" i="1"/>
  <c r="O1423" i="1" a="1"/>
  <c r="O1423" i="1"/>
  <c r="I1432" i="1" a="1"/>
  <c r="I1432" i="1" s="1"/>
  <c r="H1432" i="1" a="1"/>
  <c r="H1432" i="1" s="1"/>
  <c r="F1432" i="1" a="1"/>
  <c r="F1432" i="1"/>
  <c r="Q1431" i="1" a="1"/>
  <c r="Q1431" i="1"/>
  <c r="O1431" i="1" a="1"/>
  <c r="O1431" i="1" s="1"/>
  <c r="H1431" i="1" a="1"/>
  <c r="H1431" i="1" s="1"/>
  <c r="K1430" i="1" a="1"/>
  <c r="K1430" i="1"/>
  <c r="P1424" i="1" a="1"/>
  <c r="P1424" i="1" s="1"/>
  <c r="O1422" i="1" a="1"/>
  <c r="O1422" i="1"/>
  <c r="M1422" i="1" a="1"/>
  <c r="M1422" i="1" s="1"/>
  <c r="K1422" i="1" a="1"/>
  <c r="K1422" i="1" s="1"/>
  <c r="P1421" i="1" a="1"/>
  <c r="P1421" i="1" s="1"/>
  <c r="M1418" i="1" a="1"/>
  <c r="M1418" i="1"/>
  <c r="J1420" i="1" a="1"/>
  <c r="J1420" i="1"/>
  <c r="O1421" i="1" a="1"/>
  <c r="O1421" i="1"/>
  <c r="L1421" i="1" a="1"/>
  <c r="L1421" i="1"/>
  <c r="J1419" i="1" a="1"/>
  <c r="J1419" i="1" s="1"/>
  <c r="L1419" i="1" a="1"/>
  <c r="L1419" i="1" s="1"/>
  <c r="K1419" i="1" a="1"/>
  <c r="K1419" i="1"/>
  <c r="Q1420" i="1" a="1"/>
  <c r="Q1420" i="1"/>
  <c r="M1420" i="1" a="1"/>
  <c r="M1420" i="1" s="1"/>
  <c r="L1420" i="1" a="1"/>
  <c r="L1420" i="1" s="1"/>
  <c r="J1418" i="1" a="1"/>
  <c r="J1418" i="1"/>
  <c r="M1419" i="1" a="1"/>
  <c r="M1419" i="1"/>
  <c r="O1419" i="1" a="1"/>
  <c r="O1419" i="1"/>
  <c r="L1422" i="1" a="1"/>
  <c r="L1422" i="1"/>
  <c r="I1422" i="1" a="1"/>
  <c r="I1422" i="1" s="1"/>
  <c r="O1418" i="1" a="1"/>
  <c r="O1418" i="1"/>
  <c r="L1418" i="1" a="1"/>
  <c r="L1418" i="1"/>
  <c r="F1421" i="1" a="1"/>
  <c r="F1421" i="1"/>
  <c r="K1420" i="1" a="1"/>
  <c r="K1420" i="1"/>
  <c r="H1419" i="1" a="1"/>
  <c r="H1419" i="1" s="1"/>
  <c r="P1419" i="1" a="1"/>
  <c r="P1419" i="1" s="1"/>
  <c r="I1420" i="1" a="1"/>
  <c r="I1420" i="1"/>
  <c r="Q1419" i="1" a="1"/>
  <c r="Q1419" i="1"/>
  <c r="G1420" i="1" a="1"/>
  <c r="G1420" i="1" s="1"/>
  <c r="H1420" i="1" a="1"/>
  <c r="H1420" i="1" s="1"/>
  <c r="M1423" i="1" a="1"/>
  <c r="M1423" i="1"/>
  <c r="L1423" i="1" a="1"/>
  <c r="L1423" i="1" s="1"/>
  <c r="O1420" i="1" a="1"/>
  <c r="O1420" i="1" s="1"/>
  <c r="K1423" i="1" a="1"/>
  <c r="K1423" i="1" s="1"/>
  <c r="J1423" i="1" a="1"/>
  <c r="J1423" i="1"/>
  <c r="I1419" i="1" a="1"/>
  <c r="I1419" i="1"/>
  <c r="Q1418" i="1" a="1"/>
  <c r="Q1418" i="1"/>
  <c r="N1422" i="1" a="1"/>
  <c r="N1422" i="1"/>
  <c r="M1421" i="1" a="1"/>
  <c r="M1421" i="1"/>
  <c r="G1419" i="1" a="1"/>
  <c r="G1419" i="1"/>
  <c r="J1422" i="1" a="1"/>
  <c r="J1422" i="1" s="1"/>
  <c r="P1420" i="1" a="1"/>
  <c r="P1420" i="1" s="1"/>
  <c r="F1420" i="1" a="1"/>
  <c r="F1420" i="1" s="1"/>
  <c r="G1422" i="1" a="1"/>
  <c r="G1422" i="1" s="1"/>
  <c r="Q1421" i="1" a="1"/>
  <c r="Q1421" i="1"/>
  <c r="F1419" i="1" a="1"/>
  <c r="F1419" i="1"/>
  <c r="K1418" i="1" a="1"/>
  <c r="K1418" i="1"/>
  <c r="P1418" i="1" a="1"/>
  <c r="P1418" i="1"/>
  <c r="N1421" i="1" a="1"/>
  <c r="N1421" i="1" s="1"/>
  <c r="H1421" i="1" a="1"/>
  <c r="H1421" i="1" s="1"/>
  <c r="G1421" i="1" a="1"/>
  <c r="G1421" i="1"/>
  <c r="K1421" i="1" a="1"/>
  <c r="K1421" i="1"/>
  <c r="I1421" i="1" a="1"/>
  <c r="I1421" i="1"/>
  <c r="I1423" i="1" a="1"/>
  <c r="I1423" i="1"/>
  <c r="N1420" i="1" a="1"/>
  <c r="N1420" i="1"/>
  <c r="F1423" i="1" a="1"/>
  <c r="F1423" i="1"/>
  <c r="H1423" i="1" a="1"/>
  <c r="H1423" i="1" s="1"/>
  <c r="N1419" i="1" a="1"/>
  <c r="N1419" i="1" s="1"/>
  <c r="J1421" i="1" a="1"/>
  <c r="J1421" i="1"/>
  <c r="G1423" i="1" a="1"/>
  <c r="G1423" i="1"/>
  <c r="F1422" i="1" a="1"/>
  <c r="F1422" i="1" s="1"/>
  <c r="H1422" i="1" a="1"/>
  <c r="H1422" i="1" s="1"/>
  <c r="P1422" i="1" a="1"/>
  <c r="P1422" i="1" s="1"/>
  <c r="Q1422" i="1" a="1"/>
  <c r="Q1422" i="1"/>
  <c r="N1418" i="1" a="1"/>
  <c r="N1418" i="1" s="1"/>
  <c r="H1417" i="1" a="1"/>
  <c r="H1417" i="1" s="1"/>
  <c r="G1417" i="1" a="1"/>
  <c r="G1417" i="1" s="1"/>
  <c r="O1416" i="1" a="1"/>
  <c r="O1416" i="1"/>
  <c r="N1416" i="1" a="1"/>
  <c r="N1416" i="1"/>
  <c r="P1410" i="1" a="1"/>
  <c r="P1410" i="1"/>
  <c r="J1416" i="1" a="1"/>
  <c r="J1416" i="1" s="1"/>
  <c r="H1416" i="1" a="1"/>
  <c r="H1416" i="1" s="1"/>
  <c r="O1410" i="1" a="1"/>
  <c r="O1410" i="1"/>
  <c r="F1416" i="1" a="1"/>
  <c r="F1416" i="1"/>
  <c r="I1410" i="1" a="1"/>
  <c r="I1410" i="1"/>
  <c r="L1416" i="1" a="1"/>
  <c r="L1416" i="1"/>
  <c r="I1418" i="1" a="1"/>
  <c r="I1418" i="1"/>
  <c r="H1418" i="1" a="1"/>
  <c r="H1418" i="1" s="1"/>
  <c r="G1418" i="1" a="1"/>
  <c r="G1418" i="1" s="1"/>
  <c r="Q1417" i="1" a="1"/>
  <c r="Q1417" i="1"/>
  <c r="F1417" i="1" a="1"/>
  <c r="F1417" i="1" s="1"/>
  <c r="O1417" i="1" a="1"/>
  <c r="O1417" i="1" s="1"/>
  <c r="N1417" i="1" a="1"/>
  <c r="N1417" i="1"/>
  <c r="L1417" i="1" a="1"/>
  <c r="L1417" i="1"/>
  <c r="Q1416" i="1" a="1"/>
  <c r="Q1416" i="1" s="1"/>
  <c r="M1416" i="1" a="1"/>
  <c r="M1416" i="1"/>
  <c r="J1410" i="1" a="1"/>
  <c r="J1410" i="1" s="1"/>
  <c r="K1416" i="1" a="1"/>
  <c r="K1416" i="1"/>
  <c r="I1416" i="1" a="1"/>
  <c r="I1416" i="1" s="1"/>
  <c r="N1410" i="1" a="1"/>
  <c r="N1410" i="1" s="1"/>
  <c r="Q1410" i="1" a="1"/>
  <c r="Q1410" i="1" s="1"/>
  <c r="M1410" i="1" a="1"/>
  <c r="M1410" i="1"/>
  <c r="F1418" i="1" a="1"/>
  <c r="F1418" i="1"/>
  <c r="P1417" i="1" a="1"/>
  <c r="P1417" i="1"/>
  <c r="K1410" i="1" a="1"/>
  <c r="K1410" i="1" s="1"/>
  <c r="M1417" i="1" a="1"/>
  <c r="M1417" i="1" s="1"/>
  <c r="K1417" i="1" a="1"/>
  <c r="K1417" i="1"/>
  <c r="J1417" i="1" a="1"/>
  <c r="J1417" i="1" s="1"/>
  <c r="P1416" i="1" a="1"/>
  <c r="P1416" i="1" s="1"/>
  <c r="L1410" i="1" a="1"/>
  <c r="L1410" i="1"/>
  <c r="G1416" i="1" a="1"/>
  <c r="G1416" i="1"/>
  <c r="I1417" i="1" a="1"/>
  <c r="I1417" i="1"/>
  <c r="M1409" i="1" a="1"/>
  <c r="M1409" i="1" s="1"/>
  <c r="H1407" i="1" a="1"/>
  <c r="H1407" i="1"/>
  <c r="J1409" i="1" a="1"/>
  <c r="J1409" i="1"/>
  <c r="L1404" i="1" a="1"/>
  <c r="L1404" i="1"/>
  <c r="F1409" i="1" a="1"/>
  <c r="F1409" i="1" s="1"/>
  <c r="J1407" i="1" a="1"/>
  <c r="J1407" i="1" s="1"/>
  <c r="P1408" i="1" a="1"/>
  <c r="P1408" i="1"/>
  <c r="I1405" i="1" a="1"/>
  <c r="I1405" i="1" s="1"/>
  <c r="M1404" i="1" a="1"/>
  <c r="M1404" i="1"/>
  <c r="P1407" i="1" a="1"/>
  <c r="P1407" i="1"/>
  <c r="M1407" i="1" a="1"/>
  <c r="M1407" i="1" s="1"/>
  <c r="K1404" i="1" a="1"/>
  <c r="K1404" i="1"/>
  <c r="O1405" i="1" a="1"/>
  <c r="O1405" i="1"/>
  <c r="J1405" i="1" a="1"/>
  <c r="J1405" i="1"/>
  <c r="Q1404" i="1" a="1"/>
  <c r="Q1404" i="1"/>
  <c r="O1407" i="1" a="1"/>
  <c r="O1407" i="1" s="1"/>
  <c r="Q1405" i="1" a="1"/>
  <c r="Q1405" i="1" s="1"/>
  <c r="L1407" i="1" a="1"/>
  <c r="L1407" i="1" s="1"/>
  <c r="P1409" i="1" a="1"/>
  <c r="P1409" i="1" s="1"/>
  <c r="I1409" i="1" a="1"/>
  <c r="I1409" i="1"/>
  <c r="P1405" i="1" a="1"/>
  <c r="P1405" i="1"/>
  <c r="G1407" i="1" a="1"/>
  <c r="G1407" i="1"/>
  <c r="F1408" i="1" a="1"/>
  <c r="F1408" i="1"/>
  <c r="K1408" i="1" a="1"/>
  <c r="K1408" i="1" s="1"/>
  <c r="F1405" i="1" a="1"/>
  <c r="F1405" i="1" s="1"/>
  <c r="H1410" i="1" a="1"/>
  <c r="H1410" i="1"/>
  <c r="G1410" i="1" a="1"/>
  <c r="G1410" i="1" s="1"/>
  <c r="O1409" i="1" a="1"/>
  <c r="O1409" i="1"/>
  <c r="O1404" i="1" a="1"/>
  <c r="O1404" i="1" s="1"/>
  <c r="N1409" i="1" a="1"/>
  <c r="N1409" i="1"/>
  <c r="H1408" i="1" a="1"/>
  <c r="H1408" i="1"/>
  <c r="J1408" i="1" a="1"/>
  <c r="J1408" i="1"/>
  <c r="K1409" i="1" a="1"/>
  <c r="K1409" i="1"/>
  <c r="H1405" i="1" a="1"/>
  <c r="H1405" i="1" s="1"/>
  <c r="G1405" i="1" a="1"/>
  <c r="G1405" i="1" s="1"/>
  <c r="H1409" i="1" a="1"/>
  <c r="H1409" i="1" s="1"/>
  <c r="N1405" i="1" a="1"/>
  <c r="N1405" i="1"/>
  <c r="G1408" i="1" a="1"/>
  <c r="G1408" i="1"/>
  <c r="G1409" i="1" a="1"/>
  <c r="G1409" i="1" s="1"/>
  <c r="K1407" i="1" a="1"/>
  <c r="K1407" i="1" s="1"/>
  <c r="N1407" i="1" a="1"/>
  <c r="N1407" i="1"/>
  <c r="M1408" i="1" a="1"/>
  <c r="M1408" i="1" s="1"/>
  <c r="Q1407" i="1" a="1"/>
  <c r="Q1407" i="1"/>
  <c r="L1405" i="1" a="1"/>
  <c r="L1405" i="1" s="1"/>
  <c r="Q1408" i="1" a="1"/>
  <c r="Q1408" i="1"/>
  <c r="O1408" i="1" a="1"/>
  <c r="O1408" i="1" s="1"/>
  <c r="N1408" i="1" a="1"/>
  <c r="N1408" i="1" s="1"/>
  <c r="I1408" i="1" a="1"/>
  <c r="I1408" i="1" s="1"/>
  <c r="F1407" i="1" a="1"/>
  <c r="F1407" i="1"/>
  <c r="F1410" i="1" a="1"/>
  <c r="F1410" i="1"/>
  <c r="Q1409" i="1" a="1"/>
  <c r="Q1409" i="1"/>
  <c r="L1408" i="1" a="1"/>
  <c r="L1408" i="1"/>
  <c r="I1407" i="1" a="1"/>
  <c r="I1407" i="1" s="1"/>
  <c r="P1404" i="1" a="1"/>
  <c r="P1404" i="1"/>
  <c r="L1409" i="1" a="1"/>
  <c r="L1409" i="1"/>
  <c r="N1404" i="1" a="1"/>
  <c r="N1404" i="1" s="1"/>
  <c r="M1405" i="1" a="1"/>
  <c r="M1405" i="1" s="1"/>
  <c r="K1405" i="1" a="1"/>
  <c r="K1405" i="1"/>
  <c r="N1402" i="1" a="1"/>
  <c r="N1402" i="1"/>
  <c r="O1401" i="1" a="1"/>
  <c r="O1401" i="1"/>
  <c r="L1403" i="1" a="1"/>
  <c r="L1403" i="1"/>
  <c r="H1403" i="1" a="1"/>
  <c r="H1403" i="1"/>
  <c r="M1402" i="1" a="1"/>
  <c r="M1402" i="1" s="1"/>
  <c r="N1401" i="1" a="1"/>
  <c r="N1401" i="1" s="1"/>
  <c r="F1402" i="1" a="1"/>
  <c r="F1402" i="1" s="1"/>
  <c r="H1404" i="1" a="1"/>
  <c r="H1404" i="1"/>
  <c r="O1403" i="1" a="1"/>
  <c r="O1403" i="1" s="1"/>
  <c r="H1402" i="1" a="1"/>
  <c r="H1402" i="1"/>
  <c r="P1402" i="1" a="1"/>
  <c r="P1402" i="1"/>
  <c r="G1404" i="1" a="1"/>
  <c r="G1404" i="1" s="1"/>
  <c r="Q1403" i="1" a="1"/>
  <c r="Q1403" i="1" s="1"/>
  <c r="P1403" i="1" a="1"/>
  <c r="P1403" i="1" s="1"/>
  <c r="K1403" i="1" a="1"/>
  <c r="K1403" i="1"/>
  <c r="J1402" i="1" a="1"/>
  <c r="J1402" i="1"/>
  <c r="J1401" i="1" a="1"/>
  <c r="J1401" i="1" s="1"/>
  <c r="F1401" i="1" a="1"/>
  <c r="F1401" i="1" s="1"/>
  <c r="F1404" i="1" a="1"/>
  <c r="F1404" i="1"/>
  <c r="N1403" i="1" a="1"/>
  <c r="N1403" i="1"/>
  <c r="G1403" i="1" a="1"/>
  <c r="G1403" i="1" s="1"/>
  <c r="F1403" i="1" a="1"/>
  <c r="F1403" i="1" s="1"/>
  <c r="L1402" i="1" a="1"/>
  <c r="L1402" i="1" s="1"/>
  <c r="K1402" i="1" a="1"/>
  <c r="K1402" i="1"/>
  <c r="I1402" i="1" a="1"/>
  <c r="I1402" i="1"/>
  <c r="G1401" i="1" a="1"/>
  <c r="G1401" i="1"/>
  <c r="J1404" i="1" a="1"/>
  <c r="J1404" i="1"/>
  <c r="I1403" i="1" a="1"/>
  <c r="I1403" i="1" s="1"/>
  <c r="M1401" i="1" a="1"/>
  <c r="M1401" i="1"/>
  <c r="H1401" i="1" a="1"/>
  <c r="H1401" i="1" s="1"/>
  <c r="Q1402" i="1" a="1"/>
  <c r="Q1402" i="1"/>
  <c r="L1401" i="1" a="1"/>
  <c r="L1401" i="1"/>
  <c r="K1401" i="1" a="1"/>
  <c r="K1401" i="1"/>
  <c r="I1404" i="1" a="1"/>
  <c r="I1404" i="1" s="1"/>
  <c r="P1401" i="1" a="1"/>
  <c r="P1401" i="1" s="1"/>
  <c r="J1403" i="1" a="1"/>
  <c r="J1403" i="1" s="1"/>
  <c r="M1403" i="1" a="1"/>
  <c r="M1403" i="1" s="1"/>
  <c r="O1402" i="1" a="1"/>
  <c r="O1402" i="1" s="1"/>
  <c r="G1402" i="1" a="1"/>
  <c r="G1402" i="1" s="1"/>
  <c r="Q1401" i="1" a="1"/>
  <c r="Q1401" i="1"/>
  <c r="I1401" i="1" a="1"/>
  <c r="I1401" i="1" s="1"/>
  <c r="N1373" i="1" a="1"/>
  <c r="N1373" i="1" s="1"/>
  <c r="N1374" i="1" a="1"/>
  <c r="N1374" i="1"/>
  <c r="M1374" i="1" a="1"/>
  <c r="M1374" i="1"/>
  <c r="M1373" i="1" a="1"/>
  <c r="M1373" i="1" s="1"/>
  <c r="G1374" i="1" a="1"/>
  <c r="G1374" i="1" s="1"/>
  <c r="O1374" i="1" a="1"/>
  <c r="O1374" i="1" s="1"/>
  <c r="F1374" i="1" a="1"/>
  <c r="F1374" i="1" s="1"/>
  <c r="Q1374" i="1" a="1"/>
  <c r="Q1374" i="1"/>
  <c r="I1374" i="1" a="1"/>
  <c r="I1374" i="1" s="1"/>
  <c r="L1373" i="1" a="1"/>
  <c r="L1373" i="1" s="1"/>
  <c r="I1373" i="1" a="1"/>
  <c r="I1373" i="1" s="1"/>
  <c r="L1374" i="1" a="1"/>
  <c r="L1374" i="1"/>
  <c r="P1373" i="1" a="1"/>
  <c r="P1373" i="1" s="1"/>
  <c r="P1374" i="1" a="1"/>
  <c r="P1374" i="1"/>
  <c r="Q1373" i="1" a="1"/>
  <c r="Q1373" i="1"/>
  <c r="O1373" i="1" a="1"/>
  <c r="O1373" i="1"/>
  <c r="J1374" i="1" a="1"/>
  <c r="J1374" i="1"/>
  <c r="H1374" i="1" a="1"/>
  <c r="H1374" i="1"/>
  <c r="J1373" i="1" a="1"/>
  <c r="J1373" i="1" s="1"/>
  <c r="K1374" i="1" a="1"/>
  <c r="K1374" i="1"/>
  <c r="K1373" i="1" a="1"/>
  <c r="K1373" i="1"/>
  <c r="G1368" i="1" a="1"/>
  <c r="G1368" i="1" s="1"/>
  <c r="N1369" i="1" a="1"/>
  <c r="N1369" i="1"/>
  <c r="K1372" i="1" a="1"/>
  <c r="K1372" i="1" s="1"/>
  <c r="J1372" i="1" a="1"/>
  <c r="J1372" i="1" s="1"/>
  <c r="Q1371" i="1" a="1"/>
  <c r="Q1371" i="1"/>
  <c r="P1370" i="1" a="1"/>
  <c r="P1370" i="1" s="1"/>
  <c r="Q1370" i="1" a="1"/>
  <c r="Q1370" i="1"/>
  <c r="I1369" i="1" a="1"/>
  <c r="I1369" i="1"/>
  <c r="Q1368" i="1" a="1"/>
  <c r="Q1368" i="1" s="1"/>
  <c r="K1368" i="1" a="1"/>
  <c r="K1368" i="1"/>
  <c r="L1371" i="1" a="1"/>
  <c r="L1371" i="1"/>
  <c r="I1371" i="1" a="1"/>
  <c r="I1371" i="1"/>
  <c r="K1371" i="1" a="1"/>
  <c r="K1371" i="1" s="1"/>
  <c r="G1369" i="1" a="1"/>
  <c r="G1369" i="1" s="1"/>
  <c r="G1370" i="1" a="1"/>
  <c r="G1370" i="1"/>
  <c r="F1369" i="1" a="1"/>
  <c r="F1369" i="1"/>
  <c r="M1369" i="1" a="1"/>
  <c r="M1369" i="1" s="1"/>
  <c r="I1370" i="1" a="1"/>
  <c r="I1370" i="1" s="1"/>
  <c r="F1368" i="1" a="1"/>
  <c r="F1368" i="1"/>
  <c r="Q1367" i="1" a="1"/>
  <c r="Q1367" i="1"/>
  <c r="O1371" i="1" a="1"/>
  <c r="O1371" i="1"/>
  <c r="M1371" i="1" a="1"/>
  <c r="M1371" i="1" s="1"/>
  <c r="H1371" i="1" a="1"/>
  <c r="H1371" i="1"/>
  <c r="M1370" i="1" a="1"/>
  <c r="M1370" i="1"/>
  <c r="L1370" i="1" a="1"/>
  <c r="L1370" i="1" s="1"/>
  <c r="H1369" i="1" a="1"/>
  <c r="H1369" i="1"/>
  <c r="K1370" i="1" a="1"/>
  <c r="K1370" i="1"/>
  <c r="H1368" i="1" a="1"/>
  <c r="H1368" i="1"/>
  <c r="I1368" i="1" a="1"/>
  <c r="I1368" i="1"/>
  <c r="O1369" i="1" a="1"/>
  <c r="O1369" i="1" s="1"/>
  <c r="P1368" i="1" a="1"/>
  <c r="P1368" i="1" s="1"/>
  <c r="H1373" i="1" a="1"/>
  <c r="H1373" i="1" s="1"/>
  <c r="G1373" i="1" a="1"/>
  <c r="G1373" i="1" s="1"/>
  <c r="K1369" i="1" a="1"/>
  <c r="K1369" i="1"/>
  <c r="N1372" i="1" a="1"/>
  <c r="N1372" i="1" s="1"/>
  <c r="J1371" i="1" a="1"/>
  <c r="J1371" i="1"/>
  <c r="F1373" i="1" a="1"/>
  <c r="F1373" i="1" s="1"/>
  <c r="G1372" i="1" a="1"/>
  <c r="G1372" i="1"/>
  <c r="F1372" i="1" a="1"/>
  <c r="F1372" i="1" s="1"/>
  <c r="N1371" i="1" a="1"/>
  <c r="N1371" i="1"/>
  <c r="N1368" i="1" a="1"/>
  <c r="N1368" i="1" s="1"/>
  <c r="Q1372" i="1" a="1"/>
  <c r="Q1372" i="1" s="1"/>
  <c r="J1368" i="1" a="1"/>
  <c r="J1368" i="1" s="1"/>
  <c r="P1372" i="1" a="1"/>
  <c r="P1372" i="1"/>
  <c r="P1371" i="1" a="1"/>
  <c r="P1371" i="1" s="1"/>
  <c r="I1372" i="1" a="1"/>
  <c r="I1372" i="1"/>
  <c r="H1370" i="1" a="1"/>
  <c r="H1370" i="1"/>
  <c r="F1370" i="1" a="1"/>
  <c r="F1370" i="1"/>
  <c r="Q1369" i="1" a="1"/>
  <c r="Q1369" i="1"/>
  <c r="O1372" i="1" a="1"/>
  <c r="O1372" i="1" s="1"/>
  <c r="M1372" i="1" a="1"/>
  <c r="M1372" i="1" s="1"/>
  <c r="L1372" i="1" a="1"/>
  <c r="L1372" i="1" s="1"/>
  <c r="H1372" i="1" a="1"/>
  <c r="H1372" i="1" s="1"/>
  <c r="G1371" i="1" a="1"/>
  <c r="G1371" i="1"/>
  <c r="F1371" i="1" a="1"/>
  <c r="F1371" i="1" s="1"/>
  <c r="O1370" i="1" a="1"/>
  <c r="O1370" i="1" s="1"/>
  <c r="N1370" i="1" a="1"/>
  <c r="N1370" i="1"/>
  <c r="L1369" i="1" a="1"/>
  <c r="L1369" i="1"/>
  <c r="M1368" i="1" a="1"/>
  <c r="M1368" i="1" s="1"/>
  <c r="O1368" i="1" a="1"/>
  <c r="O1368" i="1"/>
  <c r="L1368" i="1" a="1"/>
  <c r="L1368" i="1"/>
  <c r="J1369" i="1" a="1"/>
  <c r="J1369" i="1" s="1"/>
  <c r="J1370" i="1" a="1"/>
  <c r="J1370" i="1" s="1"/>
  <c r="P1369" i="1" a="1"/>
  <c r="P1369" i="1"/>
  <c r="L1367" i="1" a="1"/>
  <c r="L1367" i="1"/>
  <c r="O1363" i="1" a="1"/>
  <c r="O1363" i="1" s="1"/>
  <c r="J1366" i="1" a="1"/>
  <c r="J1366" i="1"/>
  <c r="I1366" i="1" a="1"/>
  <c r="I1366" i="1"/>
  <c r="H1364" i="1" a="1"/>
  <c r="H1364" i="1"/>
  <c r="J1364" i="1" a="1"/>
  <c r="J1364" i="1"/>
  <c r="M1363" i="1" a="1"/>
  <c r="M1363" i="1" s="1"/>
  <c r="G1366" i="1" a="1"/>
  <c r="G1366" i="1" s="1"/>
  <c r="I1367" i="1" a="1"/>
  <c r="I1367" i="1" s="1"/>
  <c r="M1367" i="1" a="1"/>
  <c r="M1367" i="1" s="1"/>
  <c r="K1367" i="1" a="1"/>
  <c r="K1367" i="1" s="1"/>
  <c r="P1362" i="1" a="1"/>
  <c r="P1362" i="1" s="1"/>
  <c r="F1366" i="1" a="1"/>
  <c r="F1366" i="1"/>
  <c r="F1367" i="1" a="1"/>
  <c r="F1367" i="1" s="1"/>
  <c r="L1366" i="1" a="1"/>
  <c r="L1366" i="1" s="1"/>
  <c r="G1367" i="1" a="1"/>
  <c r="G1367" i="1"/>
  <c r="Q1366" i="1" a="1"/>
  <c r="Q1366" i="1"/>
  <c r="K1365" i="1" a="1"/>
  <c r="K1365" i="1" s="1"/>
  <c r="P1366" i="1" a="1"/>
  <c r="P1366" i="1" s="1"/>
  <c r="O1366" i="1" a="1"/>
  <c r="O1366" i="1" s="1"/>
  <c r="L1365" i="1" a="1"/>
  <c r="L1365" i="1"/>
  <c r="N1366" i="1" a="1"/>
  <c r="N1366" i="1"/>
  <c r="K1366" i="1" a="1"/>
  <c r="K1366" i="1" s="1"/>
  <c r="K1364" i="1" a="1"/>
  <c r="K1364" i="1"/>
  <c r="P1363" i="1" a="1"/>
  <c r="P1363" i="1"/>
  <c r="K1363" i="1" a="1"/>
  <c r="K1363" i="1" s="1"/>
  <c r="F1363" i="1" a="1"/>
  <c r="F1363" i="1"/>
  <c r="O1362" i="1" a="1"/>
  <c r="O1362" i="1"/>
  <c r="I1364" i="1" a="1"/>
  <c r="I1364" i="1"/>
  <c r="F1364" i="1" a="1"/>
  <c r="F1364" i="1"/>
  <c r="N1362" i="1" a="1"/>
  <c r="N1362" i="1"/>
  <c r="N1365" i="1" a="1"/>
  <c r="N1365" i="1" s="1"/>
  <c r="J1365" i="1" a="1"/>
  <c r="J1365" i="1"/>
  <c r="G1365" i="1" a="1"/>
  <c r="G1365" i="1" s="1"/>
  <c r="L1364" i="1" a="1"/>
  <c r="L1364" i="1" s="1"/>
  <c r="H1363" i="1" a="1"/>
  <c r="H1363" i="1" s="1"/>
  <c r="J1363" i="1" a="1"/>
  <c r="J1363" i="1" s="1"/>
  <c r="M1365" i="1" a="1"/>
  <c r="M1365" i="1"/>
  <c r="F1365" i="1" a="1"/>
  <c r="F1365" i="1" s="1"/>
  <c r="P1364" i="1" a="1"/>
  <c r="P1364" i="1" s="1"/>
  <c r="O1364" i="1" a="1"/>
  <c r="O1364" i="1" s="1"/>
  <c r="Q1363" i="1" a="1"/>
  <c r="Q1363" i="1" s="1"/>
  <c r="G1363" i="1" a="1"/>
  <c r="G1363" i="1"/>
  <c r="M1364" i="1" a="1"/>
  <c r="M1364" i="1" s="1"/>
  <c r="G1364" i="1" a="1"/>
  <c r="G1364" i="1" s="1"/>
  <c r="L1363" i="1" a="1"/>
  <c r="L1363" i="1"/>
  <c r="N1363" i="1" a="1"/>
  <c r="N1363" i="1" s="1"/>
  <c r="H1365" i="1" a="1"/>
  <c r="H1365" i="1"/>
  <c r="H1367" i="1" a="1"/>
  <c r="H1367" i="1" s="1"/>
  <c r="M1366" i="1" a="1"/>
  <c r="M1366" i="1"/>
  <c r="Q1364" i="1" a="1"/>
  <c r="Q1364" i="1" s="1"/>
  <c r="P1367" i="1" a="1"/>
  <c r="P1367" i="1" s="1"/>
  <c r="J1367" i="1" a="1"/>
  <c r="J1367" i="1"/>
  <c r="I1363" i="1" a="1"/>
  <c r="I1363" i="1"/>
  <c r="O1365" i="1" a="1"/>
  <c r="O1365" i="1" s="1"/>
  <c r="Q1362" i="1" a="1"/>
  <c r="Q1362" i="1"/>
  <c r="H1366" i="1" a="1"/>
  <c r="H1366" i="1" s="1"/>
  <c r="Q1365" i="1" a="1"/>
  <c r="Q1365" i="1"/>
  <c r="N1364" i="1" a="1"/>
  <c r="N1364" i="1" s="1"/>
  <c r="M1362" i="1" a="1"/>
  <c r="M1362" i="1" s="1"/>
  <c r="P1365" i="1" a="1"/>
  <c r="P1365" i="1" s="1"/>
  <c r="O1367" i="1" a="1"/>
  <c r="O1367" i="1" s="1"/>
  <c r="I1365" i="1" a="1"/>
  <c r="I1365" i="1"/>
  <c r="N1367" i="1" a="1"/>
  <c r="N1367" i="1"/>
  <c r="H1360" i="1" a="1"/>
  <c r="H1360" i="1" s="1"/>
  <c r="P1359" i="1" a="1"/>
  <c r="P1359" i="1"/>
  <c r="K1359" i="1" a="1"/>
  <c r="K1359" i="1"/>
  <c r="P1357" i="1" a="1"/>
  <c r="P1357" i="1" s="1"/>
  <c r="I1357" i="1" a="1"/>
  <c r="I1357" i="1" s="1"/>
  <c r="K1357" i="1" a="1"/>
  <c r="K1357" i="1" s="1"/>
  <c r="L1362" i="1" a="1"/>
  <c r="L1362" i="1" s="1"/>
  <c r="G1362" i="1" a="1"/>
  <c r="G1362" i="1" s="1"/>
  <c r="J1359" i="1" a="1"/>
  <c r="J1359" i="1"/>
  <c r="Q1357" i="1" a="1"/>
  <c r="Q1357" i="1" s="1"/>
  <c r="K1362" i="1" a="1"/>
  <c r="K1362" i="1" s="1"/>
  <c r="M1361" i="1" a="1"/>
  <c r="M1361" i="1" s="1"/>
  <c r="O1359" i="1" a="1"/>
  <c r="O1359" i="1" s="1"/>
  <c r="J1362" i="1" a="1"/>
  <c r="J1362" i="1"/>
  <c r="H1358" i="1" a="1"/>
  <c r="H1358" i="1" s="1"/>
  <c r="I1362" i="1" a="1"/>
  <c r="I1362" i="1" s="1"/>
  <c r="P1361" i="1" a="1"/>
  <c r="P1361" i="1" s="1"/>
  <c r="P1358" i="1" a="1"/>
  <c r="P1358" i="1"/>
  <c r="L1358" i="1" a="1"/>
  <c r="L1358" i="1"/>
  <c r="H1362" i="1" a="1"/>
  <c r="H1362" i="1"/>
  <c r="F1362" i="1" a="1"/>
  <c r="F1362" i="1"/>
  <c r="L1361" i="1" a="1"/>
  <c r="L1361" i="1" s="1"/>
  <c r="H1361" i="1" a="1"/>
  <c r="H1361" i="1" s="1"/>
  <c r="N1360" i="1" a="1"/>
  <c r="N1360" i="1"/>
  <c r="F1359" i="1" a="1"/>
  <c r="F1359" i="1"/>
  <c r="J1361" i="1" a="1"/>
  <c r="J1361" i="1"/>
  <c r="G1359" i="1" a="1"/>
  <c r="G1359" i="1"/>
  <c r="P1360" i="1" a="1"/>
  <c r="P1360" i="1"/>
  <c r="Q1361" i="1" a="1"/>
  <c r="Q1361" i="1" s="1"/>
  <c r="O1361" i="1" a="1"/>
  <c r="O1361" i="1"/>
  <c r="L1360" i="1" a="1"/>
  <c r="L1360" i="1"/>
  <c r="N1361" i="1" a="1"/>
  <c r="N1361" i="1"/>
  <c r="O1360" i="1" a="1"/>
  <c r="O1360" i="1" s="1"/>
  <c r="F1360" i="1" a="1"/>
  <c r="F1360" i="1"/>
  <c r="F1358" i="1" a="1"/>
  <c r="F1358" i="1"/>
  <c r="Q1360" i="1" a="1"/>
  <c r="Q1360" i="1"/>
  <c r="J1360" i="1" a="1"/>
  <c r="J1360" i="1" s="1"/>
  <c r="Q1359" i="1" a="1"/>
  <c r="Q1359" i="1" s="1"/>
  <c r="J1357" i="1" a="1"/>
  <c r="J1357" i="1"/>
  <c r="H1359" i="1" a="1"/>
  <c r="H1359" i="1"/>
  <c r="Q1358" i="1" a="1"/>
  <c r="Q1358" i="1"/>
  <c r="N1358" i="1" a="1"/>
  <c r="N1358" i="1"/>
  <c r="M1358" i="1" a="1"/>
  <c r="M1358" i="1" s="1"/>
  <c r="J1358" i="1" a="1"/>
  <c r="J1358" i="1" s="1"/>
  <c r="O1357" i="1" a="1"/>
  <c r="O1357" i="1"/>
  <c r="N1359" i="1" a="1"/>
  <c r="N1359" i="1" s="1"/>
  <c r="G1358" i="1" a="1"/>
  <c r="G1358" i="1"/>
  <c r="I1360" i="1" a="1"/>
  <c r="I1360" i="1"/>
  <c r="I1358" i="1" a="1"/>
  <c r="I1358" i="1"/>
  <c r="N1357" i="1" a="1"/>
  <c r="N1357" i="1" s="1"/>
  <c r="I1359" i="1" a="1"/>
  <c r="I1359" i="1" s="1"/>
  <c r="K1361" i="1" a="1"/>
  <c r="K1361" i="1"/>
  <c r="I1361" i="1" a="1"/>
  <c r="I1361" i="1" s="1"/>
  <c r="G1361" i="1" a="1"/>
  <c r="G1361" i="1"/>
  <c r="G1360" i="1" a="1"/>
  <c r="G1360" i="1" s="1"/>
  <c r="F1361" i="1" a="1"/>
  <c r="F1361" i="1"/>
  <c r="L1359" i="1" a="1"/>
  <c r="L1359" i="1" s="1"/>
  <c r="L1357" i="1" a="1"/>
  <c r="L1357" i="1" s="1"/>
  <c r="M1360" i="1" a="1"/>
  <c r="M1360" i="1" s="1"/>
  <c r="O1358" i="1" a="1"/>
  <c r="O1358" i="1"/>
  <c r="M1357" i="1" a="1"/>
  <c r="M1357" i="1"/>
  <c r="K1358" i="1" a="1"/>
  <c r="K1358" i="1" s="1"/>
  <c r="M1359" i="1" a="1"/>
  <c r="M1359" i="1"/>
  <c r="K1360" i="1" a="1"/>
  <c r="K1360" i="1"/>
  <c r="Q1356" i="1" a="1"/>
  <c r="Q1356" i="1"/>
  <c r="L1356" i="1" a="1"/>
  <c r="L1356" i="1" s="1"/>
  <c r="K1356" i="1" a="1"/>
  <c r="K1356" i="1"/>
  <c r="J1356" i="1" a="1"/>
  <c r="J1356" i="1"/>
  <c r="J1353" i="1" a="1"/>
  <c r="J1353" i="1"/>
  <c r="L1354" i="1" a="1"/>
  <c r="L1354" i="1" s="1"/>
  <c r="K1355" i="1" a="1"/>
  <c r="K1355" i="1" s="1"/>
  <c r="O1353" i="1" a="1"/>
  <c r="O1353" i="1" s="1"/>
  <c r="N1352" i="1" a="1"/>
  <c r="N1352" i="1" s="1"/>
  <c r="N1356" i="1" a="1"/>
  <c r="N1356" i="1"/>
  <c r="O1352" i="1" a="1"/>
  <c r="O1352" i="1" s="1"/>
  <c r="Q1355" i="1" a="1"/>
  <c r="Q1355" i="1"/>
  <c r="L1355" i="1" a="1"/>
  <c r="L1355" i="1"/>
  <c r="N1354" i="1" a="1"/>
  <c r="N1354" i="1" s="1"/>
  <c r="Q1352" i="1" a="1"/>
  <c r="Q1352" i="1"/>
  <c r="I1352" i="1" a="1"/>
  <c r="I1352" i="1"/>
  <c r="H1355" i="1" a="1"/>
  <c r="H1355" i="1" s="1"/>
  <c r="I1354" i="1" a="1"/>
  <c r="I1354" i="1"/>
  <c r="M1356" i="1" a="1"/>
  <c r="M1356" i="1"/>
  <c r="L1353" i="1" a="1"/>
  <c r="L1353" i="1"/>
  <c r="J1355" i="1" a="1"/>
  <c r="J1355" i="1" s="1"/>
  <c r="M1354" i="1" a="1"/>
  <c r="M1354" i="1" s="1"/>
  <c r="Q1353" i="1" a="1"/>
  <c r="Q1353" i="1" s="1"/>
  <c r="P1353" i="1" a="1"/>
  <c r="P1353" i="1" s="1"/>
  <c r="H1352" i="1" a="1"/>
  <c r="H1352" i="1" s="1"/>
  <c r="K1354" i="1" a="1"/>
  <c r="K1354" i="1"/>
  <c r="Q1354" i="1" a="1"/>
  <c r="Q1354" i="1" s="1"/>
  <c r="K1352" i="1" a="1"/>
  <c r="K1352" i="1"/>
  <c r="O1356" i="1" a="1"/>
  <c r="O1356" i="1"/>
  <c r="I1356" i="1" a="1"/>
  <c r="I1356" i="1" s="1"/>
  <c r="O1355" i="1" a="1"/>
  <c r="O1355" i="1"/>
  <c r="N1355" i="1" a="1"/>
  <c r="N1355" i="1"/>
  <c r="N1353" i="1" a="1"/>
  <c r="N1353" i="1"/>
  <c r="P1352" i="1" a="1"/>
  <c r="P1352" i="1"/>
  <c r="I1355" i="1" a="1"/>
  <c r="I1355" i="1" s="1"/>
  <c r="M1352" i="1" a="1"/>
  <c r="M1352" i="1"/>
  <c r="L1352" i="1" a="1"/>
  <c r="L1352" i="1" s="1"/>
  <c r="J1352" i="1" a="1"/>
  <c r="J1352" i="1" s="1"/>
  <c r="F1355" i="1" a="1"/>
  <c r="F1355" i="1"/>
  <c r="J1354" i="1" a="1"/>
  <c r="J1354" i="1" s="1"/>
  <c r="G1353" i="1" a="1"/>
  <c r="G1353" i="1"/>
  <c r="G1354" i="1" a="1"/>
  <c r="G1354" i="1"/>
  <c r="F1354" i="1" a="1"/>
  <c r="F1354" i="1" s="1"/>
  <c r="M1353" i="1" a="1"/>
  <c r="M1353" i="1"/>
  <c r="H1356" i="1" a="1"/>
  <c r="H1356" i="1"/>
  <c r="P1355" i="1" a="1"/>
  <c r="P1355" i="1" s="1"/>
  <c r="O1354" i="1" a="1"/>
  <c r="O1354" i="1"/>
  <c r="H1354" i="1" a="1"/>
  <c r="H1354" i="1"/>
  <c r="H1357" i="1" a="1"/>
  <c r="H1357" i="1" s="1"/>
  <c r="P1356" i="1" a="1"/>
  <c r="P1356" i="1" s="1"/>
  <c r="P1354" i="1" a="1"/>
  <c r="P1354" i="1"/>
  <c r="F1356" i="1" a="1"/>
  <c r="F1356" i="1" s="1"/>
  <c r="G1357" i="1" a="1"/>
  <c r="G1357" i="1" s="1"/>
  <c r="F1357" i="1" a="1"/>
  <c r="F1357" i="1"/>
  <c r="I1353" i="1" a="1"/>
  <c r="I1353" i="1"/>
  <c r="G1356" i="1" a="1"/>
  <c r="G1356" i="1" s="1"/>
  <c r="M1355" i="1" a="1"/>
  <c r="M1355" i="1" s="1"/>
  <c r="G1355" i="1" a="1"/>
  <c r="G1355" i="1" s="1"/>
  <c r="K1353" i="1" a="1"/>
  <c r="K1353" i="1"/>
  <c r="H1353" i="1" a="1"/>
  <c r="H1353" i="1" s="1"/>
  <c r="F1353" i="1" a="1"/>
  <c r="F1353" i="1" s="1"/>
  <c r="P1347" i="1" a="1"/>
  <c r="P1347" i="1"/>
  <c r="L1347" i="1" a="1"/>
  <c r="L1347" i="1" s="1"/>
  <c r="M1346" i="1" a="1"/>
  <c r="M1346" i="1"/>
  <c r="F1346" i="1" a="1"/>
  <c r="F1346" i="1" s="1"/>
  <c r="Q1346" i="1" a="1"/>
  <c r="Q1346" i="1"/>
  <c r="I1347" i="1" a="1"/>
  <c r="I1347" i="1" s="1"/>
  <c r="J1350" i="1" a="1"/>
  <c r="J1350" i="1" s="1"/>
  <c r="H1346" i="1" a="1"/>
  <c r="H1346" i="1" s="1"/>
  <c r="G1352" i="1" a="1"/>
  <c r="G1352" i="1"/>
  <c r="L1350" i="1" a="1"/>
  <c r="L1350" i="1"/>
  <c r="I1350" i="1" a="1"/>
  <c r="I1350" i="1" s="1"/>
  <c r="L1346" i="1" a="1"/>
  <c r="L1346" i="1"/>
  <c r="G1350" i="1" a="1"/>
  <c r="G1350" i="1"/>
  <c r="K1347" i="1" a="1"/>
  <c r="K1347" i="1" s="1"/>
  <c r="K1350" i="1" a="1"/>
  <c r="K1350" i="1"/>
  <c r="J1348" i="1" a="1"/>
  <c r="J1348" i="1" s="1"/>
  <c r="I1349" i="1" a="1"/>
  <c r="I1349" i="1" s="1"/>
  <c r="N1348" i="1" a="1"/>
  <c r="N1348" i="1"/>
  <c r="N1346" i="1" a="1"/>
  <c r="N1346" i="1" s="1"/>
  <c r="M1348" i="1" a="1"/>
  <c r="M1348" i="1"/>
  <c r="L1348" i="1" a="1"/>
  <c r="L1348" i="1" s="1"/>
  <c r="I1346" i="1" a="1"/>
  <c r="I1346" i="1" s="1"/>
  <c r="K1348" i="1" a="1"/>
  <c r="K1348" i="1"/>
  <c r="J1347" i="1" a="1"/>
  <c r="J1347" i="1" s="1"/>
  <c r="H1347" i="1" a="1"/>
  <c r="H1347" i="1" s="1"/>
  <c r="F1347" i="1" a="1"/>
  <c r="F1347" i="1"/>
  <c r="Q1350" i="1" a="1"/>
  <c r="Q1350" i="1" s="1"/>
  <c r="M1350" i="1" a="1"/>
  <c r="M1350" i="1"/>
  <c r="Q1347" i="1" a="1"/>
  <c r="Q1347" i="1" s="1"/>
  <c r="G1346" i="1" a="1"/>
  <c r="G1346" i="1" s="1"/>
  <c r="J1346" i="1" a="1"/>
  <c r="J1346" i="1" s="1"/>
  <c r="O1349" i="1" a="1"/>
  <c r="O1349" i="1" s="1"/>
  <c r="K1349" i="1" a="1"/>
  <c r="K1349" i="1"/>
  <c r="G1349" i="1" a="1"/>
  <c r="G1349" i="1" s="1"/>
  <c r="P1348" i="1" a="1"/>
  <c r="P1348" i="1"/>
  <c r="F1349" i="1" a="1"/>
  <c r="F1349" i="1" s="1"/>
  <c r="O1348" i="1" a="1"/>
  <c r="O1348" i="1" s="1"/>
  <c r="O1346" i="1" a="1"/>
  <c r="O1346" i="1"/>
  <c r="I1348" i="1" a="1"/>
  <c r="I1348" i="1"/>
  <c r="G1348" i="1" a="1"/>
  <c r="G1348" i="1" s="1"/>
  <c r="K1346" i="1" a="1"/>
  <c r="K1346" i="1"/>
  <c r="G1347" i="1" a="1"/>
  <c r="G1347" i="1"/>
  <c r="H1350" i="1" a="1"/>
  <c r="H1350" i="1"/>
  <c r="N1349" i="1" a="1"/>
  <c r="N1349" i="1" s="1"/>
  <c r="O1347" i="1" a="1"/>
  <c r="O1347" i="1" s="1"/>
  <c r="F1352" i="1" a="1"/>
  <c r="F1352" i="1"/>
  <c r="Q1349" i="1" a="1"/>
  <c r="Q1349" i="1" s="1"/>
  <c r="O1350" i="1" a="1"/>
  <c r="O1350" i="1" s="1"/>
  <c r="P1350" i="1" a="1"/>
  <c r="P1350" i="1" s="1"/>
  <c r="F1350" i="1" a="1"/>
  <c r="F1350" i="1"/>
  <c r="P1346" i="1" a="1"/>
  <c r="P1346" i="1" s="1"/>
  <c r="Q1348" i="1" a="1"/>
  <c r="Q1348" i="1"/>
  <c r="N1350" i="1" a="1"/>
  <c r="N1350" i="1" s="1"/>
  <c r="P1349" i="1" a="1"/>
  <c r="P1349" i="1"/>
  <c r="M1347" i="1" a="1"/>
  <c r="M1347" i="1" s="1"/>
  <c r="M1349" i="1" a="1"/>
  <c r="M1349" i="1"/>
  <c r="L1349" i="1" a="1"/>
  <c r="L1349" i="1" s="1"/>
  <c r="J1349" i="1" a="1"/>
  <c r="J1349" i="1" s="1"/>
  <c r="H1349" i="1" a="1"/>
  <c r="H1349" i="1"/>
  <c r="H1348" i="1" a="1"/>
  <c r="H1348" i="1" s="1"/>
  <c r="N1347" i="1" a="1"/>
  <c r="N1347" i="1"/>
  <c r="F1348" i="1" a="1"/>
  <c r="F1348" i="1"/>
  <c r="Q1340" i="1" a="1"/>
  <c r="Q1340" i="1" s="1"/>
  <c r="Q1338" i="1" a="1"/>
  <c r="Q1338" i="1" s="1"/>
  <c r="K1337" i="1" a="1"/>
  <c r="K1337" i="1"/>
  <c r="I1338" i="1" a="1"/>
  <c r="I1338" i="1" s="1"/>
  <c r="K1338" i="1" a="1"/>
  <c r="K1338" i="1"/>
  <c r="O1340" i="1" a="1"/>
  <c r="O1340" i="1"/>
  <c r="I1340" i="1" a="1"/>
  <c r="I1340" i="1"/>
  <c r="H1340" i="1" a="1"/>
  <c r="H1340" i="1"/>
  <c r="N1339" i="1" a="1"/>
  <c r="N1339" i="1"/>
  <c r="O1338" i="1" a="1"/>
  <c r="O1338" i="1" s="1"/>
  <c r="G1340" i="1" a="1"/>
  <c r="G1340" i="1"/>
  <c r="L1339" i="1" a="1"/>
  <c r="L1339" i="1" s="1"/>
  <c r="G1337" i="1" a="1"/>
  <c r="G1337" i="1" s="1"/>
  <c r="F1339" i="1" a="1"/>
  <c r="F1339" i="1" s="1"/>
  <c r="K1339" i="1" a="1"/>
  <c r="K1339" i="1" s="1"/>
  <c r="J1339" i="1" a="1"/>
  <c r="J1339" i="1" s="1"/>
  <c r="L1338" i="1" a="1"/>
  <c r="L1338" i="1" s="1"/>
  <c r="M1339" i="1" a="1"/>
  <c r="M1339" i="1"/>
  <c r="J1337" i="1" a="1"/>
  <c r="J1337" i="1"/>
  <c r="L1340" i="1" a="1"/>
  <c r="L1340" i="1" s="1"/>
  <c r="P1340" i="1" a="1"/>
  <c r="P1340" i="1"/>
  <c r="J1338" i="1" a="1"/>
  <c r="J1338" i="1"/>
  <c r="P1339" i="1" a="1"/>
  <c r="P1339" i="1" s="1"/>
  <c r="M1338" i="1" a="1"/>
  <c r="M1338" i="1" s="1"/>
  <c r="N1340" i="1" a="1"/>
  <c r="N1340" i="1"/>
  <c r="M1340" i="1" a="1"/>
  <c r="M1340" i="1"/>
  <c r="K1340" i="1" a="1"/>
  <c r="K1340" i="1"/>
  <c r="J1340" i="1" a="1"/>
  <c r="J1340" i="1"/>
  <c r="Q1339" i="1" a="1"/>
  <c r="Q1339" i="1" s="1"/>
  <c r="H1339" i="1" a="1"/>
  <c r="H1339" i="1" s="1"/>
  <c r="P1338" i="1" a="1"/>
  <c r="P1338" i="1" s="1"/>
  <c r="N1338" i="1" a="1"/>
  <c r="N1338" i="1"/>
  <c r="P1337" i="1" a="1"/>
  <c r="P1337" i="1"/>
  <c r="G1338" i="1" a="1"/>
  <c r="G1338" i="1" s="1"/>
  <c r="F1338" i="1" a="1"/>
  <c r="F1338" i="1" s="1"/>
  <c r="O1337" i="1" a="1"/>
  <c r="O1337" i="1"/>
  <c r="Q1336" i="1" a="1"/>
  <c r="Q1336" i="1"/>
  <c r="G1339" i="1" a="1"/>
  <c r="G1339" i="1"/>
  <c r="F1340" i="1" a="1"/>
  <c r="F1340" i="1" s="1"/>
  <c r="H1337" i="1" a="1"/>
  <c r="H1337" i="1" s="1"/>
  <c r="F1337" i="1" a="1"/>
  <c r="F1337" i="1"/>
  <c r="L1337" i="1" a="1"/>
  <c r="L1337" i="1"/>
  <c r="I1337" i="1" a="1"/>
  <c r="I1337" i="1" s="1"/>
  <c r="Q1337" i="1" a="1"/>
  <c r="Q1337" i="1" s="1"/>
  <c r="N1337" i="1" a="1"/>
  <c r="N1337" i="1" s="1"/>
  <c r="O1339" i="1" a="1"/>
  <c r="O1339" i="1" s="1"/>
  <c r="M1337" i="1" a="1"/>
  <c r="M1337" i="1"/>
  <c r="I1339" i="1" a="1"/>
  <c r="I1339" i="1" s="1"/>
  <c r="H1338" i="1" a="1"/>
  <c r="H1338" i="1"/>
  <c r="J1335" i="1" a="1"/>
  <c r="J1335" i="1"/>
  <c r="P1332" i="1" a="1"/>
  <c r="P1332" i="1"/>
  <c r="G1335" i="1" a="1"/>
  <c r="G1335" i="1"/>
  <c r="M1332" i="1" a="1"/>
  <c r="M1332" i="1" s="1"/>
  <c r="K1333" i="1" a="1"/>
  <c r="K1333" i="1" s="1"/>
  <c r="J1333" i="1" a="1"/>
  <c r="J1333" i="1" s="1"/>
  <c r="P1333" i="1" a="1"/>
  <c r="P1333" i="1" s="1"/>
  <c r="L1332" i="1" a="1"/>
  <c r="L1332" i="1"/>
  <c r="F1332" i="1" a="1"/>
  <c r="F1332" i="1"/>
  <c r="L1336" i="1" a="1"/>
  <c r="L1336" i="1" s="1"/>
  <c r="J1334" i="1" a="1"/>
  <c r="J1334" i="1" s="1"/>
  <c r="I1333" i="1" a="1"/>
  <c r="I1333" i="1"/>
  <c r="I1336" i="1" a="1"/>
  <c r="I1336" i="1" s="1"/>
  <c r="G1334" i="1" a="1"/>
  <c r="G1334" i="1" s="1"/>
  <c r="Q1335" i="1" a="1"/>
  <c r="Q1335" i="1" s="1"/>
  <c r="L1334" i="1" a="1"/>
  <c r="L1334" i="1"/>
  <c r="H1336" i="1" a="1"/>
  <c r="H1336" i="1"/>
  <c r="I1334" i="1" a="1"/>
  <c r="I1334" i="1" s="1"/>
  <c r="M1333" i="1" a="1"/>
  <c r="M1333" i="1"/>
  <c r="F1334" i="1" a="1"/>
  <c r="F1334" i="1"/>
  <c r="G1332" i="1" a="1"/>
  <c r="G1332" i="1"/>
  <c r="N1334" i="1" a="1"/>
  <c r="N1334" i="1"/>
  <c r="M1334" i="1" a="1"/>
  <c r="M1334" i="1"/>
  <c r="Q1333" i="1" a="1"/>
  <c r="Q1333" i="1"/>
  <c r="H1333" i="1" a="1"/>
  <c r="H1333" i="1"/>
  <c r="Q1332" i="1" a="1"/>
  <c r="Q1332" i="1"/>
  <c r="F1336" i="1" a="1"/>
  <c r="F1336" i="1" s="1"/>
  <c r="P1336" i="1" a="1"/>
  <c r="P1336" i="1" s="1"/>
  <c r="N1335" i="1" a="1"/>
  <c r="N1335" i="1"/>
  <c r="H1332" i="1" a="1"/>
  <c r="H1332" i="1"/>
  <c r="O1336" i="1" a="1"/>
  <c r="O1336" i="1" s="1"/>
  <c r="P1334" i="1" a="1"/>
  <c r="P1334" i="1"/>
  <c r="O1333" i="1" a="1"/>
  <c r="O1333" i="1"/>
  <c r="K1335" i="1" a="1"/>
  <c r="K1335" i="1" s="1"/>
  <c r="J1332" i="1" a="1"/>
  <c r="J1332" i="1"/>
  <c r="N1336" i="1" a="1"/>
  <c r="N1336" i="1" s="1"/>
  <c r="M1336" i="1" a="1"/>
  <c r="M1336" i="1" s="1"/>
  <c r="K1336" i="1" a="1"/>
  <c r="K1336" i="1" s="1"/>
  <c r="J1336" i="1" a="1"/>
  <c r="J1336" i="1" s="1"/>
  <c r="O1334" i="1" a="1"/>
  <c r="O1334" i="1"/>
  <c r="M1335" i="1" a="1"/>
  <c r="M1335" i="1" s="1"/>
  <c r="L1335" i="1" a="1"/>
  <c r="L1335" i="1"/>
  <c r="H1334" i="1" a="1"/>
  <c r="H1334" i="1" s="1"/>
  <c r="N1333" i="1" a="1"/>
  <c r="N1333" i="1" s="1"/>
  <c r="K1334" i="1" a="1"/>
  <c r="K1334" i="1" s="1"/>
  <c r="I1335" i="1" a="1"/>
  <c r="I1335" i="1"/>
  <c r="F1333" i="1" a="1"/>
  <c r="F1333" i="1"/>
  <c r="K1332" i="1" a="1"/>
  <c r="K1332" i="1" s="1"/>
  <c r="H1335" i="1" a="1"/>
  <c r="H1335" i="1"/>
  <c r="Q1334" i="1" a="1"/>
  <c r="Q1334" i="1"/>
  <c r="F1335" i="1" a="1"/>
  <c r="F1335" i="1" s="1"/>
  <c r="I1332" i="1" a="1"/>
  <c r="I1332" i="1"/>
  <c r="N1332" i="1" a="1"/>
  <c r="N1332" i="1"/>
  <c r="G1333" i="1" a="1"/>
  <c r="G1333" i="1"/>
  <c r="G1336" i="1" a="1"/>
  <c r="G1336" i="1" s="1"/>
  <c r="P1335" i="1" a="1"/>
  <c r="P1335" i="1"/>
  <c r="O1335" i="1" a="1"/>
  <c r="O1335" i="1" s="1"/>
  <c r="O1332" i="1" a="1"/>
  <c r="O1332" i="1"/>
  <c r="L1333" i="1" a="1"/>
  <c r="L1333" i="1"/>
  <c r="F1325" i="1" a="1"/>
  <c r="F1325" i="1" s="1"/>
  <c r="P1325" i="1" a="1"/>
  <c r="P1325" i="1" s="1"/>
  <c r="L1324" i="1" a="1"/>
  <c r="L1324" i="1"/>
  <c r="I1324" i="1" a="1"/>
  <c r="I1324" i="1"/>
  <c r="N1326" i="1" a="1"/>
  <c r="N1326" i="1"/>
  <c r="M1326" i="1" a="1"/>
  <c r="M1326" i="1" s="1"/>
  <c r="N1324" i="1" a="1"/>
  <c r="N1324" i="1"/>
  <c r="H1326" i="1" a="1"/>
  <c r="H1326" i="1" s="1"/>
  <c r="M1323" i="1" a="1"/>
  <c r="M1323" i="1"/>
  <c r="L1323" i="1" a="1"/>
  <c r="L1323" i="1" s="1"/>
  <c r="K1324" i="1" a="1"/>
  <c r="K1324" i="1" s="1"/>
  <c r="Q1324" i="1" a="1"/>
  <c r="Q1324" i="1"/>
  <c r="O1326" i="1" a="1"/>
  <c r="O1326" i="1" s="1"/>
  <c r="N1323" i="1" a="1"/>
  <c r="N1323" i="1" s="1"/>
  <c r="J1326" i="1" a="1"/>
  <c r="J1326" i="1" s="1"/>
  <c r="I1325" i="1" a="1"/>
  <c r="I1325" i="1"/>
  <c r="H1324" i="1" a="1"/>
  <c r="H1324" i="1" s="1"/>
  <c r="L1325" i="1" a="1"/>
  <c r="L1325" i="1" s="1"/>
  <c r="Q1325" i="1" a="1"/>
  <c r="Q1325" i="1"/>
  <c r="I1326" i="1" a="1"/>
  <c r="I1326" i="1"/>
  <c r="O1325" i="1" a="1"/>
  <c r="O1325" i="1" s="1"/>
  <c r="P1324" i="1" a="1"/>
  <c r="P1324" i="1"/>
  <c r="M1325" i="1" a="1"/>
  <c r="M1325" i="1"/>
  <c r="P1323" i="1" a="1"/>
  <c r="P1323" i="1" s="1"/>
  <c r="H1325" i="1" a="1"/>
  <c r="H1325" i="1"/>
  <c r="G1325" i="1" a="1"/>
  <c r="G1325" i="1"/>
  <c r="J1324" i="1" a="1"/>
  <c r="J1324" i="1"/>
  <c r="M1324" i="1" a="1"/>
  <c r="M1324" i="1"/>
  <c r="F1324" i="1" a="1"/>
  <c r="F1324" i="1"/>
  <c r="O1324" i="1" a="1"/>
  <c r="O1324" i="1" s="1"/>
  <c r="G1326" i="1" a="1"/>
  <c r="G1326" i="1" s="1"/>
  <c r="L1326" i="1" a="1"/>
  <c r="L1326" i="1"/>
  <c r="J1325" i="1" a="1"/>
  <c r="J1325" i="1"/>
  <c r="K1325" i="1" a="1"/>
  <c r="K1325" i="1" s="1"/>
  <c r="N1325" i="1" a="1"/>
  <c r="N1325" i="1"/>
  <c r="Q1323" i="1" a="1"/>
  <c r="Q1323" i="1"/>
  <c r="K1326" i="1" a="1"/>
  <c r="K1326" i="1"/>
  <c r="P1326" i="1" a="1"/>
  <c r="P1326" i="1" s="1"/>
  <c r="O1323" i="1" a="1"/>
  <c r="O1323" i="1"/>
  <c r="F1326" i="1" a="1"/>
  <c r="F1326" i="1" s="1"/>
  <c r="Q1326" i="1" a="1"/>
  <c r="Q1326" i="1"/>
  <c r="G1324" i="1" a="1"/>
  <c r="G1324" i="1" s="1"/>
  <c r="Q1321" i="1" a="1"/>
  <c r="Q1321" i="1" s="1"/>
  <c r="N1321" i="1" a="1"/>
  <c r="N1321" i="1"/>
  <c r="M1321" i="1" a="1"/>
  <c r="M1321" i="1"/>
  <c r="J1321" i="1" a="1"/>
  <c r="J1321" i="1" s="1"/>
  <c r="L1320" i="1" a="1"/>
  <c r="L1320" i="1" s="1"/>
  <c r="K1317" i="1" a="1"/>
  <c r="K1317" i="1"/>
  <c r="G1320" i="1" a="1"/>
  <c r="G1320" i="1"/>
  <c r="L1317" i="1" a="1"/>
  <c r="L1317" i="1" s="1"/>
  <c r="M1318" i="1" a="1"/>
  <c r="M1318" i="1"/>
  <c r="I1318" i="1" a="1"/>
  <c r="I1318" i="1" s="1"/>
  <c r="G1321" i="1" a="1"/>
  <c r="G1321" i="1"/>
  <c r="H1320" i="1" a="1"/>
  <c r="H1320" i="1"/>
  <c r="G1319" i="1" a="1"/>
  <c r="G1319" i="1"/>
  <c r="G1318" i="1" a="1"/>
  <c r="G1318" i="1"/>
  <c r="N1317" i="1" a="1"/>
  <c r="N1317" i="1"/>
  <c r="F1318" i="1" a="1"/>
  <c r="F1318" i="1"/>
  <c r="N1318" i="1" a="1"/>
  <c r="N1318" i="1" s="1"/>
  <c r="O1319" i="1" a="1"/>
  <c r="O1319" i="1" s="1"/>
  <c r="L1319" i="1" a="1"/>
  <c r="L1319" i="1"/>
  <c r="Q1319" i="1" a="1"/>
  <c r="Q1319" i="1" s="1"/>
  <c r="F1321" i="1" a="1"/>
  <c r="F1321" i="1" s="1"/>
  <c r="M1320" i="1" a="1"/>
  <c r="M1320" i="1"/>
  <c r="M1317" i="1" a="1"/>
  <c r="M1317" i="1"/>
  <c r="I1320" i="1" a="1"/>
  <c r="I1320" i="1" s="1"/>
  <c r="I1321" i="1" a="1"/>
  <c r="I1321" i="1" s="1"/>
  <c r="H1318" i="1" a="1"/>
  <c r="H1318" i="1" s="1"/>
  <c r="H1323" i="1" a="1"/>
  <c r="H1323" i="1" s="1"/>
  <c r="K1323" i="1" a="1"/>
  <c r="K1323" i="1"/>
  <c r="J1323" i="1" a="1"/>
  <c r="J1323" i="1" s="1"/>
  <c r="I1323" i="1" a="1"/>
  <c r="I1323" i="1" s="1"/>
  <c r="K1320" i="1" a="1"/>
  <c r="K1320" i="1" s="1"/>
  <c r="N1320" i="1" a="1"/>
  <c r="N1320" i="1"/>
  <c r="K1318" i="1" a="1"/>
  <c r="K1318" i="1" s="1"/>
  <c r="P1321" i="1" a="1"/>
  <c r="P1321" i="1" s="1"/>
  <c r="O1321" i="1" a="1"/>
  <c r="O1321" i="1"/>
  <c r="F1320" i="1" a="1"/>
  <c r="F1320" i="1" s="1"/>
  <c r="L1318" i="1" a="1"/>
  <c r="L1318" i="1"/>
  <c r="H1321" i="1" a="1"/>
  <c r="H1321" i="1" s="1"/>
  <c r="Q1320" i="1" a="1"/>
  <c r="Q1320" i="1" s="1"/>
  <c r="J1319" i="1" a="1"/>
  <c r="J1319" i="1"/>
  <c r="Q1318" i="1" a="1"/>
  <c r="Q1318" i="1"/>
  <c r="P1317" i="1" a="1"/>
  <c r="P1317" i="1"/>
  <c r="P1320" i="1" a="1"/>
  <c r="P1320" i="1" s="1"/>
  <c r="I1319" i="1" a="1"/>
  <c r="I1319" i="1"/>
  <c r="P1318" i="1" a="1"/>
  <c r="P1318" i="1"/>
  <c r="J1320" i="1" a="1"/>
  <c r="J1320" i="1"/>
  <c r="F1319" i="1" a="1"/>
  <c r="F1319" i="1"/>
  <c r="O1317" i="1" a="1"/>
  <c r="O1317" i="1"/>
  <c r="K1319" i="1" a="1"/>
  <c r="K1319" i="1" s="1"/>
  <c r="M1319" i="1" a="1"/>
  <c r="M1319" i="1" s="1"/>
  <c r="J1317" i="1" a="1"/>
  <c r="J1317" i="1"/>
  <c r="P1319" i="1" a="1"/>
  <c r="P1319" i="1" s="1"/>
  <c r="K1321" i="1" a="1"/>
  <c r="K1321" i="1"/>
  <c r="L1321" i="1" a="1"/>
  <c r="L1321" i="1"/>
  <c r="O1320" i="1" a="1"/>
  <c r="O1320" i="1" s="1"/>
  <c r="N1319" i="1" a="1"/>
  <c r="N1319" i="1" s="1"/>
  <c r="H1319" i="1" a="1"/>
  <c r="H1319" i="1"/>
  <c r="O1318" i="1" a="1"/>
  <c r="O1318" i="1" s="1"/>
  <c r="J1318" i="1" a="1"/>
  <c r="J1318" i="1" s="1"/>
  <c r="Q1317" i="1" a="1"/>
  <c r="Q1317" i="1" s="1"/>
  <c r="G1323" i="1" a="1"/>
  <c r="G1323" i="1"/>
  <c r="F1323" i="1" a="1"/>
  <c r="F1323" i="1"/>
  <c r="F1317" i="1" a="1"/>
  <c r="F1317" i="1"/>
  <c r="I1317" i="1" a="1"/>
  <c r="I1317" i="1"/>
  <c r="H1317" i="1" a="1"/>
  <c r="H1317" i="1"/>
  <c r="G1317" i="1" a="1"/>
  <c r="G1317" i="1" s="1"/>
  <c r="I1263" i="1" a="1"/>
  <c r="I1263" i="1" s="1"/>
  <c r="J1262" i="1" a="1"/>
  <c r="J1262" i="1" s="1"/>
  <c r="F1263" i="1" a="1"/>
  <c r="F1263" i="1"/>
  <c r="G1262" i="1" a="1"/>
  <c r="G1262" i="1"/>
  <c r="N1262" i="1" a="1"/>
  <c r="N1262" i="1"/>
  <c r="J1261" i="1" a="1"/>
  <c r="J1261" i="1" s="1"/>
  <c r="F1262" i="1" a="1"/>
  <c r="F1262" i="1"/>
  <c r="Q1261" i="1" a="1"/>
  <c r="Q1261" i="1"/>
  <c r="O1263" i="1" a="1"/>
  <c r="O1263" i="1" s="1"/>
  <c r="K1263" i="1" a="1"/>
  <c r="K1263" i="1" s="1"/>
  <c r="P1261" i="1" a="1"/>
  <c r="P1261" i="1"/>
  <c r="Q1262" i="1" a="1"/>
  <c r="Q1262" i="1" s="1"/>
  <c r="L1261" i="1" a="1"/>
  <c r="L1261" i="1"/>
  <c r="P1262" i="1" a="1"/>
  <c r="P1262" i="1" s="1"/>
  <c r="Q1263" i="1" a="1"/>
  <c r="Q1263" i="1" s="1"/>
  <c r="O1262" i="1" a="1"/>
  <c r="O1262" i="1"/>
  <c r="G1261" i="1" a="1"/>
  <c r="G1261" i="1"/>
  <c r="M1262" i="1" a="1"/>
  <c r="M1262" i="1" s="1"/>
  <c r="L1262" i="1" a="1"/>
  <c r="L1262" i="1" s="1"/>
  <c r="H1261" i="1" a="1"/>
  <c r="H1261" i="1"/>
  <c r="K1261" i="1" a="1"/>
  <c r="K1261" i="1" s="1"/>
  <c r="K1262" i="1" a="1"/>
  <c r="K1262" i="1" s="1"/>
  <c r="I1261" i="1" a="1"/>
  <c r="I1261" i="1"/>
  <c r="J1263" i="1" a="1"/>
  <c r="J1263" i="1"/>
  <c r="P1263" i="1" a="1"/>
  <c r="P1263" i="1" s="1"/>
  <c r="O1261" i="1" a="1"/>
  <c r="O1261" i="1"/>
  <c r="N1263" i="1" a="1"/>
  <c r="N1263" i="1"/>
  <c r="I1262" i="1" a="1"/>
  <c r="I1262" i="1" s="1"/>
  <c r="M1261" i="1" a="1"/>
  <c r="M1261" i="1"/>
  <c r="N1261" i="1" a="1"/>
  <c r="N1261" i="1" s="1"/>
  <c r="G1263" i="1" a="1"/>
  <c r="G1263" i="1" s="1"/>
  <c r="L1263" i="1" a="1"/>
  <c r="L1263" i="1"/>
  <c r="H1262" i="1" a="1"/>
  <c r="H1262" i="1"/>
  <c r="M1263" i="1" a="1"/>
  <c r="M1263" i="1"/>
  <c r="H1263" i="1" a="1"/>
  <c r="H1263" i="1"/>
  <c r="G1256" i="1" a="1"/>
  <c r="G1256" i="1"/>
  <c r="O1255" i="1" a="1"/>
  <c r="O1255" i="1"/>
  <c r="O1258" i="1" a="1"/>
  <c r="O1258" i="1"/>
  <c r="K1257" i="1" a="1"/>
  <c r="K1257" i="1" s="1"/>
  <c r="O1257" i="1" a="1"/>
  <c r="O1257" i="1"/>
  <c r="Q1255" i="1" a="1"/>
  <c r="Q1255" i="1" s="1"/>
  <c r="I1257" i="1" a="1"/>
  <c r="I1257" i="1" s="1"/>
  <c r="Q1256" i="1" a="1"/>
  <c r="Q1256" i="1" s="1"/>
  <c r="K1259" i="1" a="1"/>
  <c r="K1259" i="1" s="1"/>
  <c r="F1258" i="1" a="1"/>
  <c r="F1258" i="1"/>
  <c r="H1260" i="1" a="1"/>
  <c r="H1260" i="1" s="1"/>
  <c r="Q1257" i="1" a="1"/>
  <c r="Q1257" i="1" s="1"/>
  <c r="P1259" i="1" a="1"/>
  <c r="P1259" i="1" s="1"/>
  <c r="G1259" i="1" a="1"/>
  <c r="G1259" i="1"/>
  <c r="Q1258" i="1" a="1"/>
  <c r="Q1258" i="1" s="1"/>
  <c r="G1258" i="1" a="1"/>
  <c r="G1258" i="1" s="1"/>
  <c r="F1256" i="1" a="1"/>
  <c r="F1256" i="1"/>
  <c r="F1257" i="1" a="1"/>
  <c r="F1257" i="1"/>
  <c r="M1260" i="1" a="1"/>
  <c r="M1260" i="1"/>
  <c r="H1257" i="1" a="1"/>
  <c r="H1257" i="1"/>
  <c r="O1260" i="1" a="1"/>
  <c r="O1260" i="1" s="1"/>
  <c r="N1260" i="1" a="1"/>
  <c r="N1260" i="1"/>
  <c r="L1259" i="1" a="1"/>
  <c r="L1259" i="1"/>
  <c r="H1259" i="1" a="1"/>
  <c r="H1259" i="1" s="1"/>
  <c r="F1261" i="1" a="1"/>
  <c r="F1261" i="1" s="1"/>
  <c r="K1260" i="1" a="1"/>
  <c r="K1260" i="1"/>
  <c r="F1260" i="1" a="1"/>
  <c r="F1260" i="1" s="1"/>
  <c r="J1259" i="1" a="1"/>
  <c r="J1259" i="1"/>
  <c r="M1256" i="1" a="1"/>
  <c r="M1256" i="1"/>
  <c r="H1256" i="1" a="1"/>
  <c r="H1256" i="1"/>
  <c r="N1256" i="1" a="1"/>
  <c r="N1256" i="1"/>
  <c r="N1258" i="1" a="1"/>
  <c r="N1258" i="1"/>
  <c r="Q1260" i="1" a="1"/>
  <c r="Q1260" i="1" s="1"/>
  <c r="G1260" i="1" a="1"/>
  <c r="G1260" i="1"/>
  <c r="P1260" i="1" a="1"/>
  <c r="P1260" i="1" s="1"/>
  <c r="L1260" i="1" a="1"/>
  <c r="L1260" i="1"/>
  <c r="J1260" i="1" a="1"/>
  <c r="J1260" i="1" s="1"/>
  <c r="I1260" i="1" a="1"/>
  <c r="I1260" i="1"/>
  <c r="Q1259" i="1" a="1"/>
  <c r="Q1259" i="1"/>
  <c r="O1259" i="1" a="1"/>
  <c r="O1259" i="1" s="1"/>
  <c r="P1256" i="1" a="1"/>
  <c r="P1256" i="1" s="1"/>
  <c r="M1259" i="1" a="1"/>
  <c r="M1259" i="1" s="1"/>
  <c r="F1259" i="1" a="1"/>
  <c r="F1259" i="1"/>
  <c r="J1258" i="1" a="1"/>
  <c r="J1258" i="1" s="1"/>
  <c r="I1258" i="1" a="1"/>
  <c r="I1258" i="1" s="1"/>
  <c r="J1257" i="1" a="1"/>
  <c r="J1257" i="1"/>
  <c r="K1256" i="1" a="1"/>
  <c r="K1256" i="1" s="1"/>
  <c r="I1259" i="1" a="1"/>
  <c r="I1259" i="1" s="1"/>
  <c r="M1258" i="1" a="1"/>
  <c r="M1258" i="1" s="1"/>
  <c r="L1258" i="1" a="1"/>
  <c r="L1258" i="1" s="1"/>
  <c r="K1258" i="1" a="1"/>
  <c r="K1258" i="1"/>
  <c r="O1256" i="1" a="1"/>
  <c r="O1256" i="1" s="1"/>
  <c r="L1256" i="1" a="1"/>
  <c r="L1256" i="1"/>
  <c r="G1257" i="1" a="1"/>
  <c r="G1257" i="1" s="1"/>
  <c r="L1257" i="1" a="1"/>
  <c r="L1257" i="1"/>
  <c r="J1256" i="1" a="1"/>
  <c r="J1256" i="1" s="1"/>
  <c r="N1259" i="1" a="1"/>
  <c r="N1259" i="1"/>
  <c r="P1258" i="1" a="1"/>
  <c r="P1258" i="1"/>
  <c r="P1255" i="1" a="1"/>
  <c r="P1255" i="1"/>
  <c r="H1258" i="1" a="1"/>
  <c r="H1258" i="1"/>
  <c r="M1257" i="1" a="1"/>
  <c r="M1257" i="1"/>
  <c r="P1257" i="1" a="1"/>
  <c r="P1257" i="1" s="1"/>
  <c r="N1257" i="1" a="1"/>
  <c r="N1257" i="1" s="1"/>
  <c r="I1256" i="1" a="1"/>
  <c r="I1256" i="1" s="1"/>
  <c r="L1253" i="1" a="1"/>
  <c r="L1253" i="1" s="1"/>
  <c r="J1253" i="1" a="1"/>
  <c r="J1253" i="1"/>
  <c r="O1252" i="1" a="1"/>
  <c r="O1252" i="1" s="1"/>
  <c r="Q1251" i="1" a="1"/>
  <c r="Q1251" i="1"/>
  <c r="M1250" i="1" a="1"/>
  <c r="M1250" i="1" s="1"/>
  <c r="G1252" i="1" a="1"/>
  <c r="G1252" i="1" s="1"/>
  <c r="M1255" i="1" a="1"/>
  <c r="M1255" i="1" s="1"/>
  <c r="N1251" i="1" a="1"/>
  <c r="N1251" i="1"/>
  <c r="N1255" i="1" a="1"/>
  <c r="N1255" i="1" s="1"/>
  <c r="L1255" i="1" a="1"/>
  <c r="L1255" i="1" s="1"/>
  <c r="K1255" i="1" a="1"/>
  <c r="K1255" i="1"/>
  <c r="P1251" i="1" a="1"/>
  <c r="P1251" i="1" s="1"/>
  <c r="M1251" i="1" a="1"/>
  <c r="M1251" i="1" s="1"/>
  <c r="J1255" i="1" a="1"/>
  <c r="J1255" i="1" s="1"/>
  <c r="J1251" i="1" a="1"/>
  <c r="J1251" i="1" s="1"/>
  <c r="G1254" i="1" a="1"/>
  <c r="G1254" i="1"/>
  <c r="I1252" i="1" a="1"/>
  <c r="I1252" i="1" s="1"/>
  <c r="O1250" i="1" a="1"/>
  <c r="O1250" i="1" s="1"/>
  <c r="G1251" i="1" a="1"/>
  <c r="G1251" i="1"/>
  <c r="H1255" i="1" a="1"/>
  <c r="H1255" i="1"/>
  <c r="I1255" i="1" a="1"/>
  <c r="I1255" i="1" s="1"/>
  <c r="I1251" i="1" a="1"/>
  <c r="I1251" i="1"/>
  <c r="O1254" i="1" a="1"/>
  <c r="O1254" i="1"/>
  <c r="F1254" i="1" a="1"/>
  <c r="F1254" i="1"/>
  <c r="J1252" i="1" a="1"/>
  <c r="J1252" i="1"/>
  <c r="N1252" i="1" a="1"/>
  <c r="N1252" i="1"/>
  <c r="K1252" i="1" a="1"/>
  <c r="K1252" i="1" s="1"/>
  <c r="I1254" i="1" a="1"/>
  <c r="I1254" i="1"/>
  <c r="O1253" i="1" a="1"/>
  <c r="O1253" i="1" s="1"/>
  <c r="P1253" i="1" a="1"/>
  <c r="P1253" i="1" s="1"/>
  <c r="K1253" i="1" a="1"/>
  <c r="K1253" i="1"/>
  <c r="L1250" i="1" a="1"/>
  <c r="L1250" i="1" s="1"/>
  <c r="G1255" i="1" a="1"/>
  <c r="G1255" i="1" s="1"/>
  <c r="F1255" i="1" a="1"/>
  <c r="F1255" i="1" s="1"/>
  <c r="Q1254" i="1" a="1"/>
  <c r="Q1254" i="1"/>
  <c r="P1254" i="1" a="1"/>
  <c r="P1254" i="1" s="1"/>
  <c r="N1254" i="1" a="1"/>
  <c r="N1254" i="1"/>
  <c r="M1254" i="1" a="1"/>
  <c r="M1254" i="1" s="1"/>
  <c r="F1252" i="1" a="1"/>
  <c r="F1252" i="1" s="1"/>
  <c r="L1254" i="1" a="1"/>
  <c r="L1254" i="1" s="1"/>
  <c r="K1254" i="1" a="1"/>
  <c r="K1254" i="1" s="1"/>
  <c r="H1251" i="1" a="1"/>
  <c r="H1251" i="1"/>
  <c r="Q1253" i="1" a="1"/>
  <c r="Q1253" i="1" s="1"/>
  <c r="N1253" i="1" a="1"/>
  <c r="N1253" i="1"/>
  <c r="M1253" i="1" a="1"/>
  <c r="M1253" i="1"/>
  <c r="I1253" i="1" a="1"/>
  <c r="I1253" i="1"/>
  <c r="F1253" i="1" a="1"/>
  <c r="F1253" i="1"/>
  <c r="P1252" i="1" a="1"/>
  <c r="P1252" i="1" s="1"/>
  <c r="M1252" i="1" a="1"/>
  <c r="M1252" i="1"/>
  <c r="K1251" i="1" a="1"/>
  <c r="K1251" i="1" s="1"/>
  <c r="L1252" i="1" a="1"/>
  <c r="L1252" i="1"/>
  <c r="L1251" i="1" a="1"/>
  <c r="L1251" i="1"/>
  <c r="P1250" i="1" a="1"/>
  <c r="P1250" i="1"/>
  <c r="K1250" i="1" a="1"/>
  <c r="K1250" i="1"/>
  <c r="Q1250" i="1" a="1"/>
  <c r="Q1250" i="1" s="1"/>
  <c r="J1254" i="1" a="1"/>
  <c r="J1254" i="1" s="1"/>
  <c r="G1253" i="1" a="1"/>
  <c r="G1253" i="1"/>
  <c r="H1252" i="1" a="1"/>
  <c r="H1252" i="1"/>
  <c r="O1251" i="1" a="1"/>
  <c r="O1251" i="1" s="1"/>
  <c r="N1250" i="1" a="1"/>
  <c r="N1250" i="1"/>
  <c r="Q1252" i="1" a="1"/>
  <c r="Q1252" i="1"/>
  <c r="F1251" i="1" a="1"/>
  <c r="F1251" i="1"/>
  <c r="H1253" i="1" a="1"/>
  <c r="H1253" i="1" s="1"/>
  <c r="H1254" i="1" a="1"/>
  <c r="H1254" i="1"/>
  <c r="G1247" i="1" a="1"/>
  <c r="G1247" i="1" s="1"/>
  <c r="P1246" i="1" a="1"/>
  <c r="P1246" i="1"/>
  <c r="G1249" i="1" a="1"/>
  <c r="G1249" i="1" s="1"/>
  <c r="P1248" i="1" a="1"/>
  <c r="P1248" i="1" s="1"/>
  <c r="N1248" i="1" a="1"/>
  <c r="N1248" i="1" s="1"/>
  <c r="L1248" i="1" a="1"/>
  <c r="L1248" i="1"/>
  <c r="N1246" i="1" a="1"/>
  <c r="N1246" i="1" s="1"/>
  <c r="I1248" i="1" a="1"/>
  <c r="I1248" i="1" s="1"/>
  <c r="G1248" i="1" a="1"/>
  <c r="G1248" i="1"/>
  <c r="F1248" i="1" a="1"/>
  <c r="F1248" i="1"/>
  <c r="M1247" i="1" a="1"/>
  <c r="M1247" i="1" s="1"/>
  <c r="K1246" i="1" a="1"/>
  <c r="K1246" i="1" s="1"/>
  <c r="I1245" i="1" a="1"/>
  <c r="I1245" i="1"/>
  <c r="F1247" i="1" a="1"/>
  <c r="F1247" i="1"/>
  <c r="M1245" i="1" a="1"/>
  <c r="M1245" i="1"/>
  <c r="Q1246" i="1" a="1"/>
  <c r="Q1246" i="1"/>
  <c r="F1246" i="1" a="1"/>
  <c r="F1246" i="1"/>
  <c r="J1246" i="1" a="1"/>
  <c r="J1246" i="1"/>
  <c r="Q1245" i="1" a="1"/>
  <c r="Q1245" i="1" s="1"/>
  <c r="M1246" i="1" a="1"/>
  <c r="M1246" i="1" s="1"/>
  <c r="L1246" i="1" a="1"/>
  <c r="L1246" i="1" s="1"/>
  <c r="G1245" i="1" a="1"/>
  <c r="G1245" i="1"/>
  <c r="L1245" i="1" a="1"/>
  <c r="L1245" i="1"/>
  <c r="J1250" i="1" a="1"/>
  <c r="J1250" i="1" s="1"/>
  <c r="I1250" i="1" a="1"/>
  <c r="I1250" i="1"/>
  <c r="H1250" i="1" a="1"/>
  <c r="H1250" i="1" s="1"/>
  <c r="Q1247" i="1" a="1"/>
  <c r="Q1247" i="1"/>
  <c r="I1247" i="1" a="1"/>
  <c r="I1247" i="1" s="1"/>
  <c r="J1247" i="1" a="1"/>
  <c r="J1247" i="1" s="1"/>
  <c r="G1250" i="1" a="1"/>
  <c r="G1250" i="1" s="1"/>
  <c r="F1250" i="1" a="1"/>
  <c r="F1250" i="1"/>
  <c r="Q1249" i="1" a="1"/>
  <c r="Q1249" i="1" s="1"/>
  <c r="P1249" i="1" a="1"/>
  <c r="P1249" i="1" s="1"/>
  <c r="H1245" i="1" a="1"/>
  <c r="H1245" i="1"/>
  <c r="K1249" i="1" a="1"/>
  <c r="K1249" i="1" s="1"/>
  <c r="F1249" i="1" a="1"/>
  <c r="F1249" i="1"/>
  <c r="O1248" i="1" a="1"/>
  <c r="O1248" i="1" s="1"/>
  <c r="M1248" i="1" a="1"/>
  <c r="M1248" i="1" s="1"/>
  <c r="K1245" i="1" a="1"/>
  <c r="K1245" i="1"/>
  <c r="J1248" i="1" a="1"/>
  <c r="J1248" i="1"/>
  <c r="H1248" i="1" a="1"/>
  <c r="H1248" i="1"/>
  <c r="K1247" i="1" a="1"/>
  <c r="K1247" i="1"/>
  <c r="H1246" i="1" a="1"/>
  <c r="H1246" i="1" s="1"/>
  <c r="O1245" i="1" a="1"/>
  <c r="O1245" i="1" s="1"/>
  <c r="J1245" i="1" a="1"/>
  <c r="J1245" i="1"/>
  <c r="O1247" i="1" a="1"/>
  <c r="O1247" i="1" s="1"/>
  <c r="O1246" i="1" a="1"/>
  <c r="O1246" i="1" s="1"/>
  <c r="K1248" i="1" a="1"/>
  <c r="K1248" i="1" s="1"/>
  <c r="G1246" i="1" a="1"/>
  <c r="G1246" i="1" s="1"/>
  <c r="N1245" i="1" a="1"/>
  <c r="N1245" i="1" s="1"/>
  <c r="L1249" i="1" a="1"/>
  <c r="L1249" i="1"/>
  <c r="O1249" i="1" a="1"/>
  <c r="O1249" i="1" s="1"/>
  <c r="P1247" i="1" a="1"/>
  <c r="P1247" i="1" s="1"/>
  <c r="N1249" i="1" a="1"/>
  <c r="N1249" i="1"/>
  <c r="Q1248" i="1" a="1"/>
  <c r="Q1248" i="1"/>
  <c r="N1247" i="1" a="1"/>
  <c r="N1247" i="1"/>
  <c r="M1249" i="1" a="1"/>
  <c r="M1249" i="1"/>
  <c r="J1249" i="1" a="1"/>
  <c r="J1249" i="1"/>
  <c r="I1249" i="1" a="1"/>
  <c r="I1249" i="1" s="1"/>
  <c r="H1249" i="1" a="1"/>
  <c r="H1249" i="1"/>
  <c r="I1246" i="1" a="1"/>
  <c r="I1246" i="1" s="1"/>
  <c r="P1245" i="1" a="1"/>
  <c r="P1245" i="1"/>
  <c r="L1247" i="1" a="1"/>
  <c r="L1247" i="1"/>
  <c r="H1247" i="1" a="1"/>
  <c r="H1247" i="1" s="1"/>
  <c r="L1242" i="1" a="1"/>
  <c r="L1242" i="1" s="1"/>
  <c r="J1241" i="1" a="1"/>
  <c r="J1241" i="1"/>
  <c r="F1240" i="1" a="1"/>
  <c r="F1240" i="1" s="1"/>
  <c r="F1241" i="1" a="1"/>
  <c r="F1241" i="1" s="1"/>
  <c r="J1240" i="1" a="1"/>
  <c r="J1240" i="1"/>
  <c r="M1240" i="1" a="1"/>
  <c r="M1240" i="1"/>
  <c r="I1243" i="1" a="1"/>
  <c r="I1243" i="1"/>
  <c r="H1244" i="1" a="1"/>
  <c r="H1244" i="1" s="1"/>
  <c r="I1241" i="1" a="1"/>
  <c r="I1241" i="1"/>
  <c r="O1240" i="1" a="1"/>
  <c r="O1240" i="1"/>
  <c r="G1244" i="1" a="1"/>
  <c r="G1244" i="1" s="1"/>
  <c r="H1241" i="1" a="1"/>
  <c r="H1241" i="1" s="1"/>
  <c r="N1243" i="1" a="1"/>
  <c r="N1243" i="1" s="1"/>
  <c r="J1242" i="1" a="1"/>
  <c r="J1242" i="1"/>
  <c r="H1240" i="1" a="1"/>
  <c r="H1240" i="1"/>
  <c r="N1242" i="1" a="1"/>
  <c r="N1242" i="1"/>
  <c r="L1240" i="1" a="1"/>
  <c r="L1240" i="1"/>
  <c r="L1243" i="1" a="1"/>
  <c r="L1243" i="1" s="1"/>
  <c r="O1241" i="1" a="1"/>
  <c r="O1241" i="1"/>
  <c r="M1242" i="1" a="1"/>
  <c r="M1242" i="1"/>
  <c r="K1242" i="1" a="1"/>
  <c r="K1242" i="1" s="1"/>
  <c r="K1241" i="1" a="1"/>
  <c r="K1241" i="1"/>
  <c r="P1239" i="1" a="1"/>
  <c r="P1239" i="1" s="1"/>
  <c r="K1240" i="1" a="1"/>
  <c r="K1240" i="1" s="1"/>
  <c r="O1239" i="1" a="1"/>
  <c r="O1239" i="1" s="1"/>
  <c r="N1240" i="1" a="1"/>
  <c r="N1240" i="1"/>
  <c r="I1240" i="1" a="1"/>
  <c r="I1240" i="1"/>
  <c r="F1245" i="1" a="1"/>
  <c r="F1245" i="1"/>
  <c r="Q1244" i="1" a="1"/>
  <c r="Q1244" i="1" s="1"/>
  <c r="P1244" i="1" a="1"/>
  <c r="P1244" i="1"/>
  <c r="O1244" i="1" a="1"/>
  <c r="O1244" i="1"/>
  <c r="Q1239" i="1" a="1"/>
  <c r="Q1239" i="1"/>
  <c r="H1243" i="1" a="1"/>
  <c r="H1243" i="1" s="1"/>
  <c r="Q1240" i="1" a="1"/>
  <c r="Q1240" i="1"/>
  <c r="N1244" i="1" a="1"/>
  <c r="N1244" i="1"/>
  <c r="M1244" i="1" a="1"/>
  <c r="M1244" i="1" s="1"/>
  <c r="L1244" i="1" a="1"/>
  <c r="L1244" i="1"/>
  <c r="I1242" i="1" a="1"/>
  <c r="I1242" i="1" s="1"/>
  <c r="G1240" i="1" a="1"/>
  <c r="G1240" i="1" s="1"/>
  <c r="Q1243" i="1" a="1"/>
  <c r="Q1243" i="1"/>
  <c r="G1243" i="1" a="1"/>
  <c r="G1243" i="1" s="1"/>
  <c r="L1241" i="1" a="1"/>
  <c r="L1241" i="1" s="1"/>
  <c r="G1241" i="1" a="1"/>
  <c r="G1241" i="1"/>
  <c r="Q1242" i="1" a="1"/>
  <c r="Q1242" i="1"/>
  <c r="G1242" i="1" a="1"/>
  <c r="G1242" i="1"/>
  <c r="P1242" i="1" a="1"/>
  <c r="P1242" i="1" s="1"/>
  <c r="P1240" i="1" a="1"/>
  <c r="P1240" i="1" s="1"/>
  <c r="K1244" i="1" a="1"/>
  <c r="K1244" i="1"/>
  <c r="J1244" i="1" a="1"/>
  <c r="J1244" i="1" s="1"/>
  <c r="I1244" i="1" a="1"/>
  <c r="I1244" i="1" s="1"/>
  <c r="M1243" i="1" a="1"/>
  <c r="M1243" i="1"/>
  <c r="F1242" i="1" a="1"/>
  <c r="F1242" i="1"/>
  <c r="P1241" i="1" a="1"/>
  <c r="P1241" i="1" s="1"/>
  <c r="H1242" i="1" a="1"/>
  <c r="H1242" i="1"/>
  <c r="M1241" i="1" a="1"/>
  <c r="M1241" i="1" s="1"/>
  <c r="F1244" i="1" a="1"/>
  <c r="F1244" i="1"/>
  <c r="P1243" i="1" a="1"/>
  <c r="P1243" i="1"/>
  <c r="K1243" i="1" a="1"/>
  <c r="K1243" i="1" s="1"/>
  <c r="F1243" i="1" a="1"/>
  <c r="F1243" i="1"/>
  <c r="Q1241" i="1" a="1"/>
  <c r="Q1241" i="1" s="1"/>
  <c r="N1241" i="1" a="1"/>
  <c r="N1241" i="1"/>
  <c r="O1243" i="1" a="1"/>
  <c r="O1243" i="1"/>
  <c r="J1243" i="1" a="1"/>
  <c r="J1243" i="1" s="1"/>
  <c r="O1242" i="1" a="1"/>
  <c r="O1242" i="1"/>
  <c r="O1236" i="1" a="1"/>
  <c r="O1236" i="1"/>
  <c r="J1235" i="1" a="1"/>
  <c r="J1235" i="1" s="1"/>
  <c r="O1238" i="1" a="1"/>
  <c r="O1238" i="1" s="1"/>
  <c r="L1238" i="1" a="1"/>
  <c r="L1238" i="1" s="1"/>
  <c r="K1238" i="1" a="1"/>
  <c r="K1238" i="1"/>
  <c r="N1235" i="1" a="1"/>
  <c r="N1235" i="1" s="1"/>
  <c r="I1238" i="1" a="1"/>
  <c r="I1238" i="1" s="1"/>
  <c r="Q1237" i="1" a="1"/>
  <c r="Q1237" i="1" s="1"/>
  <c r="I1237" i="1" a="1"/>
  <c r="I1237" i="1" s="1"/>
  <c r="J1236" i="1" a="1"/>
  <c r="J1236" i="1" s="1"/>
  <c r="I1236" i="1" a="1"/>
  <c r="I1236" i="1" s="1"/>
  <c r="N1237" i="1" a="1"/>
  <c r="N1237" i="1"/>
  <c r="L1237" i="1" a="1"/>
  <c r="L1237" i="1"/>
  <c r="M1237" i="1" a="1"/>
  <c r="M1237" i="1" s="1"/>
  <c r="Q1236" i="1" a="1"/>
  <c r="Q1236" i="1" s="1"/>
  <c r="Q1234" i="1" a="1"/>
  <c r="Q1234" i="1"/>
  <c r="L1234" i="1" a="1"/>
  <c r="L1234" i="1" s="1"/>
  <c r="N1236" i="1" a="1"/>
  <c r="N1236" i="1"/>
  <c r="M1236" i="1" a="1"/>
  <c r="M1236" i="1"/>
  <c r="F1236" i="1" a="1"/>
  <c r="F1236" i="1"/>
  <c r="G1235" i="1" a="1"/>
  <c r="G1235" i="1"/>
  <c r="O1235" i="1" a="1"/>
  <c r="O1235" i="1"/>
  <c r="M1235" i="1" a="1"/>
  <c r="M1235" i="1" s="1"/>
  <c r="L1235" i="1" a="1"/>
  <c r="L1235" i="1" s="1"/>
  <c r="M1234" i="1" a="1"/>
  <c r="M1234" i="1" s="1"/>
  <c r="K1235" i="1" a="1"/>
  <c r="K1235" i="1" s="1"/>
  <c r="N1234" i="1" a="1"/>
  <c r="N1234" i="1" s="1"/>
  <c r="N1239" i="1" a="1"/>
  <c r="N1239" i="1" s="1"/>
  <c r="M1239" i="1" a="1"/>
  <c r="M1239" i="1"/>
  <c r="L1239" i="1" a="1"/>
  <c r="L1239" i="1" s="1"/>
  <c r="K1239" i="1" a="1"/>
  <c r="K1239" i="1" s="1"/>
  <c r="J1239" i="1" a="1"/>
  <c r="J1239" i="1"/>
  <c r="I1239" i="1" a="1"/>
  <c r="I1239" i="1"/>
  <c r="P1234" i="1" a="1"/>
  <c r="P1234" i="1" s="1"/>
  <c r="G1236" i="1" a="1"/>
  <c r="G1236" i="1"/>
  <c r="H1239" i="1" a="1"/>
  <c r="H1239" i="1"/>
  <c r="M1238" i="1" a="1"/>
  <c r="M1238" i="1"/>
  <c r="J1238" i="1" a="1"/>
  <c r="J1238" i="1" s="1"/>
  <c r="P1236" i="1" a="1"/>
  <c r="P1236" i="1"/>
  <c r="I1235" i="1" a="1"/>
  <c r="I1235" i="1" s="1"/>
  <c r="H1238" i="1" a="1"/>
  <c r="H1238" i="1" s="1"/>
  <c r="K1234" i="1" a="1"/>
  <c r="K1234" i="1" s="1"/>
  <c r="H1237" i="1" a="1"/>
  <c r="H1237" i="1"/>
  <c r="H1236" i="1" a="1"/>
  <c r="H1236" i="1" s="1"/>
  <c r="P1235" i="1" a="1"/>
  <c r="P1235" i="1" s="1"/>
  <c r="H1235" i="1" a="1"/>
  <c r="H1235" i="1"/>
  <c r="O1234" i="1" a="1"/>
  <c r="O1234" i="1"/>
  <c r="K1236" i="1" a="1"/>
  <c r="K1236" i="1"/>
  <c r="G1237" i="1" a="1"/>
  <c r="G1237" i="1"/>
  <c r="F1238" i="1" a="1"/>
  <c r="F1238" i="1"/>
  <c r="O1237" i="1" a="1"/>
  <c r="O1237" i="1" s="1"/>
  <c r="L1236" i="1" a="1"/>
  <c r="L1236" i="1"/>
  <c r="K1237" i="1" a="1"/>
  <c r="K1237" i="1"/>
  <c r="P1237" i="1" a="1"/>
  <c r="P1237" i="1" s="1"/>
  <c r="J1237" i="1" a="1"/>
  <c r="J1237" i="1" s="1"/>
  <c r="F1237" i="1" a="1"/>
  <c r="F1237" i="1" s="1"/>
  <c r="Q1235" i="1" a="1"/>
  <c r="Q1235" i="1"/>
  <c r="G1238" i="1" a="1"/>
  <c r="G1238" i="1" s="1"/>
  <c r="G1239" i="1" a="1"/>
  <c r="G1239" i="1" s="1"/>
  <c r="F1239" i="1" a="1"/>
  <c r="F1239" i="1"/>
  <c r="Q1238" i="1" a="1"/>
  <c r="Q1238" i="1"/>
  <c r="P1238" i="1" a="1"/>
  <c r="P1238" i="1"/>
  <c r="N1238" i="1" a="1"/>
  <c r="N1238" i="1"/>
  <c r="F1235" i="1" a="1"/>
  <c r="F1235" i="1"/>
  <c r="I1229" i="1" a="1"/>
  <c r="I1229" i="1"/>
  <c r="I1231" i="1" a="1"/>
  <c r="I1231" i="1" s="1"/>
  <c r="G1231" i="1" a="1"/>
  <c r="G1231" i="1"/>
  <c r="N1230" i="1" a="1"/>
  <c r="N1230" i="1"/>
  <c r="Q1229" i="1" a="1"/>
  <c r="Q1229" i="1" s="1"/>
  <c r="M1229" i="1" a="1"/>
  <c r="M1229" i="1" s="1"/>
  <c r="F1232" i="1" a="1"/>
  <c r="F1232" i="1"/>
  <c r="Q1231" i="1" a="1"/>
  <c r="Q1231" i="1" s="1"/>
  <c r="Q1232" i="1" a="1"/>
  <c r="Q1232" i="1" s="1"/>
  <c r="P1232" i="1" a="1"/>
  <c r="P1232" i="1"/>
  <c r="M1232" i="1" a="1"/>
  <c r="M1232" i="1"/>
  <c r="P1231" i="1" a="1"/>
  <c r="P1231" i="1" s="1"/>
  <c r="G1230" i="1" a="1"/>
  <c r="G1230" i="1"/>
  <c r="Q1230" i="1" a="1"/>
  <c r="Q1230" i="1"/>
  <c r="K1232" i="1" a="1"/>
  <c r="K1232" i="1"/>
  <c r="P1230" i="1" a="1"/>
  <c r="P1230" i="1"/>
  <c r="P1229" i="1" a="1"/>
  <c r="P1229" i="1"/>
  <c r="O1229" i="1" a="1"/>
  <c r="O1229" i="1" s="1"/>
  <c r="F1231" i="1" a="1"/>
  <c r="F1231" i="1" s="1"/>
  <c r="M1230" i="1" a="1"/>
  <c r="M1230" i="1" s="1"/>
  <c r="J1232" i="1" a="1"/>
  <c r="J1232" i="1"/>
  <c r="K1231" i="1" a="1"/>
  <c r="K1231" i="1" s="1"/>
  <c r="G1229" i="1" a="1"/>
  <c r="G1229" i="1" s="1"/>
  <c r="H1229" i="1" a="1"/>
  <c r="H1229" i="1"/>
  <c r="L1229" i="1" a="1"/>
  <c r="L1229" i="1"/>
  <c r="I1232" i="1" a="1"/>
  <c r="I1232" i="1" s="1"/>
  <c r="J1230" i="1" a="1"/>
  <c r="J1230" i="1"/>
  <c r="K1229" i="1" a="1"/>
  <c r="K1229" i="1"/>
  <c r="J1234" i="1" a="1"/>
  <c r="J1234" i="1" s="1"/>
  <c r="I1234" i="1" a="1"/>
  <c r="I1234" i="1"/>
  <c r="H1234" i="1" a="1"/>
  <c r="H1234" i="1"/>
  <c r="G1234" i="1" a="1"/>
  <c r="G1234" i="1" s="1"/>
  <c r="F1234" i="1" a="1"/>
  <c r="F1234" i="1" s="1"/>
  <c r="F1230" i="1" a="1"/>
  <c r="F1230" i="1" s="1"/>
  <c r="Q1233" i="1" a="1"/>
  <c r="Q1233" i="1"/>
  <c r="I1233" i="1" a="1"/>
  <c r="I1233" i="1" s="1"/>
  <c r="K1233" i="1" a="1"/>
  <c r="K1233" i="1" s="1"/>
  <c r="H1231" i="1" a="1"/>
  <c r="H1231" i="1"/>
  <c r="I1230" i="1" a="1"/>
  <c r="I1230" i="1"/>
  <c r="O1233" i="1" a="1"/>
  <c r="O1233" i="1"/>
  <c r="H1233" i="1" a="1"/>
  <c r="H1233" i="1"/>
  <c r="O1232" i="1" a="1"/>
  <c r="O1232" i="1"/>
  <c r="N1229" i="1" a="1"/>
  <c r="N1229" i="1" s="1"/>
  <c r="N1233" i="1" a="1"/>
  <c r="N1233" i="1" s="1"/>
  <c r="H1230" i="1" a="1"/>
  <c r="H1230" i="1" s="1"/>
  <c r="M1233" i="1" a="1"/>
  <c r="M1233" i="1"/>
  <c r="G1232" i="1" a="1"/>
  <c r="G1232" i="1" s="1"/>
  <c r="N1231" i="1" a="1"/>
  <c r="N1231" i="1" s="1"/>
  <c r="M1231" i="1" a="1"/>
  <c r="M1231" i="1"/>
  <c r="K1230" i="1" a="1"/>
  <c r="K1230" i="1" s="1"/>
  <c r="O1231" i="1" a="1"/>
  <c r="O1231" i="1" s="1"/>
  <c r="L1231" i="1" a="1"/>
  <c r="L1231" i="1"/>
  <c r="J1233" i="1" a="1"/>
  <c r="J1233" i="1"/>
  <c r="L1230" i="1" a="1"/>
  <c r="L1230" i="1"/>
  <c r="P1233" i="1" a="1"/>
  <c r="P1233" i="1"/>
  <c r="L1233" i="1" a="1"/>
  <c r="L1233" i="1"/>
  <c r="J1231" i="1" a="1"/>
  <c r="J1231" i="1"/>
  <c r="J1229" i="1" a="1"/>
  <c r="J1229" i="1" s="1"/>
  <c r="G1233" i="1" a="1"/>
  <c r="G1233" i="1"/>
  <c r="O1230" i="1" a="1"/>
  <c r="O1230" i="1" s="1"/>
  <c r="F1233" i="1" a="1"/>
  <c r="F1233" i="1" s="1"/>
  <c r="N1232" i="1" a="1"/>
  <c r="N1232" i="1" s="1"/>
  <c r="L1232" i="1" a="1"/>
  <c r="L1232" i="1" s="1"/>
  <c r="H1232" i="1" a="1"/>
  <c r="H1232" i="1" s="1"/>
  <c r="K1224" i="1" a="1"/>
  <c r="K1224" i="1" s="1"/>
  <c r="L1225" i="1" a="1"/>
  <c r="L1225" i="1"/>
  <c r="G1225" i="1" a="1"/>
  <c r="G1225" i="1"/>
  <c r="P1224" i="1" a="1"/>
  <c r="P1224" i="1"/>
  <c r="H1226" i="1" a="1"/>
  <c r="H1226" i="1"/>
  <c r="G1226" i="1" a="1"/>
  <c r="G1226" i="1" s="1"/>
  <c r="N1227" i="1" a="1"/>
  <c r="N1227" i="1" s="1"/>
  <c r="M1226" i="1" a="1"/>
  <c r="M1226" i="1" s="1"/>
  <c r="F1224" i="1" a="1"/>
  <c r="F1224" i="1"/>
  <c r="P1226" i="1" a="1"/>
  <c r="P1226" i="1"/>
  <c r="H1227" i="1" a="1"/>
  <c r="H1227" i="1" s="1"/>
  <c r="M1227" i="1" a="1"/>
  <c r="M1227" i="1" s="1"/>
  <c r="K1225" i="1" a="1"/>
  <c r="K1225" i="1" s="1"/>
  <c r="I1225" i="1" a="1"/>
  <c r="I1225" i="1" s="1"/>
  <c r="F1229" i="1" a="1"/>
  <c r="F1229" i="1" s="1"/>
  <c r="H1224" i="1" a="1"/>
  <c r="H1224" i="1"/>
  <c r="Q1228" i="1" a="1"/>
  <c r="Q1228" i="1"/>
  <c r="O1226" i="1" a="1"/>
  <c r="O1226" i="1"/>
  <c r="J1224" i="1" a="1"/>
  <c r="J1224" i="1"/>
  <c r="Q1223" i="1" a="1"/>
  <c r="Q1223" i="1"/>
  <c r="J1226" i="1" a="1"/>
  <c r="J1226" i="1" s="1"/>
  <c r="P1228" i="1" a="1"/>
  <c r="P1228" i="1" s="1"/>
  <c r="N1228" i="1" a="1"/>
  <c r="N1228" i="1" s="1"/>
  <c r="I1228" i="1" a="1"/>
  <c r="I1228" i="1" s="1"/>
  <c r="O1227" i="1" a="1"/>
  <c r="O1227" i="1" s="1"/>
  <c r="I1227" i="1" a="1"/>
  <c r="I1227" i="1" s="1"/>
  <c r="F1226" i="1" a="1"/>
  <c r="F1226" i="1" s="1"/>
  <c r="Q1225" i="1" a="1"/>
  <c r="Q1225" i="1" s="1"/>
  <c r="N1224" i="1" a="1"/>
  <c r="N1224" i="1" s="1"/>
  <c r="O1228" i="1" a="1"/>
  <c r="O1228" i="1"/>
  <c r="O1224" i="1" a="1"/>
  <c r="O1224" i="1"/>
  <c r="M1228" i="1" a="1"/>
  <c r="M1228" i="1" s="1"/>
  <c r="L1228" i="1" a="1"/>
  <c r="L1228" i="1"/>
  <c r="K1228" i="1" a="1"/>
  <c r="K1228" i="1" s="1"/>
  <c r="J1228" i="1" a="1"/>
  <c r="J1228" i="1"/>
  <c r="P1227" i="1" a="1"/>
  <c r="P1227" i="1" s="1"/>
  <c r="Q1226" i="1" a="1"/>
  <c r="Q1226" i="1"/>
  <c r="N1226" i="1" a="1"/>
  <c r="N1226" i="1"/>
  <c r="K1226" i="1" a="1"/>
  <c r="K1226" i="1" s="1"/>
  <c r="M1224" i="1" a="1"/>
  <c r="M1224" i="1" s="1"/>
  <c r="O1225" i="1" a="1"/>
  <c r="O1225" i="1" s="1"/>
  <c r="J1225" i="1" a="1"/>
  <c r="J1225" i="1" s="1"/>
  <c r="N1225" i="1" a="1"/>
  <c r="N1225" i="1" s="1"/>
  <c r="H1225" i="1" a="1"/>
  <c r="H1225" i="1"/>
  <c r="Q1224" i="1" a="1"/>
  <c r="Q1224" i="1"/>
  <c r="L1224" i="1" a="1"/>
  <c r="L1224" i="1"/>
  <c r="I1224" i="1" a="1"/>
  <c r="I1224" i="1"/>
  <c r="G1224" i="1" a="1"/>
  <c r="G1224" i="1" s="1"/>
  <c r="L1226" i="1" a="1"/>
  <c r="L1226" i="1" s="1"/>
  <c r="F1228" i="1" a="1"/>
  <c r="F1228" i="1"/>
  <c r="P1225" i="1" a="1"/>
  <c r="P1225" i="1"/>
  <c r="P1223" i="1" a="1"/>
  <c r="P1223" i="1" s="1"/>
  <c r="L1227" i="1" a="1"/>
  <c r="L1227" i="1" s="1"/>
  <c r="H1228" i="1" a="1"/>
  <c r="H1228" i="1" s="1"/>
  <c r="F1225" i="1" a="1"/>
  <c r="F1225" i="1" s="1"/>
  <c r="K1227" i="1" a="1"/>
  <c r="K1227" i="1" s="1"/>
  <c r="J1227" i="1" a="1"/>
  <c r="J1227" i="1" s="1"/>
  <c r="G1227" i="1" a="1"/>
  <c r="G1227" i="1"/>
  <c r="F1227" i="1" a="1"/>
  <c r="F1227" i="1"/>
  <c r="M1225" i="1" a="1"/>
  <c r="M1225" i="1" s="1"/>
  <c r="O1223" i="1" a="1"/>
  <c r="O1223" i="1"/>
  <c r="G1228" i="1" a="1"/>
  <c r="G1228" i="1" s="1"/>
  <c r="Q1227" i="1" a="1"/>
  <c r="Q1227" i="1" s="1"/>
  <c r="I1226" i="1" a="1"/>
  <c r="I1226" i="1"/>
  <c r="M1221" i="1" a="1"/>
  <c r="M1221" i="1" s="1"/>
  <c r="M1220" i="1" a="1"/>
  <c r="M1220" i="1"/>
  <c r="J1221" i="1" a="1"/>
  <c r="J1221" i="1" s="1"/>
  <c r="Q1219" i="1" a="1"/>
  <c r="Q1219" i="1" s="1"/>
  <c r="H1219" i="1" a="1"/>
  <c r="H1219" i="1" s="1"/>
  <c r="J1219" i="1" a="1"/>
  <c r="J1219" i="1" s="1"/>
  <c r="K1220" i="1" a="1"/>
  <c r="K1220" i="1" s="1"/>
  <c r="M1222" i="1" a="1"/>
  <c r="M1222" i="1"/>
  <c r="L1222" i="1" a="1"/>
  <c r="L1222" i="1"/>
  <c r="J1222" i="1" a="1"/>
  <c r="J1222" i="1"/>
  <c r="H1222" i="1" a="1"/>
  <c r="H1222" i="1"/>
  <c r="Q1218" i="1" a="1"/>
  <c r="Q1218" i="1"/>
  <c r="I1221" i="1" a="1"/>
  <c r="I1221" i="1" s="1"/>
  <c r="N1220" i="1" a="1"/>
  <c r="N1220" i="1" s="1"/>
  <c r="L1218" i="1" a="1"/>
  <c r="L1218" i="1" s="1"/>
  <c r="G1221" i="1" a="1"/>
  <c r="G1221" i="1" s="1"/>
  <c r="H1220" i="1" a="1"/>
  <c r="H1220" i="1" s="1"/>
  <c r="G1219" i="1" a="1"/>
  <c r="G1219" i="1" s="1"/>
  <c r="P1218" i="1" a="1"/>
  <c r="P1218" i="1" s="1"/>
  <c r="J1220" i="1" a="1"/>
  <c r="J1220" i="1" s="1"/>
  <c r="G1222" i="1" a="1"/>
  <c r="G1222" i="1" s="1"/>
  <c r="H1221" i="1" a="1"/>
  <c r="H1221" i="1"/>
  <c r="K1218" i="1" a="1"/>
  <c r="K1218" i="1"/>
  <c r="L1219" i="1" a="1"/>
  <c r="L1219" i="1" s="1"/>
  <c r="F1219" i="1" a="1"/>
  <c r="F1219" i="1"/>
  <c r="N1222" i="1" a="1"/>
  <c r="N1222" i="1"/>
  <c r="G1223" i="1" a="1"/>
  <c r="G1223" i="1"/>
  <c r="N1221" i="1" a="1"/>
  <c r="N1221" i="1" s="1"/>
  <c r="K1223" i="1" a="1"/>
  <c r="K1223" i="1"/>
  <c r="N1223" i="1" a="1"/>
  <c r="N1223" i="1" s="1"/>
  <c r="M1223" i="1" a="1"/>
  <c r="M1223" i="1" s="1"/>
  <c r="L1223" i="1" a="1"/>
  <c r="L1223" i="1" s="1"/>
  <c r="J1223" i="1" a="1"/>
  <c r="J1223" i="1" s="1"/>
  <c r="I1223" i="1" a="1"/>
  <c r="I1223" i="1" s="1"/>
  <c r="H1223" i="1" a="1"/>
  <c r="H1223" i="1" s="1"/>
  <c r="F1223" i="1" a="1"/>
  <c r="F1223" i="1"/>
  <c r="Q1222" i="1" a="1"/>
  <c r="Q1222" i="1"/>
  <c r="I1222" i="1" a="1"/>
  <c r="I1222" i="1"/>
  <c r="I1219" i="1" a="1"/>
  <c r="I1219" i="1"/>
  <c r="K1221" i="1" a="1"/>
  <c r="K1221" i="1" s="1"/>
  <c r="O1219" i="1" a="1"/>
  <c r="O1219" i="1"/>
  <c r="F1221" i="1" a="1"/>
  <c r="F1221" i="1" s="1"/>
  <c r="P1220" i="1" a="1"/>
  <c r="P1220" i="1" s="1"/>
  <c r="N1218" i="1" a="1"/>
  <c r="N1218" i="1" s="1"/>
  <c r="Q1221" i="1" a="1"/>
  <c r="Q1221" i="1" s="1"/>
  <c r="P1221" i="1" a="1"/>
  <c r="P1221" i="1" s="1"/>
  <c r="L1220" i="1" a="1"/>
  <c r="L1220" i="1" s="1"/>
  <c r="L1221" i="1" a="1"/>
  <c r="L1221" i="1" s="1"/>
  <c r="O1220" i="1" a="1"/>
  <c r="O1220" i="1" s="1"/>
  <c r="M1218" i="1" a="1"/>
  <c r="M1218" i="1"/>
  <c r="P1222" i="1" a="1"/>
  <c r="P1222" i="1"/>
  <c r="O1221" i="1" a="1"/>
  <c r="O1221" i="1" s="1"/>
  <c r="K1222" i="1" a="1"/>
  <c r="K1222" i="1"/>
  <c r="I1220" i="1" a="1"/>
  <c r="I1220" i="1"/>
  <c r="Q1220" i="1" a="1"/>
  <c r="Q1220" i="1" s="1"/>
  <c r="G1220" i="1" a="1"/>
  <c r="G1220" i="1"/>
  <c r="F1220" i="1" a="1"/>
  <c r="F1220" i="1" s="1"/>
  <c r="K1219" i="1" a="1"/>
  <c r="K1219" i="1"/>
  <c r="N1219" i="1" a="1"/>
  <c r="N1219" i="1" s="1"/>
  <c r="P1219" i="1" a="1"/>
  <c r="P1219" i="1" s="1"/>
  <c r="M1219" i="1" a="1"/>
  <c r="M1219" i="1" s="1"/>
  <c r="O1218" i="1" a="1"/>
  <c r="O1218" i="1" s="1"/>
  <c r="O1222" i="1" a="1"/>
  <c r="O1222" i="1" s="1"/>
  <c r="F1222" i="1" a="1"/>
  <c r="F1222" i="1"/>
  <c r="G1218" i="1" a="1"/>
  <c r="G1218" i="1"/>
  <c r="M1215" i="1" a="1"/>
  <c r="M1215" i="1"/>
  <c r="J1216" i="1" a="1"/>
  <c r="J1216" i="1"/>
  <c r="K1217" i="1" a="1"/>
  <c r="K1217" i="1" s="1"/>
  <c r="F1218" i="1" a="1"/>
  <c r="F1218" i="1"/>
  <c r="F1215" i="1" a="1"/>
  <c r="F1215" i="1" s="1"/>
  <c r="K1216" i="1" a="1"/>
  <c r="K1216" i="1"/>
  <c r="M1214" i="1" a="1"/>
  <c r="M1214" i="1"/>
  <c r="G1217" i="1" a="1"/>
  <c r="G1217" i="1" s="1"/>
  <c r="L1217" i="1" a="1"/>
  <c r="L1217" i="1" s="1"/>
  <c r="F1217" i="1" a="1"/>
  <c r="F1217" i="1" s="1"/>
  <c r="H1215" i="1" a="1"/>
  <c r="H1215" i="1" s="1"/>
  <c r="J1217" i="1" a="1"/>
  <c r="J1217" i="1" s="1"/>
  <c r="L1216" i="1" a="1"/>
  <c r="L1216" i="1"/>
  <c r="F1216" i="1" a="1"/>
  <c r="F1216" i="1"/>
  <c r="Q1215" i="1" a="1"/>
  <c r="Q1215" i="1" s="1"/>
  <c r="L1214" i="1" a="1"/>
  <c r="L1214" i="1"/>
  <c r="O1215" i="1" a="1"/>
  <c r="O1215" i="1" s="1"/>
  <c r="G1215" i="1" a="1"/>
  <c r="G1215" i="1"/>
  <c r="N1215" i="1" a="1"/>
  <c r="N1215" i="1" s="1"/>
  <c r="L1212" i="1" a="1"/>
  <c r="L1212" i="1" s="1"/>
  <c r="F1214" i="1" a="1"/>
  <c r="F1214" i="1" s="1"/>
  <c r="M1212" i="1" a="1"/>
  <c r="M1212" i="1" s="1"/>
  <c r="P1215" i="1" a="1"/>
  <c r="P1215" i="1" s="1"/>
  <c r="Q1217" i="1" a="1"/>
  <c r="Q1217" i="1" s="1"/>
  <c r="P1217" i="1" a="1"/>
  <c r="P1217" i="1" s="1"/>
  <c r="N1217" i="1" a="1"/>
  <c r="N1217" i="1" s="1"/>
  <c r="Q1216" i="1" a="1"/>
  <c r="Q1216" i="1"/>
  <c r="H1216" i="1" a="1"/>
  <c r="H1216" i="1"/>
  <c r="G1216" i="1" a="1"/>
  <c r="G1216" i="1" s="1"/>
  <c r="O1216" i="1" a="1"/>
  <c r="O1216" i="1"/>
  <c r="O1212" i="1" a="1"/>
  <c r="O1212" i="1" s="1"/>
  <c r="J1214" i="1" a="1"/>
  <c r="J1214" i="1"/>
  <c r="L1215" i="1" a="1"/>
  <c r="L1215" i="1"/>
  <c r="K1215" i="1" a="1"/>
  <c r="K1215" i="1"/>
  <c r="N1214" i="1" a="1"/>
  <c r="N1214" i="1" s="1"/>
  <c r="J1215" i="1" a="1"/>
  <c r="J1215" i="1" s="1"/>
  <c r="K1214" i="1" a="1"/>
  <c r="K1214" i="1" s="1"/>
  <c r="N1212" i="1" a="1"/>
  <c r="N1212" i="1" s="1"/>
  <c r="Q1214" i="1" a="1"/>
  <c r="Q1214" i="1" s="1"/>
  <c r="Q1212" i="1" a="1"/>
  <c r="Q1212" i="1" s="1"/>
  <c r="M1217" i="1" a="1"/>
  <c r="M1217" i="1"/>
  <c r="N1216" i="1" a="1"/>
  <c r="N1216" i="1"/>
  <c r="I1217" i="1" a="1"/>
  <c r="I1217" i="1"/>
  <c r="P1214" i="1" a="1"/>
  <c r="P1214" i="1"/>
  <c r="I1215" i="1" a="1"/>
  <c r="I1215" i="1"/>
  <c r="P1216" i="1" a="1"/>
  <c r="P1216" i="1"/>
  <c r="H1217" i="1" a="1"/>
  <c r="H1217" i="1" s="1"/>
  <c r="I1214" i="1" a="1"/>
  <c r="I1214" i="1" s="1"/>
  <c r="I1216" i="1" a="1"/>
  <c r="I1216" i="1" s="1"/>
  <c r="O1214" i="1" a="1"/>
  <c r="O1214" i="1" s="1"/>
  <c r="G1214" i="1" a="1"/>
  <c r="G1214" i="1" s="1"/>
  <c r="P1212" i="1" a="1"/>
  <c r="P1212" i="1" s="1"/>
  <c r="M1216" i="1" a="1"/>
  <c r="M1216" i="1" s="1"/>
  <c r="H1214" i="1" a="1"/>
  <c r="H1214" i="1" s="1"/>
  <c r="O1217" i="1" a="1"/>
  <c r="O1217" i="1"/>
  <c r="J1218" i="1" a="1"/>
  <c r="J1218" i="1"/>
  <c r="I1218" i="1" a="1"/>
  <c r="I1218" i="1" s="1"/>
  <c r="H1218" i="1" a="1"/>
  <c r="H1218" i="1"/>
  <c r="M1208" i="1" a="1"/>
  <c r="M1208" i="1"/>
  <c r="M1209" i="1" a="1"/>
  <c r="M1209" i="1" s="1"/>
  <c r="G1209" i="1" a="1"/>
  <c r="G1209" i="1"/>
  <c r="G1208" i="1" a="1"/>
  <c r="G1208" i="1" s="1"/>
  <c r="F1209" i="1" a="1"/>
  <c r="F1209" i="1" s="1"/>
  <c r="J1209" i="1" a="1"/>
  <c r="J1209" i="1" s="1"/>
  <c r="J1208" i="1" a="1"/>
  <c r="J1208" i="1" s="1"/>
  <c r="H1209" i="1" a="1"/>
  <c r="H1209" i="1" s="1"/>
  <c r="G1211" i="1" a="1"/>
  <c r="G1211" i="1" s="1"/>
  <c r="K1212" i="1" a="1"/>
  <c r="K1212" i="1" s="1"/>
  <c r="J1212" i="1" a="1"/>
  <c r="J1212" i="1"/>
  <c r="I1212" i="1" a="1"/>
  <c r="I1212" i="1"/>
  <c r="H1212" i="1" a="1"/>
  <c r="H1212" i="1"/>
  <c r="G1212" i="1" a="1"/>
  <c r="G1212" i="1"/>
  <c r="F1212" i="1" a="1"/>
  <c r="F1212" i="1" s="1"/>
  <c r="Q1211" i="1" a="1"/>
  <c r="Q1211" i="1"/>
  <c r="P1211" i="1" a="1"/>
  <c r="P1211" i="1" s="1"/>
  <c r="M1211" i="1" a="1"/>
  <c r="M1211" i="1"/>
  <c r="L1211" i="1" a="1"/>
  <c r="L1211" i="1" s="1"/>
  <c r="J1211" i="1" a="1"/>
  <c r="J1211" i="1" s="1"/>
  <c r="L1208" i="1" a="1"/>
  <c r="L1208" i="1" s="1"/>
  <c r="Q1210" i="1" a="1"/>
  <c r="Q1210" i="1" s="1"/>
  <c r="M1210" i="1" a="1"/>
  <c r="M1210" i="1" s="1"/>
  <c r="N1210" i="1" a="1"/>
  <c r="N1210" i="1" s="1"/>
  <c r="I1210" i="1" a="1"/>
  <c r="I1210" i="1"/>
  <c r="F1208" i="1" a="1"/>
  <c r="F1208" i="1"/>
  <c r="H1210" i="1" a="1"/>
  <c r="H1210" i="1" s="1"/>
  <c r="G1210" i="1" a="1"/>
  <c r="G1210" i="1"/>
  <c r="P1209" i="1" a="1"/>
  <c r="P1209" i="1"/>
  <c r="K1209" i="1" a="1"/>
  <c r="K1209" i="1"/>
  <c r="O1208" i="1" a="1"/>
  <c r="O1208" i="1" s="1"/>
  <c r="N1208" i="1" a="1"/>
  <c r="N1208" i="1" s="1"/>
  <c r="P1208" i="1" a="1"/>
  <c r="P1208" i="1"/>
  <c r="F1211" i="1" a="1"/>
  <c r="F1211" i="1" s="1"/>
  <c r="P1210" i="1" a="1"/>
  <c r="P1210" i="1" s="1"/>
  <c r="H1208" i="1" a="1"/>
  <c r="H1208" i="1" s="1"/>
  <c r="Q1209" i="1" a="1"/>
  <c r="Q1209" i="1" s="1"/>
  <c r="Q1208" i="1" a="1"/>
  <c r="Q1208" i="1" s="1"/>
  <c r="K1208" i="1" a="1"/>
  <c r="K1208" i="1"/>
  <c r="N1209" i="1" a="1"/>
  <c r="N1209" i="1"/>
  <c r="L1209" i="1" a="1"/>
  <c r="L1209" i="1"/>
  <c r="I1209" i="1" a="1"/>
  <c r="I1209" i="1"/>
  <c r="O1211" i="1" a="1"/>
  <c r="O1211" i="1" s="1"/>
  <c r="I1211" i="1" a="1"/>
  <c r="I1211" i="1" s="1"/>
  <c r="I1208" i="1" a="1"/>
  <c r="I1208" i="1" s="1"/>
  <c r="N1211" i="1" a="1"/>
  <c r="N1211" i="1"/>
  <c r="K1211" i="1" a="1"/>
  <c r="K1211" i="1"/>
  <c r="H1211" i="1" a="1"/>
  <c r="H1211" i="1" s="1"/>
  <c r="O1210" i="1" a="1"/>
  <c r="O1210" i="1" s="1"/>
  <c r="L1210" i="1" a="1"/>
  <c r="L1210" i="1" s="1"/>
  <c r="K1210" i="1" a="1"/>
  <c r="K1210" i="1" s="1"/>
  <c r="J1210" i="1" a="1"/>
  <c r="J1210" i="1" s="1"/>
  <c r="F1210" i="1" a="1"/>
  <c r="F1210" i="1"/>
  <c r="O1209" i="1" a="1"/>
  <c r="O1209" i="1"/>
  <c r="I1199" i="1" a="1"/>
  <c r="I1199" i="1"/>
  <c r="I1198" i="1" a="1"/>
  <c r="I1198" i="1"/>
  <c r="J1199" i="1" a="1"/>
  <c r="J1199" i="1"/>
  <c r="M1201" i="1" a="1"/>
  <c r="M1201" i="1"/>
  <c r="G1201" i="1" a="1"/>
  <c r="G1201" i="1" s="1"/>
  <c r="N1200" i="1" a="1"/>
  <c r="N1200" i="1"/>
  <c r="G1199" i="1" a="1"/>
  <c r="G1199" i="1" s="1"/>
  <c r="Q1199" i="1" a="1"/>
  <c r="Q1199" i="1" s="1"/>
  <c r="H1199" i="1" a="1"/>
  <c r="H1199" i="1" s="1"/>
  <c r="G1200" i="1" a="1"/>
  <c r="G1200" i="1" s="1"/>
  <c r="M1200" i="1" a="1"/>
  <c r="M1200" i="1" s="1"/>
  <c r="Q1200" i="1" a="1"/>
  <c r="Q1200" i="1" s="1"/>
  <c r="N1199" i="1" a="1"/>
  <c r="N1199" i="1" s="1"/>
  <c r="L1199" i="1" a="1"/>
  <c r="L1199" i="1"/>
  <c r="O1198" i="1" a="1"/>
  <c r="O1198" i="1" s="1"/>
  <c r="O1201" i="1" a="1"/>
  <c r="O1201" i="1"/>
  <c r="H1202" i="1" a="1"/>
  <c r="H1202" i="1" s="1"/>
  <c r="P1199" i="1" a="1"/>
  <c r="P1199" i="1"/>
  <c r="O1200" i="1" a="1"/>
  <c r="O1200" i="1"/>
  <c r="Q1198" i="1" a="1"/>
  <c r="Q1198" i="1"/>
  <c r="Q1202" i="1" a="1"/>
  <c r="Q1202" i="1"/>
  <c r="N1202" i="1" a="1"/>
  <c r="N1202" i="1" s="1"/>
  <c r="P1198" i="1" a="1"/>
  <c r="P1198" i="1" s="1"/>
  <c r="P1202" i="1" a="1"/>
  <c r="P1202" i="1" s="1"/>
  <c r="L1200" i="1" a="1"/>
  <c r="L1200" i="1" s="1"/>
  <c r="O1202" i="1" a="1"/>
  <c r="O1202" i="1" s="1"/>
  <c r="P1200" i="1" a="1"/>
  <c r="P1200" i="1" s="1"/>
  <c r="F1199" i="1" a="1"/>
  <c r="F1199" i="1"/>
  <c r="J1202" i="1" a="1"/>
  <c r="J1202" i="1"/>
  <c r="F1202" i="1" a="1"/>
  <c r="F1202" i="1"/>
  <c r="N1201" i="1" a="1"/>
  <c r="N1201" i="1"/>
  <c r="J1201" i="1" a="1"/>
  <c r="J1201" i="1"/>
  <c r="K1200" i="1" a="1"/>
  <c r="K1200" i="1" s="1"/>
  <c r="J1200" i="1" a="1"/>
  <c r="J1200" i="1"/>
  <c r="M1199" i="1" a="1"/>
  <c r="M1199" i="1" s="1"/>
  <c r="N1198" i="1" a="1"/>
  <c r="N1198" i="1" s="1"/>
  <c r="L1198" i="1" a="1"/>
  <c r="L1198" i="1" s="1"/>
  <c r="M1202" i="1" a="1"/>
  <c r="M1202" i="1" s="1"/>
  <c r="L1202" i="1" a="1"/>
  <c r="L1202" i="1" s="1"/>
  <c r="K1202" i="1" a="1"/>
  <c r="K1202" i="1" s="1"/>
  <c r="Q1201" i="1" a="1"/>
  <c r="Q1201" i="1"/>
  <c r="K1199" i="1" a="1"/>
  <c r="K1199" i="1"/>
  <c r="L1201" i="1" a="1"/>
  <c r="L1201" i="1" s="1"/>
  <c r="H1198" i="1" a="1"/>
  <c r="H1198" i="1"/>
  <c r="I1202" i="1" a="1"/>
  <c r="I1202" i="1" s="1"/>
  <c r="G1202" i="1" a="1"/>
  <c r="G1202" i="1" s="1"/>
  <c r="P1201" i="1" a="1"/>
  <c r="P1201" i="1"/>
  <c r="K1201" i="1" a="1"/>
  <c r="K1201" i="1" s="1"/>
  <c r="I1201" i="1" a="1"/>
  <c r="I1201" i="1"/>
  <c r="F1201" i="1" a="1"/>
  <c r="F1201" i="1" s="1"/>
  <c r="F1200" i="1" a="1"/>
  <c r="F1200" i="1" s="1"/>
  <c r="H1201" i="1" a="1"/>
  <c r="H1201" i="1" s="1"/>
  <c r="I1200" i="1" a="1"/>
  <c r="I1200" i="1" s="1"/>
  <c r="H1200" i="1" a="1"/>
  <c r="H1200" i="1" s="1"/>
  <c r="J1198" i="1" a="1"/>
  <c r="J1198" i="1" s="1"/>
  <c r="O1199" i="1" a="1"/>
  <c r="O1199" i="1"/>
  <c r="M1198" i="1" a="1"/>
  <c r="M1198" i="1" s="1"/>
  <c r="K1198" i="1" a="1"/>
  <c r="K1198" i="1"/>
  <c r="K1195" i="1" a="1"/>
  <c r="K1195" i="1"/>
  <c r="G1193" i="1" a="1"/>
  <c r="G1193" i="1"/>
  <c r="Q1193" i="1" a="1"/>
  <c r="Q1193" i="1" s="1"/>
  <c r="P1192" i="1" a="1"/>
  <c r="P1192" i="1" s="1"/>
  <c r="M1194" i="1" a="1"/>
  <c r="M1194" i="1" s="1"/>
  <c r="L1195" i="1" a="1"/>
  <c r="L1195" i="1" s="1"/>
  <c r="I1195" i="1" a="1"/>
  <c r="I1195" i="1" s="1"/>
  <c r="O1194" i="1" a="1"/>
  <c r="O1194" i="1" s="1"/>
  <c r="F1193" i="1" a="1"/>
  <c r="F1193" i="1" s="1"/>
  <c r="G1194" i="1" a="1"/>
  <c r="G1194" i="1" s="1"/>
  <c r="F1194" i="1" a="1"/>
  <c r="F1194" i="1" s="1"/>
  <c r="L1194" i="1" a="1"/>
  <c r="L1194" i="1"/>
  <c r="G1198" i="1" a="1"/>
  <c r="G1198" i="1"/>
  <c r="G1197" i="1" a="1"/>
  <c r="G1197" i="1"/>
  <c r="N1196" i="1" a="1"/>
  <c r="N1196" i="1" s="1"/>
  <c r="F1198" i="1" a="1"/>
  <c r="F1198" i="1"/>
  <c r="P1196" i="1" a="1"/>
  <c r="P1196" i="1"/>
  <c r="K1196" i="1" a="1"/>
  <c r="K1196" i="1"/>
  <c r="M1196" i="1" a="1"/>
  <c r="M1196" i="1"/>
  <c r="H1196" i="1" a="1"/>
  <c r="H1196" i="1" s="1"/>
  <c r="O1195" i="1" a="1"/>
  <c r="O1195" i="1" s="1"/>
  <c r="Q1197" i="1" a="1"/>
  <c r="Q1197" i="1" s="1"/>
  <c r="P1197" i="1" a="1"/>
  <c r="P1197" i="1" s="1"/>
  <c r="Q1194" i="1" a="1"/>
  <c r="Q1194" i="1" s="1"/>
  <c r="P1193" i="1" a="1"/>
  <c r="P1193" i="1"/>
  <c r="H1193" i="1" a="1"/>
  <c r="H1193" i="1"/>
  <c r="H1194" i="1" a="1"/>
  <c r="H1194" i="1" s="1"/>
  <c r="N1193" i="1" a="1"/>
  <c r="N1193" i="1"/>
  <c r="O1197" i="1" a="1"/>
  <c r="O1197" i="1" s="1"/>
  <c r="N1197" i="1" a="1"/>
  <c r="N1197" i="1" s="1"/>
  <c r="M1197" i="1" a="1"/>
  <c r="M1197" i="1"/>
  <c r="L1197" i="1" a="1"/>
  <c r="L1197" i="1" s="1"/>
  <c r="K1197" i="1" a="1"/>
  <c r="K1197" i="1" s="1"/>
  <c r="J1197" i="1" a="1"/>
  <c r="J1197" i="1" s="1"/>
  <c r="I1197" i="1" a="1"/>
  <c r="I1197" i="1" s="1"/>
  <c r="K1193" i="1" a="1"/>
  <c r="K1193" i="1" s="1"/>
  <c r="M1193" i="1" a="1"/>
  <c r="M1193" i="1" s="1"/>
  <c r="F1197" i="1" a="1"/>
  <c r="F1197" i="1" s="1"/>
  <c r="O1196" i="1" a="1"/>
  <c r="O1196" i="1"/>
  <c r="L1196" i="1" a="1"/>
  <c r="L1196" i="1" s="1"/>
  <c r="N1194" i="1" a="1"/>
  <c r="N1194" i="1" s="1"/>
  <c r="F1196" i="1" a="1"/>
  <c r="F1196" i="1" s="1"/>
  <c r="I1193" i="1" a="1"/>
  <c r="I1193" i="1" s="1"/>
  <c r="P1194" i="1" a="1"/>
  <c r="P1194" i="1"/>
  <c r="Q1195" i="1" a="1"/>
  <c r="Q1195" i="1" s="1"/>
  <c r="O1193" i="1" a="1"/>
  <c r="O1193" i="1"/>
  <c r="P1195" i="1" a="1"/>
  <c r="P1195" i="1"/>
  <c r="H1195" i="1" a="1"/>
  <c r="H1195" i="1" s="1"/>
  <c r="G1195" i="1" a="1"/>
  <c r="G1195" i="1"/>
  <c r="G1196" i="1" a="1"/>
  <c r="G1196" i="1"/>
  <c r="J1195" i="1" a="1"/>
  <c r="J1195" i="1"/>
  <c r="K1194" i="1" a="1"/>
  <c r="K1194" i="1"/>
  <c r="L1193" i="1" a="1"/>
  <c r="L1193" i="1"/>
  <c r="J1193" i="1" a="1"/>
  <c r="J1193" i="1" s="1"/>
  <c r="Q1192" i="1" a="1"/>
  <c r="Q1192" i="1"/>
  <c r="F1195" i="1" a="1"/>
  <c r="F1195" i="1" s="1"/>
  <c r="I1194" i="1" a="1"/>
  <c r="I1194" i="1"/>
  <c r="H1197" i="1" a="1"/>
  <c r="H1197" i="1"/>
  <c r="J1196" i="1" a="1"/>
  <c r="J1196" i="1" s="1"/>
  <c r="J1194" i="1" a="1"/>
  <c r="J1194" i="1"/>
  <c r="Q1196" i="1" a="1"/>
  <c r="Q1196" i="1" s="1"/>
  <c r="I1196" i="1" a="1"/>
  <c r="I1196" i="1" s="1"/>
  <c r="N1195" i="1" a="1"/>
  <c r="N1195" i="1" s="1"/>
  <c r="M1195" i="1" a="1"/>
  <c r="M1195" i="1" s="1"/>
  <c r="H1447" i="1" a="1"/>
  <c r="H1447" i="1" s="1"/>
  <c r="G1444" i="1" a="1"/>
  <c r="G1444" i="1" s="1"/>
  <c r="M1446" i="1" a="1"/>
  <c r="M1446" i="1" s="1"/>
  <c r="H1443" i="1" a="1"/>
  <c r="H1443" i="1"/>
  <c r="L1446" i="1" a="1"/>
  <c r="L1446" i="1" s="1"/>
  <c r="I1444" i="1" a="1"/>
  <c r="I1444" i="1" s="1"/>
  <c r="O1445" i="1" a="1"/>
  <c r="O1445" i="1" s="1"/>
  <c r="J1444" i="1" a="1"/>
  <c r="J1444" i="1" s="1"/>
  <c r="J1445" i="1" a="1"/>
  <c r="J1445" i="1" s="1"/>
  <c r="I1443" i="1" a="1"/>
  <c r="I1443" i="1"/>
  <c r="O1443" i="1" a="1"/>
  <c r="O1443" i="1" s="1"/>
  <c r="K1443" i="1" a="1"/>
  <c r="K1443" i="1"/>
  <c r="I1447" i="1" a="1"/>
  <c r="I1447" i="1" s="1"/>
  <c r="G1447" i="1" a="1"/>
  <c r="G1447" i="1"/>
  <c r="I1446" i="1" a="1"/>
  <c r="I1446" i="1"/>
  <c r="P1445" i="1" a="1"/>
  <c r="P1445" i="1"/>
  <c r="Q1442" i="1" a="1"/>
  <c r="Q1442" i="1"/>
  <c r="Q1444" i="1" a="1"/>
  <c r="Q1444" i="1"/>
  <c r="K1444" i="1" a="1"/>
  <c r="K1444" i="1" s="1"/>
  <c r="O1446" i="1" a="1"/>
  <c r="O1446" i="1" s="1"/>
  <c r="N1446" i="1" a="1"/>
  <c r="N1446" i="1"/>
  <c r="P1444" i="1" a="1"/>
  <c r="P1444" i="1" s="1"/>
  <c r="F1446" i="1" a="1"/>
  <c r="F1446" i="1" s="1"/>
  <c r="I1445" i="1" a="1"/>
  <c r="I1445" i="1" s="1"/>
  <c r="F1444" i="1" a="1"/>
  <c r="F1444" i="1"/>
  <c r="N1443" i="1" a="1"/>
  <c r="N1443" i="1"/>
  <c r="Q1443" i="1" a="1"/>
  <c r="Q1443" i="1" s="1"/>
  <c r="J1443" i="1" a="1"/>
  <c r="J1443" i="1" s="1"/>
  <c r="L1445" i="1" a="1"/>
  <c r="L1445" i="1" s="1"/>
  <c r="O1447" i="1" a="1"/>
  <c r="O1447" i="1" s="1"/>
  <c r="H1445" i="1" a="1"/>
  <c r="H1445" i="1" s="1"/>
  <c r="G1448" i="1" a="1"/>
  <c r="G1448" i="1" s="1"/>
  <c r="F1448" i="1" a="1"/>
  <c r="F1448" i="1" s="1"/>
  <c r="Q1447" i="1" a="1"/>
  <c r="Q1447" i="1" s="1"/>
  <c r="P1447" i="1" a="1"/>
  <c r="P1447" i="1"/>
  <c r="N1447" i="1" a="1"/>
  <c r="N1447" i="1"/>
  <c r="G1446" i="1" a="1"/>
  <c r="G1446" i="1" s="1"/>
  <c r="N1445" i="1" a="1"/>
  <c r="N1445" i="1" s="1"/>
  <c r="M1445" i="1" a="1"/>
  <c r="M1445" i="1"/>
  <c r="F1443" i="1" a="1"/>
  <c r="F1443" i="1" s="1"/>
  <c r="F1445" i="1" a="1"/>
  <c r="F1445" i="1" s="1"/>
  <c r="P1442" i="1" a="1"/>
  <c r="P1442" i="1"/>
  <c r="P1446" i="1" a="1"/>
  <c r="P1446" i="1"/>
  <c r="K1446" i="1" a="1"/>
  <c r="K1446" i="1"/>
  <c r="N1444" i="1" a="1"/>
  <c r="N1444" i="1"/>
  <c r="L1447" i="1" a="1"/>
  <c r="L1447" i="1"/>
  <c r="F1447" i="1" a="1"/>
  <c r="F1447" i="1"/>
  <c r="Q1446" i="1" a="1"/>
  <c r="Q1446" i="1" s="1"/>
  <c r="J1446" i="1" a="1"/>
  <c r="J1446" i="1" s="1"/>
  <c r="H1446" i="1" a="1"/>
  <c r="H1446" i="1" s="1"/>
  <c r="Q1445" i="1" a="1"/>
  <c r="Q1445" i="1" s="1"/>
  <c r="L1444" i="1" a="1"/>
  <c r="L1444" i="1" s="1"/>
  <c r="P1443" i="1" a="1"/>
  <c r="P1443" i="1" s="1"/>
  <c r="K1445" i="1" a="1"/>
  <c r="K1445" i="1"/>
  <c r="G1445" i="1" a="1"/>
  <c r="G1445" i="1" s="1"/>
  <c r="L1443" i="1" a="1"/>
  <c r="L1443" i="1" s="1"/>
  <c r="G1443" i="1" a="1"/>
  <c r="G1443" i="1" s="1"/>
  <c r="M1443" i="1" a="1"/>
  <c r="M1443" i="1" s="1"/>
  <c r="H1444" i="1" a="1"/>
  <c r="H1444" i="1" s="1"/>
  <c r="M1444" i="1" a="1"/>
  <c r="M1444" i="1" s="1"/>
  <c r="O1444" i="1" a="1"/>
  <c r="O1444" i="1" s="1"/>
  <c r="M1447" i="1" a="1"/>
  <c r="M1447" i="1" s="1"/>
  <c r="K1447" i="1" a="1"/>
  <c r="K1447" i="1"/>
  <c r="J1447" i="1" a="1"/>
  <c r="J1447" i="1"/>
  <c r="P1676" i="1" a="1"/>
  <c r="P1676" i="1" s="1"/>
  <c r="L1676" i="1" a="1"/>
  <c r="L1676" i="1" s="1"/>
  <c r="L1675" i="1" a="1"/>
  <c r="L1675" i="1" s="1"/>
  <c r="J1676" i="1" a="1"/>
  <c r="J1676" i="1"/>
  <c r="I1676" i="1" a="1"/>
  <c r="I1676" i="1"/>
  <c r="Q1676" i="1" a="1"/>
  <c r="Q1676" i="1" s="1"/>
  <c r="O1676" i="1" a="1"/>
  <c r="O1676" i="1" s="1"/>
  <c r="M1676" i="1" a="1"/>
  <c r="M1676" i="1"/>
  <c r="H1676" i="1" a="1"/>
  <c r="H1676" i="1"/>
  <c r="Q1675" i="1" a="1"/>
  <c r="Q1675" i="1"/>
  <c r="K1676" i="1" a="1"/>
  <c r="K1676" i="1"/>
  <c r="O1675" i="1" a="1"/>
  <c r="O1675" i="1" s="1"/>
  <c r="K1675" i="1" a="1"/>
  <c r="K1675" i="1" s="1"/>
  <c r="J1675" i="1" a="1"/>
  <c r="J1675" i="1" s="1"/>
  <c r="G1676" i="1" a="1"/>
  <c r="G1676" i="1" s="1"/>
  <c r="F1676" i="1" a="1"/>
  <c r="F1676" i="1"/>
  <c r="N1676" i="1" a="1"/>
  <c r="N1676" i="1" s="1"/>
  <c r="M1675" i="1" a="1"/>
  <c r="M1675" i="1" s="1"/>
  <c r="P1675" i="1" a="1"/>
  <c r="P1675" i="1" s="1"/>
  <c r="N1675" i="1" a="1"/>
  <c r="N1675" i="1"/>
  <c r="L1671" i="1" a="1"/>
  <c r="L1671" i="1" s="1"/>
  <c r="O1674" i="1" a="1"/>
  <c r="O1674" i="1" s="1"/>
  <c r="N1670" i="1" a="1"/>
  <c r="N1670" i="1" s="1"/>
  <c r="G1674" i="1" a="1"/>
  <c r="G1674" i="1" s="1"/>
  <c r="M1670" i="1" a="1"/>
  <c r="M1670" i="1" s="1"/>
  <c r="N1674" i="1" a="1"/>
  <c r="N1674" i="1" s="1"/>
  <c r="N1672" i="1" a="1"/>
  <c r="N1672" i="1"/>
  <c r="P1671" i="1" a="1"/>
  <c r="P1671" i="1" s="1"/>
  <c r="L1674" i="1" a="1"/>
  <c r="L1674" i="1"/>
  <c r="O1671" i="1" a="1"/>
  <c r="O1671" i="1" s="1"/>
  <c r="M1674" i="1" a="1"/>
  <c r="M1674" i="1" s="1"/>
  <c r="L1670" i="1" a="1"/>
  <c r="L1670" i="1"/>
  <c r="K1674" i="1" a="1"/>
  <c r="K1674" i="1"/>
  <c r="F1674" i="1" a="1"/>
  <c r="F1674" i="1"/>
  <c r="N1673" i="1" a="1"/>
  <c r="N1673" i="1" s="1"/>
  <c r="L1673" i="1" a="1"/>
  <c r="L1673" i="1" s="1"/>
  <c r="G1673" i="1" a="1"/>
  <c r="G1673" i="1"/>
  <c r="G1672" i="1" a="1"/>
  <c r="G1672" i="1"/>
  <c r="I1670" i="1" a="1"/>
  <c r="I1670" i="1"/>
  <c r="O1670" i="1" a="1"/>
  <c r="O1670" i="1" s="1"/>
  <c r="H1674" i="1" a="1"/>
  <c r="H1674" i="1" s="1"/>
  <c r="Q1673" i="1" a="1"/>
  <c r="Q1673" i="1"/>
  <c r="J1671" i="1" a="1"/>
  <c r="J1671" i="1" s="1"/>
  <c r="P1673" i="1" a="1"/>
  <c r="P1673" i="1"/>
  <c r="O1673" i="1" a="1"/>
  <c r="O1673" i="1"/>
  <c r="G1671" i="1" a="1"/>
  <c r="G1671" i="1"/>
  <c r="M1673" i="1" a="1"/>
  <c r="M1673" i="1" s="1"/>
  <c r="J1673" i="1" a="1"/>
  <c r="J1673" i="1" s="1"/>
  <c r="H1673" i="1" a="1"/>
  <c r="H1673" i="1"/>
  <c r="F1673" i="1" a="1"/>
  <c r="F1673" i="1"/>
  <c r="I1672" i="1" a="1"/>
  <c r="I1672" i="1" s="1"/>
  <c r="I1671" i="1" a="1"/>
  <c r="I1671" i="1" s="1"/>
  <c r="P1672" i="1" a="1"/>
  <c r="P1672" i="1" s="1"/>
  <c r="K1673" i="1" a="1"/>
  <c r="K1673" i="1" s="1"/>
  <c r="N1671" i="1" a="1"/>
  <c r="N1671" i="1"/>
  <c r="K1671" i="1" a="1"/>
  <c r="K1671" i="1"/>
  <c r="Q1670" i="1" a="1"/>
  <c r="Q1670" i="1" s="1"/>
  <c r="M1671" i="1" a="1"/>
  <c r="M1671" i="1"/>
  <c r="P1670" i="1" a="1"/>
  <c r="P1670" i="1"/>
  <c r="G1670" i="1" a="1"/>
  <c r="G1670" i="1"/>
  <c r="M1672" i="1" a="1"/>
  <c r="M1672" i="1" s="1"/>
  <c r="L1672" i="1" a="1"/>
  <c r="L1672" i="1"/>
  <c r="I1673" i="1" a="1"/>
  <c r="I1673" i="1" s="1"/>
  <c r="O1672" i="1" a="1"/>
  <c r="O1672" i="1" s="1"/>
  <c r="K1670" i="1" a="1"/>
  <c r="K1670" i="1" s="1"/>
  <c r="Q1672" i="1" a="1"/>
  <c r="Q1672" i="1"/>
  <c r="J1672" i="1" a="1"/>
  <c r="J1672" i="1"/>
  <c r="H1671" i="1" a="1"/>
  <c r="H1671" i="1" s="1"/>
  <c r="J1670" i="1" a="1"/>
  <c r="J1670" i="1" s="1"/>
  <c r="I1675" i="1" a="1"/>
  <c r="I1675" i="1" s="1"/>
  <c r="H1675" i="1" a="1"/>
  <c r="H1675" i="1" s="1"/>
  <c r="G1675" i="1" a="1"/>
  <c r="G1675" i="1" s="1"/>
  <c r="F1675" i="1" a="1"/>
  <c r="F1675" i="1"/>
  <c r="F1671" i="1" a="1"/>
  <c r="F1671" i="1" s="1"/>
  <c r="Q1674" i="1" a="1"/>
  <c r="Q1674" i="1"/>
  <c r="H1670" i="1" a="1"/>
  <c r="H1670" i="1"/>
  <c r="J1674" i="1" a="1"/>
  <c r="J1674" i="1" s="1"/>
  <c r="Q1671" i="1" a="1"/>
  <c r="Q1671" i="1"/>
  <c r="I1674" i="1" a="1"/>
  <c r="I1674" i="1" s="1"/>
  <c r="K1672" i="1" a="1"/>
  <c r="K1672" i="1" s="1"/>
  <c r="F1672" i="1" a="1"/>
  <c r="F1672" i="1" s="1"/>
  <c r="H1672" i="1" a="1"/>
  <c r="H1672" i="1" s="1"/>
  <c r="P1674" i="1" a="1"/>
  <c r="P1674" i="1"/>
  <c r="I1669" i="1" a="1"/>
  <c r="I1669" i="1"/>
  <c r="P1662" i="1" a="1"/>
  <c r="P1662" i="1"/>
  <c r="G1669" i="1" a="1"/>
  <c r="G1669" i="1" s="1"/>
  <c r="F1669" i="1" a="1"/>
  <c r="F1669" i="1"/>
  <c r="Q1668" i="1" a="1"/>
  <c r="Q1668" i="1" s="1"/>
  <c r="P1668" i="1" a="1"/>
  <c r="P1668" i="1" s="1"/>
  <c r="M1668" i="1" a="1"/>
  <c r="M1668" i="1"/>
  <c r="K1661" i="1" a="1"/>
  <c r="K1661" i="1" s="1"/>
  <c r="Q1662" i="1" a="1"/>
  <c r="Q1662" i="1"/>
  <c r="N1662" i="1" a="1"/>
  <c r="N1662" i="1" s="1"/>
  <c r="J1661" i="1" a="1"/>
  <c r="J1661" i="1" s="1"/>
  <c r="L1668" i="1" a="1"/>
  <c r="L1668" i="1"/>
  <c r="I1668" i="1" a="1"/>
  <c r="I1668" i="1" s="1"/>
  <c r="G1667" i="1" a="1"/>
  <c r="G1667" i="1" s="1"/>
  <c r="J1662" i="1" a="1"/>
  <c r="J1662" i="1" s="1"/>
  <c r="O1662" i="1" a="1"/>
  <c r="O1662" i="1" s="1"/>
  <c r="O1661" i="1" a="1"/>
  <c r="O1661" i="1"/>
  <c r="H1662" i="1" a="1"/>
  <c r="H1662" i="1" s="1"/>
  <c r="F1668" i="1" a="1"/>
  <c r="F1668" i="1" s="1"/>
  <c r="N1667" i="1" a="1"/>
  <c r="N1667" i="1" s="1"/>
  <c r="M1667" i="1" a="1"/>
  <c r="M1667" i="1" s="1"/>
  <c r="P1661" i="1" a="1"/>
  <c r="P1661" i="1" s="1"/>
  <c r="K1667" i="1" a="1"/>
  <c r="K1667" i="1" s="1"/>
  <c r="F1670" i="1" a="1"/>
  <c r="F1670" i="1"/>
  <c r="L1669" i="1" a="1"/>
  <c r="L1669" i="1"/>
  <c r="H1667" i="1" a="1"/>
  <c r="H1667" i="1" s="1"/>
  <c r="L1662" i="1" a="1"/>
  <c r="L1662" i="1" s="1"/>
  <c r="F1667" i="1" a="1"/>
  <c r="F1667" i="1"/>
  <c r="Q1669" i="1" a="1"/>
  <c r="Q1669" i="1"/>
  <c r="P1669" i="1" a="1"/>
  <c r="P1669" i="1"/>
  <c r="O1669" i="1" a="1"/>
  <c r="O1669" i="1"/>
  <c r="N1669" i="1" a="1"/>
  <c r="N1669" i="1" s="1"/>
  <c r="M1669" i="1" a="1"/>
  <c r="M1669" i="1"/>
  <c r="N1668" i="1" a="1"/>
  <c r="N1668" i="1"/>
  <c r="G1668" i="1" a="1"/>
  <c r="G1668" i="1"/>
  <c r="K1668" i="1" a="1"/>
  <c r="K1668" i="1"/>
  <c r="J1668" i="1" a="1"/>
  <c r="J1668" i="1" s="1"/>
  <c r="Q1661" i="1" a="1"/>
  <c r="Q1661" i="1" s="1"/>
  <c r="Q1667" i="1" a="1"/>
  <c r="Q1667" i="1"/>
  <c r="L1667" i="1" a="1"/>
  <c r="L1667" i="1"/>
  <c r="P1667" i="1" a="1"/>
  <c r="P1667" i="1" s="1"/>
  <c r="I1667" i="1" a="1"/>
  <c r="I1667" i="1" s="1"/>
  <c r="M1662" i="1" a="1"/>
  <c r="M1662" i="1" s="1"/>
  <c r="I1662" i="1" a="1"/>
  <c r="I1662" i="1" s="1"/>
  <c r="G1662" i="1" a="1"/>
  <c r="G1662" i="1" s="1"/>
  <c r="F1662" i="1" a="1"/>
  <c r="F1662" i="1" s="1"/>
  <c r="N1661" i="1" a="1"/>
  <c r="N1661" i="1" s="1"/>
  <c r="K1662" i="1" a="1"/>
  <c r="K1662" i="1"/>
  <c r="O1668" i="1" a="1"/>
  <c r="O1668" i="1" s="1"/>
  <c r="H1668" i="1" a="1"/>
  <c r="H1668" i="1" s="1"/>
  <c r="L1661" i="1" a="1"/>
  <c r="L1661" i="1" s="1"/>
  <c r="O1667" i="1" a="1"/>
  <c r="O1667" i="1" s="1"/>
  <c r="M1661" i="1" a="1"/>
  <c r="M1661" i="1" s="1"/>
  <c r="J1667" i="1" a="1"/>
  <c r="J1667" i="1" s="1"/>
  <c r="H1669" i="1" a="1"/>
  <c r="H1669" i="1" s="1"/>
  <c r="K1669" i="1" a="1"/>
  <c r="K1669" i="1"/>
  <c r="J1669" i="1" a="1"/>
  <c r="J1669" i="1"/>
  <c r="J1660" i="1" a="1"/>
  <c r="J1660" i="1"/>
  <c r="J1654" i="1" a="1"/>
  <c r="J1654" i="1"/>
  <c r="G1660" i="1" a="1"/>
  <c r="G1660" i="1"/>
  <c r="O1654" i="1" a="1"/>
  <c r="O1654" i="1" s="1"/>
  <c r="G1654" i="1" a="1"/>
  <c r="G1654" i="1"/>
  <c r="N1654" i="1" a="1"/>
  <c r="N1654" i="1"/>
  <c r="Q1654" i="1" a="1"/>
  <c r="Q1654" i="1" s="1"/>
  <c r="P1654" i="1" a="1"/>
  <c r="P1654" i="1" s="1"/>
  <c r="H1654" i="1" a="1"/>
  <c r="H1654" i="1" s="1"/>
  <c r="L1654" i="1" a="1"/>
  <c r="L1654" i="1" s="1"/>
  <c r="I1661" i="1" a="1"/>
  <c r="I1661" i="1" s="1"/>
  <c r="Q1660" i="1" a="1"/>
  <c r="Q1660" i="1" s="1"/>
  <c r="F1660" i="1" a="1"/>
  <c r="F1660" i="1" s="1"/>
  <c r="M1654" i="1" a="1"/>
  <c r="M1654" i="1"/>
  <c r="H1661" i="1" a="1"/>
  <c r="H1661" i="1" s="1"/>
  <c r="G1661" i="1" a="1"/>
  <c r="G1661" i="1" s="1"/>
  <c r="F1661" i="1" a="1"/>
  <c r="F1661" i="1" s="1"/>
  <c r="K1654" i="1" a="1"/>
  <c r="K1654" i="1" s="1"/>
  <c r="N1660" i="1" a="1"/>
  <c r="N1660" i="1" s="1"/>
  <c r="F1654" i="1" a="1"/>
  <c r="F1654" i="1" s="1"/>
  <c r="P1660" i="1" a="1"/>
  <c r="P1660" i="1" s="1"/>
  <c r="O1660" i="1" a="1"/>
  <c r="O1660" i="1" s="1"/>
  <c r="I1654" i="1" a="1"/>
  <c r="I1654" i="1" s="1"/>
  <c r="H1660" i="1" a="1"/>
  <c r="H1660" i="1"/>
  <c r="M1660" i="1" a="1"/>
  <c r="M1660" i="1" s="1"/>
  <c r="L1660" i="1" a="1"/>
  <c r="L1660" i="1" s="1"/>
  <c r="I1660" i="1" a="1"/>
  <c r="I1660" i="1"/>
  <c r="K1660" i="1" a="1"/>
  <c r="K1660" i="1"/>
  <c r="P1642" i="1" a="1"/>
  <c r="P1642" i="1" s="1"/>
  <c r="Q1647" i="1" a="1"/>
  <c r="Q1647" i="1"/>
  <c r="G1647" i="1" a="1"/>
  <c r="G1647" i="1"/>
  <c r="L1646" i="1" a="1"/>
  <c r="L1646" i="1"/>
  <c r="Q1646" i="1" a="1"/>
  <c r="Q1646" i="1" s="1"/>
  <c r="K1647" i="1" a="1"/>
  <c r="K1647" i="1"/>
  <c r="Q1643" i="1" a="1"/>
  <c r="Q1643" i="1"/>
  <c r="O1647" i="1" a="1"/>
  <c r="O1647" i="1"/>
  <c r="I1643" i="1" a="1"/>
  <c r="I1643" i="1" s="1"/>
  <c r="N1647" i="1" a="1"/>
  <c r="N1647" i="1" s="1"/>
  <c r="N1646" i="1" a="1"/>
  <c r="N1646" i="1"/>
  <c r="L1647" i="1" a="1"/>
  <c r="L1647" i="1" s="1"/>
  <c r="K1646" i="1" a="1"/>
  <c r="K1646" i="1" s="1"/>
  <c r="Q1642" i="1" a="1"/>
  <c r="Q1642" i="1" s="1"/>
  <c r="G1643" i="1" a="1"/>
  <c r="G1643" i="1"/>
  <c r="H1646" i="1" a="1"/>
  <c r="H1646" i="1" s="1"/>
  <c r="I1647" i="1" a="1"/>
  <c r="I1647" i="1" s="1"/>
  <c r="N1643" i="1" a="1"/>
  <c r="N1643" i="1" s="1"/>
  <c r="F1647" i="1" a="1"/>
  <c r="F1647" i="1"/>
  <c r="J1646" i="1" a="1"/>
  <c r="J1646" i="1" s="1"/>
  <c r="L1643" i="1" a="1"/>
  <c r="L1643" i="1"/>
  <c r="P1646" i="1" a="1"/>
  <c r="P1646" i="1" s="1"/>
  <c r="O1646" i="1" a="1"/>
  <c r="O1646" i="1" s="1"/>
  <c r="P1643" i="1" a="1"/>
  <c r="P1643" i="1"/>
  <c r="M1646" i="1" a="1"/>
  <c r="M1646" i="1"/>
  <c r="O1643" i="1" a="1"/>
  <c r="O1643" i="1" s="1"/>
  <c r="J1643" i="1" a="1"/>
  <c r="J1643" i="1" s="1"/>
  <c r="M1643" i="1" a="1"/>
  <c r="M1643" i="1" s="1"/>
  <c r="K1643" i="1" a="1"/>
  <c r="K1643" i="1"/>
  <c r="J1647" i="1" a="1"/>
  <c r="J1647" i="1" s="1"/>
  <c r="M1647" i="1" a="1"/>
  <c r="M1647" i="1"/>
  <c r="H1647" i="1" a="1"/>
  <c r="H1647" i="1"/>
  <c r="G1646" i="1" a="1"/>
  <c r="G1646" i="1"/>
  <c r="H1643" i="1" a="1"/>
  <c r="H1643" i="1"/>
  <c r="F1643" i="1" a="1"/>
  <c r="F1643" i="1"/>
  <c r="F1646" i="1" a="1"/>
  <c r="F1646" i="1"/>
  <c r="P1647" i="1" a="1"/>
  <c r="P1647" i="1"/>
  <c r="I1646" i="1" a="1"/>
  <c r="I1646" i="1" s="1"/>
  <c r="O1629" i="1" a="1"/>
  <c r="O1629" i="1" s="1"/>
  <c r="N1629" i="1" a="1"/>
  <c r="N1629" i="1" s="1"/>
  <c r="H1628" i="1" a="1"/>
  <c r="H1628" i="1"/>
  <c r="J1628" i="1" a="1"/>
  <c r="J1628" i="1" s="1"/>
  <c r="L1629" i="1" a="1"/>
  <c r="L1629" i="1" s="1"/>
  <c r="O1642" i="1" a="1"/>
  <c r="O1642" i="1" s="1"/>
  <c r="N1642" i="1" a="1"/>
  <c r="N1642" i="1" s="1"/>
  <c r="M1642" i="1" a="1"/>
  <c r="M1642" i="1" s="1"/>
  <c r="H1629" i="1" a="1"/>
  <c r="H1629" i="1" s="1"/>
  <c r="L1642" i="1" a="1"/>
  <c r="L1642" i="1" s="1"/>
  <c r="K1642" i="1" a="1"/>
  <c r="K1642" i="1" s="1"/>
  <c r="J1642" i="1" a="1"/>
  <c r="J1642" i="1" s="1"/>
  <c r="H1642" i="1" a="1"/>
  <c r="H1642" i="1" s="1"/>
  <c r="I1629" i="1" a="1"/>
  <c r="I1629" i="1"/>
  <c r="G1629" i="1" a="1"/>
  <c r="G1629" i="1"/>
  <c r="G1628" i="1" a="1"/>
  <c r="G1628" i="1" s="1"/>
  <c r="G1642" i="1" a="1"/>
  <c r="G1642" i="1" s="1"/>
  <c r="I1642" i="1" a="1"/>
  <c r="I1642" i="1"/>
  <c r="K1629" i="1" a="1"/>
  <c r="K1629" i="1" s="1"/>
  <c r="L1628" i="1" a="1"/>
  <c r="L1628" i="1"/>
  <c r="F1642" i="1" a="1"/>
  <c r="F1642" i="1"/>
  <c r="Q1628" i="1" a="1"/>
  <c r="Q1628" i="1"/>
  <c r="Q1629" i="1" a="1"/>
  <c r="Q1629" i="1"/>
  <c r="P1629" i="1" a="1"/>
  <c r="P1629" i="1"/>
  <c r="I1628" i="1" a="1"/>
  <c r="I1628" i="1" s="1"/>
  <c r="N1628" i="1" a="1"/>
  <c r="N1628" i="1"/>
  <c r="M1629" i="1" a="1"/>
  <c r="M1629" i="1"/>
  <c r="P1628" i="1" a="1"/>
  <c r="P1628" i="1" s="1"/>
  <c r="P1627" i="1" a="1"/>
  <c r="P1627" i="1"/>
  <c r="F1628" i="1" a="1"/>
  <c r="F1628" i="1" s="1"/>
  <c r="O1628" i="1" a="1"/>
  <c r="O1628" i="1"/>
  <c r="Q1627" i="1" a="1"/>
  <c r="Q1627" i="1" s="1"/>
  <c r="J1629" i="1" a="1"/>
  <c r="J1629" i="1" s="1"/>
  <c r="M1628" i="1" a="1"/>
  <c r="M1628" i="1" s="1"/>
  <c r="K1628" i="1" a="1"/>
  <c r="K1628" i="1" s="1"/>
  <c r="O1627" i="1" a="1"/>
  <c r="O1627" i="1" s="1"/>
  <c r="F1629" i="1" a="1"/>
  <c r="F1629" i="1" s="1"/>
  <c r="L1626" i="1" a="1"/>
  <c r="L1626" i="1" s="1"/>
  <c r="N1623" i="1" a="1"/>
  <c r="N1623" i="1" s="1"/>
  <c r="H1626" i="1" a="1"/>
  <c r="H1626" i="1" s="1"/>
  <c r="O1622" i="1" a="1"/>
  <c r="O1622" i="1" s="1"/>
  <c r="L1622" i="1" a="1"/>
  <c r="L1622" i="1"/>
  <c r="F1626" i="1" a="1"/>
  <c r="F1626" i="1" s="1"/>
  <c r="N1625" i="1" a="1"/>
  <c r="N1625" i="1" s="1"/>
  <c r="F1625" i="1" a="1"/>
  <c r="F1625" i="1" s="1"/>
  <c r="J1624" i="1" a="1"/>
  <c r="J1624" i="1"/>
  <c r="P1622" i="1" a="1"/>
  <c r="P1622" i="1" s="1"/>
  <c r="I1624" i="1" a="1"/>
  <c r="I1624" i="1"/>
  <c r="P1623" i="1" a="1"/>
  <c r="P1623" i="1"/>
  <c r="K1625" i="1" a="1"/>
  <c r="K1625" i="1" s="1"/>
  <c r="H1625" i="1" a="1"/>
  <c r="H1625" i="1"/>
  <c r="Q1624" i="1" a="1"/>
  <c r="Q1624" i="1"/>
  <c r="K1624" i="1" a="1"/>
  <c r="K1624" i="1"/>
  <c r="N1622" i="1" a="1"/>
  <c r="N1622" i="1"/>
  <c r="F1623" i="1" a="1"/>
  <c r="F1623" i="1"/>
  <c r="K1622" i="1" a="1"/>
  <c r="K1622" i="1" s="1"/>
  <c r="P1624" i="1" a="1"/>
  <c r="P1624" i="1" s="1"/>
  <c r="J1627" i="1" a="1"/>
  <c r="J1627" i="1" s="1"/>
  <c r="M1625" i="1" a="1"/>
  <c r="M1625" i="1"/>
  <c r="K1623" i="1" a="1"/>
  <c r="K1623" i="1" s="1"/>
  <c r="J1623" i="1" a="1"/>
  <c r="J1623" i="1"/>
  <c r="J1625" i="1" a="1"/>
  <c r="J1625" i="1" s="1"/>
  <c r="G1624" i="1" a="1"/>
  <c r="G1624" i="1" s="1"/>
  <c r="K1627" i="1" a="1"/>
  <c r="K1627" i="1" s="1"/>
  <c r="J1626" i="1" a="1"/>
  <c r="J1626" i="1" s="1"/>
  <c r="K1626" i="1" a="1"/>
  <c r="K1626" i="1" s="1"/>
  <c r="I1627" i="1" a="1"/>
  <c r="I1627" i="1" s="1"/>
  <c r="H1627" i="1" a="1"/>
  <c r="H1627" i="1" s="1"/>
  <c r="G1627" i="1" a="1"/>
  <c r="G1627" i="1" s="1"/>
  <c r="F1627" i="1" a="1"/>
  <c r="F1627" i="1"/>
  <c r="Q1626" i="1" a="1"/>
  <c r="Q1626" i="1" s="1"/>
  <c r="H1624" i="1" a="1"/>
  <c r="H1624" i="1" s="1"/>
  <c r="O1626" i="1" a="1"/>
  <c r="O1626" i="1"/>
  <c r="N1626" i="1" a="1"/>
  <c r="N1626" i="1" s="1"/>
  <c r="I1626" i="1" a="1"/>
  <c r="I1626" i="1" s="1"/>
  <c r="G1626" i="1" a="1"/>
  <c r="G1626" i="1"/>
  <c r="P1625" i="1" a="1"/>
  <c r="P1625" i="1" s="1"/>
  <c r="O1625" i="1" a="1"/>
  <c r="O1625" i="1"/>
  <c r="M1622" i="1" a="1"/>
  <c r="M1622" i="1" s="1"/>
  <c r="M1624" i="1" a="1"/>
  <c r="M1624" i="1"/>
  <c r="O1623" i="1" a="1"/>
  <c r="O1623" i="1"/>
  <c r="I1623" i="1" a="1"/>
  <c r="I1623" i="1"/>
  <c r="F1624" i="1" a="1"/>
  <c r="F1624" i="1"/>
  <c r="G1623" i="1" a="1"/>
  <c r="G1623" i="1"/>
  <c r="G1625" i="1" a="1"/>
  <c r="G1625" i="1" s="1"/>
  <c r="I1625" i="1" a="1"/>
  <c r="I1625" i="1" s="1"/>
  <c r="O1624" i="1" a="1"/>
  <c r="O1624" i="1" s="1"/>
  <c r="M1623" i="1" a="1"/>
  <c r="M1623" i="1" s="1"/>
  <c r="N1627" i="1" a="1"/>
  <c r="N1627" i="1"/>
  <c r="N1624" i="1" a="1"/>
  <c r="N1624" i="1" s="1"/>
  <c r="M1627" i="1" a="1"/>
  <c r="M1627" i="1"/>
  <c r="L1627" i="1" a="1"/>
  <c r="L1627" i="1" s="1"/>
  <c r="H1623" i="1" a="1"/>
  <c r="H1623" i="1"/>
  <c r="P1626" i="1" a="1"/>
  <c r="P1626" i="1" s="1"/>
  <c r="Q1625" i="1" a="1"/>
  <c r="Q1625" i="1" s="1"/>
  <c r="L1624" i="1" a="1"/>
  <c r="L1624" i="1" s="1"/>
  <c r="Q1623" i="1" a="1"/>
  <c r="Q1623" i="1" s="1"/>
  <c r="L1623" i="1" a="1"/>
  <c r="L1623" i="1" s="1"/>
  <c r="Q1622" i="1" a="1"/>
  <c r="Q1622" i="1"/>
  <c r="L1625" i="1" a="1"/>
  <c r="L1625" i="1" s="1"/>
  <c r="M1626" i="1" a="1"/>
  <c r="M1626" i="1" s="1"/>
  <c r="L1619" i="1" a="1"/>
  <c r="L1619" i="1" s="1"/>
  <c r="L1613" i="1" a="1"/>
  <c r="L1613" i="1" s="1"/>
  <c r="Q1619" i="1" a="1"/>
  <c r="Q1619" i="1" s="1"/>
  <c r="I1613" i="1" a="1"/>
  <c r="I1613" i="1" s="1"/>
  <c r="O1612" i="1" a="1"/>
  <c r="O1612" i="1" s="1"/>
  <c r="H1619" i="1" a="1"/>
  <c r="H1619" i="1"/>
  <c r="Q1612" i="1" a="1"/>
  <c r="Q1612" i="1" s="1"/>
  <c r="G1619" i="1" a="1"/>
  <c r="G1619" i="1"/>
  <c r="F1619" i="1" a="1"/>
  <c r="F1619" i="1"/>
  <c r="H1613" i="1" a="1"/>
  <c r="H1613" i="1"/>
  <c r="P1619" i="1" a="1"/>
  <c r="P1619" i="1" s="1"/>
  <c r="N1621" i="1" a="1"/>
  <c r="N1621" i="1"/>
  <c r="J1622" i="1" a="1"/>
  <c r="J1622" i="1" s="1"/>
  <c r="I1622" i="1" a="1"/>
  <c r="I1622" i="1"/>
  <c r="H1622" i="1" a="1"/>
  <c r="H1622" i="1"/>
  <c r="H1621" i="1" a="1"/>
  <c r="H1621" i="1"/>
  <c r="G1622" i="1" a="1"/>
  <c r="G1622" i="1"/>
  <c r="P1612" i="1" a="1"/>
  <c r="P1612" i="1" s="1"/>
  <c r="M1613" i="1" a="1"/>
  <c r="M1613" i="1"/>
  <c r="N1613" i="1" a="1"/>
  <c r="N1613" i="1" s="1"/>
  <c r="N1612" i="1" a="1"/>
  <c r="N1612" i="1" s="1"/>
  <c r="F1622" i="1" a="1"/>
  <c r="F1622" i="1" s="1"/>
  <c r="Q1621" i="1" a="1"/>
  <c r="Q1621" i="1" s="1"/>
  <c r="P1621" i="1" a="1"/>
  <c r="P1621" i="1" s="1"/>
  <c r="O1621" i="1" a="1"/>
  <c r="O1621" i="1"/>
  <c r="M1621" i="1" a="1"/>
  <c r="M1621" i="1" s="1"/>
  <c r="L1621" i="1" a="1"/>
  <c r="L1621" i="1" s="1"/>
  <c r="K1621" i="1" a="1"/>
  <c r="K1621" i="1" s="1"/>
  <c r="J1621" i="1" a="1"/>
  <c r="J1621" i="1"/>
  <c r="M1612" i="1" a="1"/>
  <c r="M1612" i="1" s="1"/>
  <c r="L1612" i="1" a="1"/>
  <c r="L1612" i="1" s="1"/>
  <c r="I1621" i="1" a="1"/>
  <c r="I1621" i="1"/>
  <c r="F1621" i="1" a="1"/>
  <c r="F1621" i="1"/>
  <c r="O1613" i="1" a="1"/>
  <c r="O1613" i="1"/>
  <c r="Q1613" i="1" a="1"/>
  <c r="Q1613" i="1"/>
  <c r="N1619" i="1" a="1"/>
  <c r="N1619" i="1" s="1"/>
  <c r="M1619" i="1" a="1"/>
  <c r="M1619" i="1"/>
  <c r="P1613" i="1" a="1"/>
  <c r="P1613" i="1"/>
  <c r="O1619" i="1" a="1"/>
  <c r="O1619" i="1"/>
  <c r="K1619" i="1" a="1"/>
  <c r="K1619" i="1"/>
  <c r="J1613" i="1" a="1"/>
  <c r="J1613" i="1" s="1"/>
  <c r="G1613" i="1" a="1"/>
  <c r="G1613" i="1" s="1"/>
  <c r="I1619" i="1" a="1"/>
  <c r="I1619" i="1"/>
  <c r="J1619" i="1" a="1"/>
  <c r="J1619" i="1"/>
  <c r="K1613" i="1" a="1"/>
  <c r="K1613" i="1" s="1"/>
  <c r="F1613" i="1" a="1"/>
  <c r="F1613" i="1" s="1"/>
  <c r="G1621" i="1" a="1"/>
  <c r="G1621" i="1" s="1"/>
  <c r="M1604" i="1" a="1"/>
  <c r="M1604" i="1" s="1"/>
  <c r="M1611" i="1" a="1"/>
  <c r="M1611" i="1" s="1"/>
  <c r="Q1611" i="1" a="1"/>
  <c r="Q1611" i="1" s="1"/>
  <c r="P1611" i="1" a="1"/>
  <c r="P1611" i="1" s="1"/>
  <c r="G1611" i="1" a="1"/>
  <c r="G1611" i="1" s="1"/>
  <c r="O1611" i="1" a="1"/>
  <c r="O1611" i="1" s="1"/>
  <c r="K1605" i="1" a="1"/>
  <c r="K1605" i="1" s="1"/>
  <c r="N1611" i="1" a="1"/>
  <c r="N1611" i="1" s="1"/>
  <c r="L1611" i="1" a="1"/>
  <c r="L1611" i="1"/>
  <c r="J1605" i="1" a="1"/>
  <c r="J1605" i="1" s="1"/>
  <c r="O1605" i="1" a="1"/>
  <c r="O1605" i="1" s="1"/>
  <c r="L1605" i="1" a="1"/>
  <c r="L1605" i="1"/>
  <c r="P1604" i="1" a="1"/>
  <c r="P1604" i="1" s="1"/>
  <c r="K1611" i="1" a="1"/>
  <c r="K1611" i="1"/>
  <c r="J1611" i="1" a="1"/>
  <c r="J1611" i="1" s="1"/>
  <c r="H1611" i="1" a="1"/>
  <c r="H1611" i="1" s="1"/>
  <c r="N1605" i="1" a="1"/>
  <c r="N1605" i="1" s="1"/>
  <c r="F1611" i="1" a="1"/>
  <c r="F1611" i="1" s="1"/>
  <c r="G1604" i="1" a="1"/>
  <c r="G1604" i="1"/>
  <c r="H1605" i="1" a="1"/>
  <c r="H1605" i="1"/>
  <c r="H1604" i="1" a="1"/>
  <c r="H1604" i="1"/>
  <c r="I1605" i="1" a="1"/>
  <c r="I1605" i="1" s="1"/>
  <c r="L1604" i="1" a="1"/>
  <c r="L1604" i="1"/>
  <c r="O1604" i="1" a="1"/>
  <c r="O1604" i="1" s="1"/>
  <c r="N1604" i="1" a="1"/>
  <c r="N1604" i="1"/>
  <c r="F1605" i="1" a="1"/>
  <c r="F1605" i="1" s="1"/>
  <c r="I1604" i="1" a="1"/>
  <c r="I1604" i="1" s="1"/>
  <c r="P1605" i="1" a="1"/>
  <c r="P1605" i="1" s="1"/>
  <c r="G1605" i="1" a="1"/>
  <c r="G1605" i="1"/>
  <c r="K1604" i="1" a="1"/>
  <c r="K1604" i="1" s="1"/>
  <c r="Q1604" i="1" a="1"/>
  <c r="Q1604" i="1" s="1"/>
  <c r="Q1605" i="1" a="1"/>
  <c r="Q1605" i="1" s="1"/>
  <c r="J1604" i="1" a="1"/>
  <c r="J1604" i="1" s="1"/>
  <c r="K1612" i="1" a="1"/>
  <c r="K1612" i="1" s="1"/>
  <c r="I1612" i="1" a="1"/>
  <c r="I1612" i="1" s="1"/>
  <c r="H1612" i="1" a="1"/>
  <c r="H1612" i="1" s="1"/>
  <c r="J1612" i="1" a="1"/>
  <c r="J1612" i="1" s="1"/>
  <c r="G1612" i="1" a="1"/>
  <c r="G1612" i="1" s="1"/>
  <c r="F1612" i="1" a="1"/>
  <c r="F1612" i="1"/>
  <c r="I1611" i="1" a="1"/>
  <c r="I1611" i="1" s="1"/>
  <c r="M1605" i="1" a="1"/>
  <c r="M1605" i="1"/>
  <c r="H1596" i="1" a="1"/>
  <c r="H1596" i="1" s="1"/>
  <c r="F1596" i="1" a="1"/>
  <c r="F1596" i="1"/>
  <c r="O1595" i="1" a="1"/>
  <c r="O1595" i="1" s="1"/>
  <c r="G1596" i="1" a="1"/>
  <c r="G1596" i="1" s="1"/>
  <c r="L1598" i="1" a="1"/>
  <c r="L1598" i="1"/>
  <c r="M1596" i="1" a="1"/>
  <c r="M1596" i="1" s="1"/>
  <c r="I1596" i="1" a="1"/>
  <c r="I1596" i="1"/>
  <c r="P1595" i="1" a="1"/>
  <c r="P1595" i="1"/>
  <c r="L1596" i="1" a="1"/>
  <c r="L1596" i="1" s="1"/>
  <c r="N1595" i="1" a="1"/>
  <c r="N1595" i="1" s="1"/>
  <c r="K1595" i="1" a="1"/>
  <c r="K1595" i="1"/>
  <c r="Q1596" i="1" a="1"/>
  <c r="Q1596" i="1" s="1"/>
  <c r="K1596" i="1" a="1"/>
  <c r="K1596" i="1"/>
  <c r="J1595" i="1" a="1"/>
  <c r="J1595" i="1" s="1"/>
  <c r="K1598" i="1" a="1"/>
  <c r="K1598" i="1"/>
  <c r="F1604" i="1" a="1"/>
  <c r="F1604" i="1"/>
  <c r="G1595" i="1" a="1"/>
  <c r="G1595" i="1" s="1"/>
  <c r="I1598" i="1" a="1"/>
  <c r="I1598" i="1"/>
  <c r="O1598" i="1" a="1"/>
  <c r="O1598" i="1" s="1"/>
  <c r="N1596" i="1" a="1"/>
  <c r="N1596" i="1" s="1"/>
  <c r="M1598" i="1" a="1"/>
  <c r="M1598" i="1" s="1"/>
  <c r="F1595" i="1" a="1"/>
  <c r="F1595" i="1" s="1"/>
  <c r="G1598" i="1" a="1"/>
  <c r="G1598" i="1" s="1"/>
  <c r="M1595" i="1" a="1"/>
  <c r="M1595" i="1"/>
  <c r="O1596" i="1" a="1"/>
  <c r="O1596" i="1" s="1"/>
  <c r="N1598" i="1" a="1"/>
  <c r="N1598" i="1" s="1"/>
  <c r="H1595" i="1" a="1"/>
  <c r="H1595" i="1" s="1"/>
  <c r="L1595" i="1" a="1"/>
  <c r="L1595" i="1"/>
  <c r="F1598" i="1" a="1"/>
  <c r="F1598" i="1" s="1"/>
  <c r="P1598" i="1" a="1"/>
  <c r="P1598" i="1"/>
  <c r="I1595" i="1" a="1"/>
  <c r="I1595" i="1" s="1"/>
  <c r="P1596" i="1" a="1"/>
  <c r="P1596" i="1"/>
  <c r="Q1598" i="1" a="1"/>
  <c r="Q1598" i="1" s="1"/>
  <c r="J1596" i="1" a="1"/>
  <c r="J1596" i="1" s="1"/>
  <c r="Q1595" i="1" a="1"/>
  <c r="Q1595" i="1"/>
  <c r="J1598" i="1" a="1"/>
  <c r="J1598" i="1"/>
  <c r="H1598" i="1" a="1"/>
  <c r="H1598" i="1" s="1"/>
  <c r="M1581" i="1" a="1"/>
  <c r="M1581" i="1" s="1"/>
  <c r="J1581" i="1" a="1"/>
  <c r="J1581" i="1"/>
  <c r="N1582" i="1" a="1"/>
  <c r="N1582" i="1" s="1"/>
  <c r="O1581" i="1" a="1"/>
  <c r="O1581" i="1" s="1"/>
  <c r="I1581" i="1" a="1"/>
  <c r="I1581" i="1" s="1"/>
  <c r="Q1581" i="1" a="1"/>
  <c r="Q1581" i="1"/>
  <c r="F1581" i="1" a="1"/>
  <c r="F1581" i="1"/>
  <c r="G1582" i="1" a="1"/>
  <c r="G1582" i="1"/>
  <c r="N1581" i="1" a="1"/>
  <c r="N1581" i="1" s="1"/>
  <c r="L1582" i="1" a="1"/>
  <c r="L1582" i="1" s="1"/>
  <c r="I1582" i="1" a="1"/>
  <c r="I1582" i="1" s="1"/>
  <c r="H1582" i="1" a="1"/>
  <c r="H1582" i="1" s="1"/>
  <c r="Q1580" i="1" a="1"/>
  <c r="Q1580" i="1" s="1"/>
  <c r="P1581" i="1" a="1"/>
  <c r="P1581" i="1" s="1"/>
  <c r="Q1582" i="1" a="1"/>
  <c r="Q1582" i="1"/>
  <c r="P1582" i="1" a="1"/>
  <c r="P1582" i="1"/>
  <c r="J1582" i="1" a="1"/>
  <c r="J1582" i="1" s="1"/>
  <c r="M1582" i="1" a="1"/>
  <c r="M1582" i="1" s="1"/>
  <c r="F1582" i="1" a="1"/>
  <c r="F1582" i="1" s="1"/>
  <c r="K1581" i="1" a="1"/>
  <c r="K1581" i="1" s="1"/>
  <c r="H1581" i="1" a="1"/>
  <c r="H1581" i="1"/>
  <c r="K1582" i="1" a="1"/>
  <c r="K1582" i="1" s="1"/>
  <c r="O1582" i="1" a="1"/>
  <c r="O1582" i="1"/>
  <c r="L1581" i="1" a="1"/>
  <c r="L1581" i="1" s="1"/>
  <c r="G1581" i="1" a="1"/>
  <c r="G1581" i="1"/>
  <c r="K1580" i="1" a="1"/>
  <c r="K1580" i="1"/>
  <c r="J1580" i="1" a="1"/>
  <c r="J1580" i="1"/>
  <c r="G1580" i="1" a="1"/>
  <c r="G1580" i="1" s="1"/>
  <c r="F1578" i="1" a="1"/>
  <c r="F1578" i="1" s="1"/>
  <c r="H1576" i="1" a="1"/>
  <c r="H1576" i="1" s="1"/>
  <c r="H1578" i="1" a="1"/>
  <c r="H1578" i="1" s="1"/>
  <c r="P1579" i="1" a="1"/>
  <c r="P1579" i="1"/>
  <c r="H1577" i="1" a="1"/>
  <c r="H1577" i="1" s="1"/>
  <c r="M1576" i="1" a="1"/>
  <c r="M1576" i="1" s="1"/>
  <c r="F1580" i="1" a="1"/>
  <c r="F1580" i="1"/>
  <c r="Q1579" i="1" a="1"/>
  <c r="Q1579" i="1" s="1"/>
  <c r="H1579" i="1" a="1"/>
  <c r="H1579" i="1"/>
  <c r="P1577" i="1" a="1"/>
  <c r="P1577" i="1" s="1"/>
  <c r="P1575" i="1" a="1"/>
  <c r="P1575" i="1" s="1"/>
  <c r="Q1577" i="1" a="1"/>
  <c r="Q1577" i="1"/>
  <c r="M1578" i="1" a="1"/>
  <c r="M1578" i="1"/>
  <c r="O1579" i="1" a="1"/>
  <c r="O1579" i="1" s="1"/>
  <c r="N1579" i="1" a="1"/>
  <c r="N1579" i="1"/>
  <c r="O1578" i="1" a="1"/>
  <c r="O1578" i="1"/>
  <c r="M1575" i="1" a="1"/>
  <c r="M1575" i="1"/>
  <c r="J1576" i="1" a="1"/>
  <c r="J1576" i="1" s="1"/>
  <c r="M1579" i="1" a="1"/>
  <c r="M1579" i="1" s="1"/>
  <c r="L1579" i="1" a="1"/>
  <c r="L1579" i="1"/>
  <c r="Q1578" i="1" a="1"/>
  <c r="Q1578" i="1" s="1"/>
  <c r="K1579" i="1" a="1"/>
  <c r="K1579" i="1" s="1"/>
  <c r="J1579" i="1" a="1"/>
  <c r="J1579" i="1"/>
  <c r="F1579" i="1" a="1"/>
  <c r="F1579" i="1" s="1"/>
  <c r="K1578" i="1" a="1"/>
  <c r="K1578" i="1"/>
  <c r="N1577" i="1" a="1"/>
  <c r="N1577" i="1" s="1"/>
  <c r="J1577" i="1" a="1"/>
  <c r="J1577" i="1" s="1"/>
  <c r="O1576" i="1" a="1"/>
  <c r="O1576" i="1" s="1"/>
  <c r="I1577" i="1" a="1"/>
  <c r="I1577" i="1" s="1"/>
  <c r="N1576" i="1" a="1"/>
  <c r="N1576" i="1" s="1"/>
  <c r="I1579" i="1" a="1"/>
  <c r="I1579" i="1" s="1"/>
  <c r="G1577" i="1" a="1"/>
  <c r="G1577" i="1"/>
  <c r="L1576" i="1" a="1"/>
  <c r="L1576" i="1"/>
  <c r="G1579" i="1" a="1"/>
  <c r="G1579" i="1" s="1"/>
  <c r="Q1575" i="1" a="1"/>
  <c r="Q1575" i="1"/>
  <c r="P1578" i="1" a="1"/>
  <c r="P1578" i="1" s="1"/>
  <c r="N1578" i="1" a="1"/>
  <c r="N1578" i="1" s="1"/>
  <c r="L1578" i="1" a="1"/>
  <c r="L1578" i="1" s="1"/>
  <c r="G1578" i="1" a="1"/>
  <c r="G1578" i="1"/>
  <c r="L1577" i="1" a="1"/>
  <c r="L1577" i="1" s="1"/>
  <c r="Q1576" i="1" a="1"/>
  <c r="Q1576" i="1"/>
  <c r="F1576" i="1" a="1"/>
  <c r="F1576" i="1" s="1"/>
  <c r="F1577" i="1" a="1"/>
  <c r="F1577" i="1"/>
  <c r="K1576" i="1" a="1"/>
  <c r="K1576" i="1"/>
  <c r="O1577" i="1" a="1"/>
  <c r="O1577" i="1"/>
  <c r="K1577" i="1" a="1"/>
  <c r="K1577" i="1"/>
  <c r="P1576" i="1" a="1"/>
  <c r="P1576" i="1" s="1"/>
  <c r="G1576" i="1" a="1"/>
  <c r="G1576" i="1" s="1"/>
  <c r="O1575" i="1" a="1"/>
  <c r="O1575" i="1" s="1"/>
  <c r="I1580" i="1" a="1"/>
  <c r="I1580" i="1" s="1"/>
  <c r="J1578" i="1" a="1"/>
  <c r="J1578" i="1" s="1"/>
  <c r="M1577" i="1" a="1"/>
  <c r="M1577" i="1"/>
  <c r="P1580" i="1" a="1"/>
  <c r="P1580" i="1" s="1"/>
  <c r="I1578" i="1" a="1"/>
  <c r="I1578" i="1"/>
  <c r="N1575" i="1" a="1"/>
  <c r="N1575" i="1" s="1"/>
  <c r="O1580" i="1" a="1"/>
  <c r="O1580" i="1" s="1"/>
  <c r="N1580" i="1" a="1"/>
  <c r="N1580" i="1" s="1"/>
  <c r="H1580" i="1" a="1"/>
  <c r="H1580" i="1" s="1"/>
  <c r="M1580" i="1" a="1"/>
  <c r="M1580" i="1" s="1"/>
  <c r="L1580" i="1" a="1"/>
  <c r="L1580" i="1" s="1"/>
  <c r="I1576" i="1" a="1"/>
  <c r="I1576" i="1"/>
  <c r="I1574" i="1" a="1"/>
  <c r="I1574" i="1" s="1"/>
  <c r="O1565" i="1" a="1"/>
  <c r="O1565" i="1" s="1"/>
  <c r="K1566" i="1" a="1"/>
  <c r="K1566" i="1" s="1"/>
  <c r="Q1574" i="1" a="1"/>
  <c r="Q1574" i="1" s="1"/>
  <c r="L1574" i="1" a="1"/>
  <c r="L1574" i="1" s="1"/>
  <c r="G1574" i="1" a="1"/>
  <c r="G1574" i="1" s="1"/>
  <c r="K1572" i="1" a="1"/>
  <c r="K1572" i="1"/>
  <c r="J1566" i="1" a="1"/>
  <c r="J1566" i="1" s="1"/>
  <c r="G1566" i="1" a="1"/>
  <c r="G1566" i="1" s="1"/>
  <c r="O1572" i="1" a="1"/>
  <c r="O1572" i="1" s="1"/>
  <c r="L1572" i="1" a="1"/>
  <c r="L1572" i="1"/>
  <c r="O1566" i="1" a="1"/>
  <c r="O1566" i="1"/>
  <c r="I1572" i="1" a="1"/>
  <c r="I1572" i="1"/>
  <c r="N1566" i="1" a="1"/>
  <c r="N1566" i="1"/>
  <c r="K1565" i="1" a="1"/>
  <c r="K1565" i="1"/>
  <c r="L1565" i="1" a="1"/>
  <c r="L1565" i="1" s="1"/>
  <c r="H1574" i="1" a="1"/>
  <c r="H1574" i="1" s="1"/>
  <c r="L1575" i="1" a="1"/>
  <c r="L1575" i="1"/>
  <c r="F1575" i="1" a="1"/>
  <c r="F1575" i="1"/>
  <c r="J1572" i="1" a="1"/>
  <c r="J1572" i="1"/>
  <c r="P1565" i="1" a="1"/>
  <c r="P1565" i="1" s="1"/>
  <c r="J1574" i="1" a="1"/>
  <c r="J1574" i="1" s="1"/>
  <c r="K1575" i="1" a="1"/>
  <c r="K1575" i="1" s="1"/>
  <c r="J1575" i="1" a="1"/>
  <c r="J1575" i="1"/>
  <c r="I1575" i="1" a="1"/>
  <c r="I1575" i="1" s="1"/>
  <c r="P1574" i="1" a="1"/>
  <c r="P1574" i="1" s="1"/>
  <c r="M1574" i="1" a="1"/>
  <c r="M1574" i="1" s="1"/>
  <c r="O1574" i="1" a="1"/>
  <c r="O1574" i="1" s="1"/>
  <c r="M1572" i="1" a="1"/>
  <c r="M1572" i="1"/>
  <c r="Q1566" i="1" a="1"/>
  <c r="Q1566" i="1" s="1"/>
  <c r="G1572" i="1" a="1"/>
  <c r="G1572" i="1" s="1"/>
  <c r="F1574" i="1" a="1"/>
  <c r="F1574" i="1" s="1"/>
  <c r="Q1572" i="1" a="1"/>
  <c r="Q1572" i="1"/>
  <c r="P1566" i="1" a="1"/>
  <c r="P1566" i="1" s="1"/>
  <c r="F1566" i="1" a="1"/>
  <c r="F1566" i="1" s="1"/>
  <c r="P1572" i="1" a="1"/>
  <c r="P1572" i="1" s="1"/>
  <c r="H1575" i="1" a="1"/>
  <c r="H1575" i="1" s="1"/>
  <c r="N1565" i="1" a="1"/>
  <c r="N1565" i="1"/>
  <c r="H1566" i="1" a="1"/>
  <c r="H1566" i="1" s="1"/>
  <c r="M1566" i="1" a="1"/>
  <c r="M1566" i="1"/>
  <c r="L1566" i="1" a="1"/>
  <c r="L1566" i="1"/>
  <c r="I1566" i="1" a="1"/>
  <c r="I1566" i="1"/>
  <c r="G1575" i="1" a="1"/>
  <c r="G1575" i="1"/>
  <c r="N1572" i="1" a="1"/>
  <c r="N1572" i="1"/>
  <c r="N1574" i="1" a="1"/>
  <c r="N1574" i="1" s="1"/>
  <c r="F1572" i="1" a="1"/>
  <c r="F1572" i="1" s="1"/>
  <c r="H1572" i="1" a="1"/>
  <c r="H1572" i="1" s="1"/>
  <c r="M1565" i="1" a="1"/>
  <c r="M1565" i="1"/>
  <c r="K1574" i="1" a="1"/>
  <c r="K1574" i="1" s="1"/>
  <c r="Q1565" i="1" a="1"/>
  <c r="Q1565" i="1" s="1"/>
  <c r="J1565" i="1" a="1"/>
  <c r="J1565" i="1" s="1"/>
  <c r="H1558" i="1" a="1"/>
  <c r="H1558" i="1" s="1"/>
  <c r="J1558" i="1" a="1"/>
  <c r="J1558" i="1" s="1"/>
  <c r="Q1557" i="1" a="1"/>
  <c r="Q1557" i="1"/>
  <c r="Q1558" i="1" a="1"/>
  <c r="Q1558" i="1" s="1"/>
  <c r="H1557" i="1" a="1"/>
  <c r="H1557" i="1" s="1"/>
  <c r="I1565" i="1" a="1"/>
  <c r="I1565" i="1" s="1"/>
  <c r="K1564" i="1" a="1"/>
  <c r="K1564" i="1" s="1"/>
  <c r="P1558" i="1" a="1"/>
  <c r="P1558" i="1"/>
  <c r="N1557" i="1" a="1"/>
  <c r="N1557" i="1" s="1"/>
  <c r="J1557" i="1" a="1"/>
  <c r="J1557" i="1"/>
  <c r="G1558" i="1" a="1"/>
  <c r="G1558" i="1" s="1"/>
  <c r="I1564" i="1" a="1"/>
  <c r="I1564" i="1" s="1"/>
  <c r="P1564" i="1" a="1"/>
  <c r="P1564" i="1" s="1"/>
  <c r="P1557" i="1" a="1"/>
  <c r="P1557" i="1" s="1"/>
  <c r="L1558" i="1" a="1"/>
  <c r="L1558" i="1" s="1"/>
  <c r="N1564" i="1" a="1"/>
  <c r="N1564" i="1" s="1"/>
  <c r="H1565" i="1" a="1"/>
  <c r="H1565" i="1" s="1"/>
  <c r="G1565" i="1" a="1"/>
  <c r="G1565" i="1" s="1"/>
  <c r="K1557" i="1" a="1"/>
  <c r="K1557" i="1"/>
  <c r="F1565" i="1" a="1"/>
  <c r="F1565" i="1"/>
  <c r="I1557" i="1" a="1"/>
  <c r="I1557" i="1"/>
  <c r="Q1564" i="1" a="1"/>
  <c r="Q1564" i="1" s="1"/>
  <c r="G1557" i="1" a="1"/>
  <c r="G1557" i="1" s="1"/>
  <c r="M1564" i="1" a="1"/>
  <c r="M1564" i="1" s="1"/>
  <c r="L1564" i="1" a="1"/>
  <c r="L1564" i="1" s="1"/>
  <c r="J1564" i="1" a="1"/>
  <c r="J1564" i="1"/>
  <c r="I1558" i="1" a="1"/>
  <c r="I1558" i="1" s="1"/>
  <c r="F1558" i="1" a="1"/>
  <c r="F1558" i="1" s="1"/>
  <c r="F1557" i="1" a="1"/>
  <c r="F1557" i="1" s="1"/>
  <c r="L1557" i="1" a="1"/>
  <c r="L1557" i="1"/>
  <c r="N1558" i="1" a="1"/>
  <c r="N1558" i="1" s="1"/>
  <c r="O1558" i="1" a="1"/>
  <c r="O1558" i="1"/>
  <c r="O1557" i="1" a="1"/>
  <c r="O1557" i="1" s="1"/>
  <c r="M1558" i="1" a="1"/>
  <c r="M1558" i="1" s="1"/>
  <c r="O1564" i="1" a="1"/>
  <c r="O1564" i="1" s="1"/>
  <c r="K1558" i="1" a="1"/>
  <c r="K1558" i="1" s="1"/>
  <c r="H1564" i="1" a="1"/>
  <c r="H1564" i="1" s="1"/>
  <c r="M1557" i="1" a="1"/>
  <c r="M1557" i="1"/>
  <c r="G1564" i="1" a="1"/>
  <c r="G1564" i="1" s="1"/>
  <c r="F1564" i="1" a="1"/>
  <c r="F1564" i="1" s="1"/>
  <c r="H1549" i="1" a="1"/>
  <c r="H1549" i="1" s="1"/>
  <c r="G1549" i="1" a="1"/>
  <c r="G1549" i="1" s="1"/>
  <c r="Q1548" i="1" a="1"/>
  <c r="Q1548" i="1" s="1"/>
  <c r="O1551" i="1" a="1"/>
  <c r="O1551" i="1"/>
  <c r="O1549" i="1" a="1"/>
  <c r="O1549" i="1" s="1"/>
  <c r="M1548" i="1" a="1"/>
  <c r="M1548" i="1" s="1"/>
  <c r="G1551" i="1" a="1"/>
  <c r="G1551" i="1" s="1"/>
  <c r="P1549" i="1" a="1"/>
  <c r="P1549" i="1" s="1"/>
  <c r="N1549" i="1" a="1"/>
  <c r="N1549" i="1"/>
  <c r="F1548" i="1" a="1"/>
  <c r="F1548" i="1"/>
  <c r="J1548" i="1" a="1"/>
  <c r="J1548" i="1"/>
  <c r="G1548" i="1" a="1"/>
  <c r="G1548" i="1" s="1"/>
  <c r="M1551" i="1" a="1"/>
  <c r="M1551" i="1" s="1"/>
  <c r="I1549" i="1" a="1"/>
  <c r="I1549" i="1" s="1"/>
  <c r="O1548" i="1" a="1"/>
  <c r="O1548" i="1" s="1"/>
  <c r="N1548" i="1" a="1"/>
  <c r="N1548" i="1" s="1"/>
  <c r="Q1551" i="1" a="1"/>
  <c r="Q1551" i="1"/>
  <c r="J1551" i="1" a="1"/>
  <c r="J1551" i="1" s="1"/>
  <c r="H1551" i="1" a="1"/>
  <c r="H1551" i="1" s="1"/>
  <c r="I1551" i="1" a="1"/>
  <c r="I1551" i="1"/>
  <c r="H1548" i="1" a="1"/>
  <c r="H1548" i="1" s="1"/>
  <c r="M1549" i="1" a="1"/>
  <c r="M1549" i="1"/>
  <c r="P1548" i="1" a="1"/>
  <c r="P1548" i="1" s="1"/>
  <c r="L1548" i="1" a="1"/>
  <c r="L1548" i="1" s="1"/>
  <c r="P1551" i="1" a="1"/>
  <c r="P1551" i="1"/>
  <c r="N1551" i="1" a="1"/>
  <c r="N1551" i="1" s="1"/>
  <c r="K1549" i="1" a="1"/>
  <c r="K1549" i="1" s="1"/>
  <c r="K1548" i="1" a="1"/>
  <c r="K1548" i="1"/>
  <c r="K1551" i="1" a="1"/>
  <c r="K1551" i="1"/>
  <c r="F1549" i="1" a="1"/>
  <c r="F1549" i="1" s="1"/>
  <c r="F1551" i="1" a="1"/>
  <c r="F1551" i="1" s="1"/>
  <c r="I1548" i="1" a="1"/>
  <c r="I1548" i="1" s="1"/>
  <c r="L1551" i="1" a="1"/>
  <c r="L1551" i="1" s="1"/>
  <c r="Q1549" i="1" a="1"/>
  <c r="Q1549" i="1" s="1"/>
  <c r="L1549" i="1" a="1"/>
  <c r="L1549" i="1" s="1"/>
  <c r="J1549" i="1" a="1"/>
  <c r="J1549" i="1"/>
  <c r="G1531" i="1" a="1"/>
  <c r="G1531" i="1" s="1"/>
  <c r="P1528" i="1" a="1"/>
  <c r="P1528" i="1"/>
  <c r="Q1531" i="1" a="1"/>
  <c r="Q1531" i="1"/>
  <c r="P1531" i="1" a="1"/>
  <c r="P1531" i="1"/>
  <c r="M1531" i="1" a="1"/>
  <c r="M1531" i="1"/>
  <c r="I1531" i="1" a="1"/>
  <c r="I1531" i="1" s="1"/>
  <c r="Q1530" i="1" a="1"/>
  <c r="Q1530" i="1" s="1"/>
  <c r="L1531" i="1" a="1"/>
  <c r="L1531" i="1" s="1"/>
  <c r="H1531" i="1" a="1"/>
  <c r="H1531" i="1"/>
  <c r="L1530" i="1" a="1"/>
  <c r="L1530" i="1"/>
  <c r="F1530" i="1" a="1"/>
  <c r="F1530" i="1"/>
  <c r="K1529" i="1" a="1"/>
  <c r="K1529" i="1"/>
  <c r="H1529" i="1" a="1"/>
  <c r="H1529" i="1"/>
  <c r="N1530" i="1" a="1"/>
  <c r="N1530" i="1" s="1"/>
  <c r="M1530" i="1" a="1"/>
  <c r="M1530" i="1" s="1"/>
  <c r="Q1529" i="1" a="1"/>
  <c r="Q1529" i="1" s="1"/>
  <c r="F1529" i="1" a="1"/>
  <c r="F1529" i="1" s="1"/>
  <c r="P1529" i="1" a="1"/>
  <c r="P1529" i="1" s="1"/>
  <c r="M1529" i="1" a="1"/>
  <c r="M1529" i="1"/>
  <c r="N1529" i="1" a="1"/>
  <c r="N1529" i="1" s="1"/>
  <c r="O1529" i="1" a="1"/>
  <c r="O1529" i="1"/>
  <c r="J1530" i="1" a="1"/>
  <c r="J1530" i="1" s="1"/>
  <c r="K1530" i="1" a="1"/>
  <c r="K1530" i="1" s="1"/>
  <c r="L1529" i="1" a="1"/>
  <c r="L1529" i="1" s="1"/>
  <c r="O1530" i="1" a="1"/>
  <c r="O1530" i="1" s="1"/>
  <c r="H1530" i="1" a="1"/>
  <c r="H1530" i="1" s="1"/>
  <c r="G1530" i="1" a="1"/>
  <c r="G1530" i="1" s="1"/>
  <c r="J1529" i="1" a="1"/>
  <c r="J1529" i="1" s="1"/>
  <c r="N1531" i="1" a="1"/>
  <c r="N1531" i="1" s="1"/>
  <c r="P1530" i="1" a="1"/>
  <c r="P1530" i="1" s="1"/>
  <c r="J1531" i="1" a="1"/>
  <c r="J1531" i="1"/>
  <c r="F1531" i="1" a="1"/>
  <c r="F1531" i="1"/>
  <c r="O1531" i="1" a="1"/>
  <c r="O1531" i="1"/>
  <c r="K1531" i="1" a="1"/>
  <c r="K1531" i="1" s="1"/>
  <c r="Q1528" i="1" a="1"/>
  <c r="Q1528" i="1" s="1"/>
  <c r="I1530" i="1" a="1"/>
  <c r="I1530" i="1" s="1"/>
  <c r="G1529" i="1" a="1"/>
  <c r="G1529" i="1"/>
  <c r="I1529" i="1" a="1"/>
  <c r="I1529" i="1" s="1"/>
  <c r="L1528" i="1" a="1"/>
  <c r="L1528" i="1"/>
  <c r="K1528" i="1" a="1"/>
  <c r="K1528" i="1"/>
  <c r="N1527" i="1" a="1"/>
  <c r="N1527" i="1"/>
  <c r="M1524" i="1" a="1"/>
  <c r="M1524" i="1"/>
  <c r="Q1524" i="1" a="1"/>
  <c r="Q1524" i="1"/>
  <c r="G1527" i="1" a="1"/>
  <c r="G1527" i="1"/>
  <c r="Q1525" i="1" a="1"/>
  <c r="Q1525" i="1" s="1"/>
  <c r="Q1526" i="1" a="1"/>
  <c r="Q1526" i="1" s="1"/>
  <c r="L1524" i="1" a="1"/>
  <c r="L1524" i="1"/>
  <c r="O1525" i="1" a="1"/>
  <c r="O1525" i="1" s="1"/>
  <c r="P1525" i="1" a="1"/>
  <c r="P1525" i="1"/>
  <c r="J1528" i="1" a="1"/>
  <c r="J1528" i="1" s="1"/>
  <c r="I1528" i="1" a="1"/>
  <c r="I1528" i="1" s="1"/>
  <c r="N1525" i="1" a="1"/>
  <c r="N1525" i="1" s="1"/>
  <c r="O1527" i="1" a="1"/>
  <c r="O1527" i="1"/>
  <c r="L1523" i="1" a="1"/>
  <c r="L1523" i="1" s="1"/>
  <c r="H1527" i="1" a="1"/>
  <c r="H1527" i="1" s="1"/>
  <c r="M1527" i="1" a="1"/>
  <c r="M1527" i="1" s="1"/>
  <c r="I1526" i="1" a="1"/>
  <c r="I1526" i="1" s="1"/>
  <c r="M1526" i="1" a="1"/>
  <c r="M1526" i="1" s="1"/>
  <c r="H1528" i="1" a="1"/>
  <c r="H1528" i="1" s="1"/>
  <c r="J1525" i="1" a="1"/>
  <c r="J1525" i="1"/>
  <c r="G1528" i="1" a="1"/>
  <c r="G1528" i="1"/>
  <c r="F1528" i="1" a="1"/>
  <c r="F1528" i="1" s="1"/>
  <c r="Q1527" i="1" a="1"/>
  <c r="Q1527" i="1"/>
  <c r="P1527" i="1" a="1"/>
  <c r="P1527" i="1" s="1"/>
  <c r="L1527" i="1" a="1"/>
  <c r="L1527" i="1" s="1"/>
  <c r="K1527" i="1" a="1"/>
  <c r="K1527" i="1" s="1"/>
  <c r="K1525" i="1" a="1"/>
  <c r="K1525" i="1"/>
  <c r="F1525" i="1" a="1"/>
  <c r="F1525" i="1"/>
  <c r="F1524" i="1" a="1"/>
  <c r="F1524" i="1" s="1"/>
  <c r="N1523" i="1" a="1"/>
  <c r="N1523" i="1" s="1"/>
  <c r="J1527" i="1" a="1"/>
  <c r="J1527" i="1" s="1"/>
  <c r="I1527" i="1" a="1"/>
  <c r="I1527" i="1" s="1"/>
  <c r="F1527" i="1" a="1"/>
  <c r="F1527" i="1" s="1"/>
  <c r="P1526" i="1" a="1"/>
  <c r="P1526" i="1" s="1"/>
  <c r="O1526" i="1" a="1"/>
  <c r="O1526" i="1" s="1"/>
  <c r="N1526" i="1" a="1"/>
  <c r="N1526" i="1" s="1"/>
  <c r="L1526" i="1" a="1"/>
  <c r="L1526" i="1"/>
  <c r="K1526" i="1" a="1"/>
  <c r="K1526" i="1" s="1"/>
  <c r="J1524" i="1" a="1"/>
  <c r="J1524" i="1"/>
  <c r="I1524" i="1" a="1"/>
  <c r="I1524" i="1"/>
  <c r="J1526" i="1" a="1"/>
  <c r="J1526" i="1" s="1"/>
  <c r="H1526" i="1" a="1"/>
  <c r="H1526" i="1" s="1"/>
  <c r="F1526" i="1" a="1"/>
  <c r="F1526" i="1" s="1"/>
  <c r="H1525" i="1" a="1"/>
  <c r="H1525" i="1"/>
  <c r="P1524" i="1" a="1"/>
  <c r="P1524" i="1" s="1"/>
  <c r="G1524" i="1" a="1"/>
  <c r="G1524" i="1" s="1"/>
  <c r="G1526" i="1" a="1"/>
  <c r="G1526" i="1"/>
  <c r="O1523" i="1" a="1"/>
  <c r="O1523" i="1"/>
  <c r="K1524" i="1" a="1"/>
  <c r="K1524" i="1"/>
  <c r="M1525" i="1" a="1"/>
  <c r="M1525" i="1"/>
  <c r="I1525" i="1" a="1"/>
  <c r="I1525" i="1" s="1"/>
  <c r="M1523" i="1" a="1"/>
  <c r="M1523" i="1" s="1"/>
  <c r="L1525" i="1" a="1"/>
  <c r="L1525" i="1" s="1"/>
  <c r="G1525" i="1" a="1"/>
  <c r="G1525" i="1" s="1"/>
  <c r="N1524" i="1" a="1"/>
  <c r="N1524" i="1" s="1"/>
  <c r="O1524" i="1" a="1"/>
  <c r="O1524" i="1"/>
  <c r="Q1523" i="1" a="1"/>
  <c r="Q1523" i="1"/>
  <c r="P1523" i="1" a="1"/>
  <c r="P1523" i="1" s="1"/>
  <c r="H1524" i="1" a="1"/>
  <c r="H1524" i="1" s="1"/>
  <c r="O1528" i="1" a="1"/>
  <c r="O1528" i="1"/>
  <c r="N1528" i="1" a="1"/>
  <c r="N1528" i="1" s="1"/>
  <c r="M1528" i="1" a="1"/>
  <c r="M1528" i="1" s="1"/>
  <c r="L1520" i="1" a="1"/>
  <c r="L1520" i="1" s="1"/>
  <c r="Q1521" i="1" a="1"/>
  <c r="Q1521" i="1" s="1"/>
  <c r="J1521" i="1" a="1"/>
  <c r="J1521" i="1"/>
  <c r="I1519" i="1" a="1"/>
  <c r="I1519" i="1" s="1"/>
  <c r="K1519" i="1" a="1"/>
  <c r="K1519" i="1"/>
  <c r="P1522" i="1" a="1"/>
  <c r="P1522" i="1" s="1"/>
  <c r="G1520" i="1" a="1"/>
  <c r="G1520" i="1"/>
  <c r="F1519" i="1" a="1"/>
  <c r="F1519" i="1" s="1"/>
  <c r="M1519" i="1" a="1"/>
  <c r="M1519" i="1" s="1"/>
  <c r="F1520" i="1" a="1"/>
  <c r="F1520" i="1"/>
  <c r="Q1517" i="1" a="1"/>
  <c r="Q1517" i="1" s="1"/>
  <c r="K1523" i="1" a="1"/>
  <c r="K1523" i="1" s="1"/>
  <c r="H1521" i="1" a="1"/>
  <c r="H1521" i="1"/>
  <c r="J1523" i="1" a="1"/>
  <c r="J1523" i="1" s="1"/>
  <c r="N1519" i="1" a="1"/>
  <c r="N1519" i="1" s="1"/>
  <c r="H1522" i="1" a="1"/>
  <c r="H1522" i="1"/>
  <c r="H1519" i="1" a="1"/>
  <c r="H1519" i="1"/>
  <c r="K1522" i="1" a="1"/>
  <c r="K1522" i="1" s="1"/>
  <c r="G1521" i="1" a="1"/>
  <c r="G1521" i="1" s="1"/>
  <c r="O1517" i="1" a="1"/>
  <c r="O1517" i="1"/>
  <c r="J1520" i="1" a="1"/>
  <c r="J1520" i="1"/>
  <c r="I1523" i="1" a="1"/>
  <c r="I1523" i="1"/>
  <c r="L1521" i="1" a="1"/>
  <c r="L1521" i="1" s="1"/>
  <c r="N1521" i="1" a="1"/>
  <c r="N1521" i="1" s="1"/>
  <c r="P1517" i="1" a="1"/>
  <c r="P1517" i="1" s="1"/>
  <c r="J1522" i="1" a="1"/>
  <c r="J1522" i="1" s="1"/>
  <c r="F1522" i="1" a="1"/>
  <c r="F1522" i="1" s="1"/>
  <c r="N1520" i="1" a="1"/>
  <c r="N1520" i="1" s="1"/>
  <c r="I1520" i="1" a="1"/>
  <c r="I1520" i="1"/>
  <c r="L1522" i="1" a="1"/>
  <c r="L1522" i="1" s="1"/>
  <c r="O1521" i="1" a="1"/>
  <c r="O1521" i="1" s="1"/>
  <c r="K1520" i="1" a="1"/>
  <c r="K1520" i="1" s="1"/>
  <c r="O1522" i="1" a="1"/>
  <c r="O1522" i="1" s="1"/>
  <c r="N1522" i="1" a="1"/>
  <c r="N1522" i="1" s="1"/>
  <c r="M1520" i="1" a="1"/>
  <c r="M1520" i="1"/>
  <c r="I1521" i="1" a="1"/>
  <c r="I1521" i="1"/>
  <c r="M1517" i="1" a="1"/>
  <c r="M1517" i="1"/>
  <c r="J1519" i="1" a="1"/>
  <c r="J1519" i="1"/>
  <c r="P1521" i="1" a="1"/>
  <c r="P1521" i="1" s="1"/>
  <c r="H1523" i="1" a="1"/>
  <c r="H1523" i="1" s="1"/>
  <c r="G1523" i="1" a="1"/>
  <c r="G1523" i="1" s="1"/>
  <c r="P1520" i="1" a="1"/>
  <c r="P1520" i="1" s="1"/>
  <c r="P1519" i="1" a="1"/>
  <c r="P1519" i="1" s="1"/>
  <c r="H1520" i="1" a="1"/>
  <c r="H1520" i="1" s="1"/>
  <c r="F1523" i="1" a="1"/>
  <c r="F1523" i="1"/>
  <c r="Q1522" i="1" a="1"/>
  <c r="Q1522" i="1" s="1"/>
  <c r="M1522" i="1" a="1"/>
  <c r="M1522" i="1" s="1"/>
  <c r="Q1520" i="1" a="1"/>
  <c r="Q1520" i="1"/>
  <c r="Q1519" i="1" a="1"/>
  <c r="Q1519" i="1"/>
  <c r="M1521" i="1" a="1"/>
  <c r="M1521" i="1" s="1"/>
  <c r="K1521" i="1" a="1"/>
  <c r="K1521" i="1" s="1"/>
  <c r="O1520" i="1" a="1"/>
  <c r="O1520" i="1" s="1"/>
  <c r="L1519" i="1" a="1"/>
  <c r="L1519" i="1" s="1"/>
  <c r="O1519" i="1" a="1"/>
  <c r="O1519" i="1"/>
  <c r="N1517" i="1" a="1"/>
  <c r="N1517" i="1" s="1"/>
  <c r="G1522" i="1" a="1"/>
  <c r="G1522" i="1" s="1"/>
  <c r="F1521" i="1" a="1"/>
  <c r="F1521" i="1" s="1"/>
  <c r="G1519" i="1" a="1"/>
  <c r="G1519" i="1" s="1"/>
  <c r="I1522" i="1" a="1"/>
  <c r="I1522" i="1" s="1"/>
  <c r="P1514" i="1" a="1"/>
  <c r="P1514" i="1" s="1"/>
  <c r="G1514" i="1" a="1"/>
  <c r="G1514" i="1"/>
  <c r="G1513" i="1" a="1"/>
  <c r="G1513" i="1" s="1"/>
  <c r="J1513" i="1" a="1"/>
  <c r="J1513" i="1" s="1"/>
  <c r="I1514" i="1" a="1"/>
  <c r="I1514" i="1" s="1"/>
  <c r="I1516" i="1" a="1"/>
  <c r="I1516" i="1"/>
  <c r="L1513" i="1" a="1"/>
  <c r="L1513" i="1" s="1"/>
  <c r="P1513" i="1" a="1"/>
  <c r="P1513" i="1" s="1"/>
  <c r="Q1515" i="1" a="1"/>
  <c r="Q1515" i="1" s="1"/>
  <c r="N1515" i="1" a="1"/>
  <c r="N1515" i="1"/>
  <c r="F1513" i="1" a="1"/>
  <c r="F1513" i="1" s="1"/>
  <c r="H1516" i="1" a="1"/>
  <c r="H1516" i="1"/>
  <c r="M1515" i="1" a="1"/>
  <c r="M1515" i="1"/>
  <c r="Q1516" i="1" a="1"/>
  <c r="Q1516" i="1" s="1"/>
  <c r="L1516" i="1" a="1"/>
  <c r="L1516" i="1" s="1"/>
  <c r="O1514" i="1" a="1"/>
  <c r="O1514" i="1" s="1"/>
  <c r="F1514" i="1" a="1"/>
  <c r="F1514" i="1"/>
  <c r="K1517" i="1" a="1"/>
  <c r="K1517" i="1" s="1"/>
  <c r="J1517" i="1" a="1"/>
  <c r="J1517" i="1" s="1"/>
  <c r="H1517" i="1" a="1"/>
  <c r="H1517" i="1" s="1"/>
  <c r="G1517" i="1" a="1"/>
  <c r="G1517" i="1"/>
  <c r="H1515" i="1" a="1"/>
  <c r="H1515" i="1" s="1"/>
  <c r="J1515" i="1" a="1"/>
  <c r="J1515" i="1" s="1"/>
  <c r="K1514" i="1" a="1"/>
  <c r="K1514" i="1" s="1"/>
  <c r="L1514" i="1" a="1"/>
  <c r="L1514" i="1"/>
  <c r="M1514" i="1" a="1"/>
  <c r="M1514" i="1"/>
  <c r="N1516" i="1" a="1"/>
  <c r="N1516" i="1" s="1"/>
  <c r="Q1513" i="1" a="1"/>
  <c r="Q1513" i="1"/>
  <c r="I1517" i="1" a="1"/>
  <c r="I1517" i="1" s="1"/>
  <c r="O1516" i="1" a="1"/>
  <c r="O1516" i="1" s="1"/>
  <c r="K1516" i="1" a="1"/>
  <c r="K1516" i="1"/>
  <c r="J1514" i="1" a="1"/>
  <c r="J1514" i="1" s="1"/>
  <c r="H1514" i="1" a="1"/>
  <c r="H1514" i="1"/>
  <c r="N1513" i="1" a="1"/>
  <c r="N1513" i="1"/>
  <c r="K1513" i="1" a="1"/>
  <c r="K1513" i="1" s="1"/>
  <c r="I1513" i="1" a="1"/>
  <c r="I1513" i="1"/>
  <c r="M1516" i="1" a="1"/>
  <c r="M1516" i="1"/>
  <c r="M1513" i="1" a="1"/>
  <c r="M1513" i="1"/>
  <c r="G1516" i="1" a="1"/>
  <c r="G1516" i="1"/>
  <c r="F1516" i="1" a="1"/>
  <c r="F1516" i="1"/>
  <c r="P1515" i="1" a="1"/>
  <c r="P1515" i="1"/>
  <c r="O1513" i="1" a="1"/>
  <c r="O1513" i="1" s="1"/>
  <c r="O1515" i="1" a="1"/>
  <c r="O1515" i="1" s="1"/>
  <c r="K1515" i="1" a="1"/>
  <c r="K1515" i="1" s="1"/>
  <c r="I1515" i="1" a="1"/>
  <c r="I1515" i="1" s="1"/>
  <c r="H1513" i="1" a="1"/>
  <c r="H1513" i="1" s="1"/>
  <c r="Q1514" i="1" a="1"/>
  <c r="Q1514" i="1" s="1"/>
  <c r="L1517" i="1" a="1"/>
  <c r="L1517" i="1" s="1"/>
  <c r="G1515" i="1" a="1"/>
  <c r="G1515" i="1"/>
  <c r="P1516" i="1" a="1"/>
  <c r="P1516" i="1" s="1"/>
  <c r="J1516" i="1" a="1"/>
  <c r="J1516" i="1" s="1"/>
  <c r="F1517" i="1" a="1"/>
  <c r="F1517" i="1" s="1"/>
  <c r="L1515" i="1" a="1"/>
  <c r="L1515" i="1" s="1"/>
  <c r="N1514" i="1" a="1"/>
  <c r="N1514" i="1"/>
  <c r="F1515" i="1" a="1"/>
  <c r="F1515" i="1" s="1"/>
  <c r="O1506" i="1" a="1"/>
  <c r="O1506" i="1" s="1"/>
  <c r="M1507" i="1" a="1"/>
  <c r="M1507" i="1" s="1"/>
  <c r="I1505" i="1" a="1"/>
  <c r="I1505" i="1" s="1"/>
  <c r="Q1506" i="1" a="1"/>
  <c r="Q1506" i="1"/>
  <c r="Q1505" i="1" a="1"/>
  <c r="Q1505" i="1"/>
  <c r="N1504" i="1" a="1"/>
  <c r="N1504" i="1" s="1"/>
  <c r="P1505" i="1" a="1"/>
  <c r="P1505" i="1" s="1"/>
  <c r="H1506" i="1" a="1"/>
  <c r="H1506" i="1" s="1"/>
  <c r="M1504" i="1" a="1"/>
  <c r="M1504" i="1"/>
  <c r="P1506" i="1" a="1"/>
  <c r="P1506" i="1"/>
  <c r="I1507" i="1" a="1"/>
  <c r="I1507" i="1" s="1"/>
  <c r="O1504" i="1" a="1"/>
  <c r="O1504" i="1" s="1"/>
  <c r="K1507" i="1" a="1"/>
  <c r="K1507" i="1" s="1"/>
  <c r="L1505" i="1" a="1"/>
  <c r="L1505" i="1"/>
  <c r="P1507" i="1" a="1"/>
  <c r="P1507" i="1"/>
  <c r="F1506" i="1" a="1"/>
  <c r="F1506" i="1" s="1"/>
  <c r="K1506" i="1" a="1"/>
  <c r="K1506" i="1" s="1"/>
  <c r="J1505" i="1" a="1"/>
  <c r="J1505" i="1" s="1"/>
  <c r="H1505" i="1" a="1"/>
  <c r="H1505" i="1" s="1"/>
  <c r="P1504" i="1" a="1"/>
  <c r="P1504" i="1"/>
  <c r="F1505" i="1" a="1"/>
  <c r="F1505" i="1"/>
  <c r="G1506" i="1" a="1"/>
  <c r="G1506" i="1" s="1"/>
  <c r="Q1507" i="1" a="1"/>
  <c r="Q1507" i="1" s="1"/>
  <c r="N1507" i="1" a="1"/>
  <c r="N1507" i="1"/>
  <c r="G1507" i="1" a="1"/>
  <c r="G1507" i="1"/>
  <c r="Q1504" i="1" a="1"/>
  <c r="Q1504" i="1" s="1"/>
  <c r="O1505" i="1" a="1"/>
  <c r="O1505" i="1" s="1"/>
  <c r="L1507" i="1" a="1"/>
  <c r="L1507" i="1" s="1"/>
  <c r="G1505" i="1" a="1"/>
  <c r="G1505" i="1"/>
  <c r="N1505" i="1" a="1"/>
  <c r="N1505" i="1" s="1"/>
  <c r="J1507" i="1" a="1"/>
  <c r="J1507" i="1" s="1"/>
  <c r="H1507" i="1" a="1"/>
  <c r="H1507" i="1" s="1"/>
  <c r="M1505" i="1" a="1"/>
  <c r="M1505" i="1" s="1"/>
  <c r="N1506" i="1" a="1"/>
  <c r="N1506" i="1"/>
  <c r="K1505" i="1" a="1"/>
  <c r="K1505" i="1" s="1"/>
  <c r="I1506" i="1" a="1"/>
  <c r="I1506" i="1" s="1"/>
  <c r="L1506" i="1" a="1"/>
  <c r="L1506" i="1" s="1"/>
  <c r="J1506" i="1" a="1"/>
  <c r="J1506" i="1"/>
  <c r="F1507" i="1" a="1"/>
  <c r="F1507" i="1" s="1"/>
  <c r="M1506" i="1" a="1"/>
  <c r="M1506" i="1" s="1"/>
  <c r="O1507" i="1" a="1"/>
  <c r="O1507" i="1" s="1"/>
  <c r="K1501" i="1" a="1"/>
  <c r="K1501" i="1" s="1"/>
  <c r="I1500" i="1" a="1"/>
  <c r="I1500" i="1"/>
  <c r="G1501" i="1" a="1"/>
  <c r="G1501" i="1" s="1"/>
  <c r="O1500" i="1" a="1"/>
  <c r="O1500" i="1"/>
  <c r="J1500" i="1" a="1"/>
  <c r="J1500" i="1" s="1"/>
  <c r="F1500" i="1" a="1"/>
  <c r="F1500" i="1" s="1"/>
  <c r="N1499" i="1" a="1"/>
  <c r="N1499" i="1" s="1"/>
  <c r="L1504" i="1" a="1"/>
  <c r="L1504" i="1"/>
  <c r="K1504" i="1" a="1"/>
  <c r="K1504" i="1" s="1"/>
  <c r="H1502" i="1" a="1"/>
  <c r="H1502" i="1"/>
  <c r="P1501" i="1" a="1"/>
  <c r="P1501" i="1"/>
  <c r="I1504" i="1" a="1"/>
  <c r="I1504" i="1"/>
  <c r="G1502" i="1" a="1"/>
  <c r="G1502" i="1" s="1"/>
  <c r="J1504" i="1" a="1"/>
  <c r="J1504" i="1"/>
  <c r="H1504" i="1" a="1"/>
  <c r="H1504" i="1"/>
  <c r="K1502" i="1" a="1"/>
  <c r="K1502" i="1" s="1"/>
  <c r="Q1500" i="1" a="1"/>
  <c r="Q1500" i="1" s="1"/>
  <c r="L1500" i="1" a="1"/>
  <c r="L1500" i="1"/>
  <c r="L1499" i="1" a="1"/>
  <c r="L1499" i="1"/>
  <c r="G1499" i="1" a="1"/>
  <c r="G1499" i="1"/>
  <c r="L1502" i="1" a="1"/>
  <c r="L1502" i="1"/>
  <c r="M1502" i="1" a="1"/>
  <c r="M1502" i="1"/>
  <c r="G1504" i="1" a="1"/>
  <c r="G1504" i="1"/>
  <c r="L1501" i="1" a="1"/>
  <c r="L1501" i="1" s="1"/>
  <c r="M1499" i="1" a="1"/>
  <c r="M1499" i="1"/>
  <c r="H1499" i="1" a="1"/>
  <c r="H1499" i="1" s="1"/>
  <c r="Q1502" i="1" a="1"/>
  <c r="Q1502" i="1" s="1"/>
  <c r="F1504" i="1" a="1"/>
  <c r="F1504" i="1"/>
  <c r="N1500" i="1" a="1"/>
  <c r="N1500" i="1"/>
  <c r="P1502" i="1" a="1"/>
  <c r="P1502" i="1"/>
  <c r="O1502" i="1" a="1"/>
  <c r="O1502" i="1" s="1"/>
  <c r="J1502" i="1" a="1"/>
  <c r="J1502" i="1"/>
  <c r="H1501" i="1" a="1"/>
  <c r="H1501" i="1"/>
  <c r="P1499" i="1" a="1"/>
  <c r="P1499" i="1" s="1"/>
  <c r="F1501" i="1" a="1"/>
  <c r="F1501" i="1"/>
  <c r="N1502" i="1" a="1"/>
  <c r="N1502" i="1" s="1"/>
  <c r="I1502" i="1" a="1"/>
  <c r="I1502" i="1" s="1"/>
  <c r="F1502" i="1" a="1"/>
  <c r="F1502" i="1" s="1"/>
  <c r="M1500" i="1" a="1"/>
  <c r="M1500" i="1" s="1"/>
  <c r="J1499" i="1" a="1"/>
  <c r="J1499" i="1" s="1"/>
  <c r="Q1501" i="1" a="1"/>
  <c r="Q1501" i="1" s="1"/>
  <c r="N1501" i="1" a="1"/>
  <c r="N1501" i="1"/>
  <c r="O1501" i="1" a="1"/>
  <c r="O1501" i="1"/>
  <c r="J1501" i="1" a="1"/>
  <c r="J1501" i="1" s="1"/>
  <c r="I1501" i="1" a="1"/>
  <c r="I1501" i="1" s="1"/>
  <c r="K1499" i="1" a="1"/>
  <c r="K1499" i="1"/>
  <c r="F1499" i="1" a="1"/>
  <c r="F1499" i="1"/>
  <c r="I1499" i="1" a="1"/>
  <c r="I1499" i="1" s="1"/>
  <c r="G1500" i="1" a="1"/>
  <c r="G1500" i="1"/>
  <c r="Q1499" i="1" a="1"/>
  <c r="Q1499" i="1"/>
  <c r="O1499" i="1" a="1"/>
  <c r="O1499" i="1"/>
  <c r="H1500" i="1" a="1"/>
  <c r="H1500" i="1" s="1"/>
  <c r="M1501" i="1" a="1"/>
  <c r="M1501" i="1" s="1"/>
  <c r="P1500" i="1" a="1"/>
  <c r="P1500" i="1" s="1"/>
  <c r="K1500" i="1" a="1"/>
  <c r="K1500" i="1" s="1"/>
  <c r="L1494" i="1" a="1"/>
  <c r="L1494" i="1"/>
  <c r="G1487" i="1" a="1"/>
  <c r="G1487" i="1" s="1"/>
  <c r="J1494" i="1" a="1"/>
  <c r="J1494" i="1" s="1"/>
  <c r="Q1487" i="1" a="1"/>
  <c r="Q1487" i="1" s="1"/>
  <c r="H1487" i="1" a="1"/>
  <c r="H1487" i="1"/>
  <c r="K1494" i="1" a="1"/>
  <c r="K1494" i="1" s="1"/>
  <c r="G1494" i="1" a="1"/>
  <c r="G1494" i="1" s="1"/>
  <c r="I1494" i="1" a="1"/>
  <c r="I1494" i="1" s="1"/>
  <c r="P1494" i="1" a="1"/>
  <c r="P1494" i="1"/>
  <c r="H1492" i="1" a="1"/>
  <c r="H1492" i="1" s="1"/>
  <c r="F1487" i="1" a="1"/>
  <c r="F1487" i="1"/>
  <c r="N1494" i="1" a="1"/>
  <c r="N1494" i="1" s="1"/>
  <c r="J1492" i="1" a="1"/>
  <c r="J1492" i="1" s="1"/>
  <c r="M1494" i="1" a="1"/>
  <c r="M1494" i="1" s="1"/>
  <c r="P1485" i="1" a="1"/>
  <c r="P1485" i="1" s="1"/>
  <c r="N1487" i="1" a="1"/>
  <c r="N1487" i="1"/>
  <c r="M1487" i="1" a="1"/>
  <c r="M1487" i="1" s="1"/>
  <c r="M1492" i="1" a="1"/>
  <c r="M1492" i="1" s="1"/>
  <c r="K1487" i="1" a="1"/>
  <c r="K1487" i="1" s="1"/>
  <c r="L1492" i="1" a="1"/>
  <c r="L1492" i="1" s="1"/>
  <c r="Q1485" i="1" a="1"/>
  <c r="Q1485" i="1" s="1"/>
  <c r="N1485" i="1" a="1"/>
  <c r="N1485" i="1" s="1"/>
  <c r="Q1492" i="1" a="1"/>
  <c r="Q1492" i="1" s="1"/>
  <c r="O1492" i="1" a="1"/>
  <c r="O1492" i="1" s="1"/>
  <c r="K1492" i="1" a="1"/>
  <c r="K1492" i="1"/>
  <c r="F1492" i="1" a="1"/>
  <c r="F1492" i="1" s="1"/>
  <c r="P1487" i="1" a="1"/>
  <c r="P1487" i="1"/>
  <c r="M1485" i="1" a="1"/>
  <c r="M1485" i="1"/>
  <c r="L1485" i="1" a="1"/>
  <c r="L1485" i="1"/>
  <c r="O1487" i="1" a="1"/>
  <c r="O1487" i="1" s="1"/>
  <c r="L1487" i="1" a="1"/>
  <c r="L1487" i="1" s="1"/>
  <c r="I1487" i="1" a="1"/>
  <c r="I1487" i="1" s="1"/>
  <c r="O1494" i="1" a="1"/>
  <c r="O1494" i="1"/>
  <c r="H1494" i="1" a="1"/>
  <c r="H1494" i="1"/>
  <c r="I1492" i="1" a="1"/>
  <c r="I1492" i="1" s="1"/>
  <c r="F1494" i="1" a="1"/>
  <c r="F1494" i="1"/>
  <c r="J1487" i="1" a="1"/>
  <c r="J1487" i="1" s="1"/>
  <c r="N1492" i="1" a="1"/>
  <c r="N1492" i="1" s="1"/>
  <c r="O1485" i="1" a="1"/>
  <c r="O1485" i="1" s="1"/>
  <c r="P1492" i="1" a="1"/>
  <c r="P1492" i="1" s="1"/>
  <c r="G1492" i="1" a="1"/>
  <c r="G1492" i="1"/>
  <c r="Q1494" i="1" a="1"/>
  <c r="Q1494" i="1"/>
  <c r="Q1458" i="1" a="1"/>
  <c r="Q1458" i="1" s="1"/>
  <c r="P1458" i="1" a="1"/>
  <c r="P1458" i="1" s="1"/>
  <c r="K1485" i="1" a="1"/>
  <c r="K1485" i="1" s="1"/>
  <c r="J1485" i="1" a="1"/>
  <c r="J1485" i="1" s="1"/>
  <c r="I1485" i="1" a="1"/>
  <c r="I1485" i="1" s="1"/>
  <c r="H1485" i="1" a="1"/>
  <c r="H1485" i="1" s="1"/>
  <c r="G1485" i="1" a="1"/>
  <c r="G1485" i="1"/>
  <c r="F1485" i="1" a="1"/>
  <c r="F1485" i="1"/>
  <c r="L1453" i="1" a="1"/>
  <c r="L1453" i="1"/>
  <c r="G1457" i="1" a="1"/>
  <c r="G1457" i="1" s="1"/>
  <c r="L1456" i="1" a="1"/>
  <c r="L1456" i="1" s="1"/>
  <c r="O1453" i="1" a="1"/>
  <c r="O1453" i="1"/>
  <c r="O1457" i="1" a="1"/>
  <c r="O1457" i="1" s="1"/>
  <c r="G1456" i="1" a="1"/>
  <c r="G1456" i="1"/>
  <c r="M1457" i="1" a="1"/>
  <c r="M1457" i="1" s="1"/>
  <c r="H1455" i="1" a="1"/>
  <c r="H1455" i="1"/>
  <c r="N1454" i="1" a="1"/>
  <c r="N1454" i="1"/>
  <c r="I1457" i="1" a="1"/>
  <c r="I1457" i="1" s="1"/>
  <c r="J1454" i="1" a="1"/>
  <c r="J1454" i="1" s="1"/>
  <c r="N1455" i="1" a="1"/>
  <c r="N1455" i="1"/>
  <c r="J1457" i="1" a="1"/>
  <c r="J1457" i="1" s="1"/>
  <c r="H1457" i="1" a="1"/>
  <c r="H1457" i="1" s="1"/>
  <c r="G1454" i="1" a="1"/>
  <c r="G1454" i="1" s="1"/>
  <c r="J1456" i="1" a="1"/>
  <c r="J1456" i="1" s="1"/>
  <c r="P1454" i="1" a="1"/>
  <c r="P1454" i="1"/>
  <c r="M1453" i="1" a="1"/>
  <c r="M1453" i="1" s="1"/>
  <c r="O1456" i="1" a="1"/>
  <c r="O1456" i="1" s="1"/>
  <c r="P1455" i="1" a="1"/>
  <c r="P1455" i="1" s="1"/>
  <c r="K1456" i="1" a="1"/>
  <c r="K1456" i="1"/>
  <c r="H1456" i="1" a="1"/>
  <c r="H1456" i="1" s="1"/>
  <c r="M1454" i="1" a="1"/>
  <c r="M1454" i="1"/>
  <c r="N1453" i="1" a="1"/>
  <c r="N1453" i="1" s="1"/>
  <c r="N1457" i="1" a="1"/>
  <c r="N1457" i="1" s="1"/>
  <c r="M1456" i="1" a="1"/>
  <c r="M1456" i="1"/>
  <c r="F1456" i="1" a="1"/>
  <c r="F1456" i="1"/>
  <c r="M1455" i="1" a="1"/>
  <c r="M1455" i="1" s="1"/>
  <c r="L1455" i="1" a="1"/>
  <c r="L1455" i="1"/>
  <c r="Q1454" i="1" a="1"/>
  <c r="Q1454" i="1"/>
  <c r="P1453" i="1" a="1"/>
  <c r="P1453" i="1" s="1"/>
  <c r="L1454" i="1" a="1"/>
  <c r="L1454" i="1" s="1"/>
  <c r="O1454" i="1" a="1"/>
  <c r="O1454" i="1"/>
  <c r="O1458" i="1" a="1"/>
  <c r="O1458" i="1" s="1"/>
  <c r="G1458" i="1" a="1"/>
  <c r="G1458" i="1" s="1"/>
  <c r="L1457" i="1" a="1"/>
  <c r="L1457" i="1"/>
  <c r="N1458" i="1" a="1"/>
  <c r="N1458" i="1" s="1"/>
  <c r="M1458" i="1" a="1"/>
  <c r="M1458" i="1" s="1"/>
  <c r="Q1457" i="1" a="1"/>
  <c r="Q1457" i="1" s="1"/>
  <c r="K1458" i="1" a="1"/>
  <c r="K1458" i="1"/>
  <c r="J1455" i="1" a="1"/>
  <c r="J1455" i="1" s="1"/>
  <c r="F1454" i="1" a="1"/>
  <c r="F1454" i="1"/>
  <c r="I1456" i="1" a="1"/>
  <c r="I1456" i="1" s="1"/>
  <c r="K1457" i="1" a="1"/>
  <c r="K1457" i="1"/>
  <c r="Q1456" i="1" a="1"/>
  <c r="Q1456" i="1"/>
  <c r="H1454" i="1" a="1"/>
  <c r="H1454" i="1" s="1"/>
  <c r="P1456" i="1" a="1"/>
  <c r="P1456" i="1" s="1"/>
  <c r="K1454" i="1" a="1"/>
  <c r="K1454" i="1"/>
  <c r="I1454" i="1" a="1"/>
  <c r="I1454" i="1"/>
  <c r="Q1455" i="1" a="1"/>
  <c r="Q1455" i="1" s="1"/>
  <c r="F1455" i="1" a="1"/>
  <c r="F1455" i="1" s="1"/>
  <c r="L1458" i="1" a="1"/>
  <c r="L1458" i="1" s="1"/>
  <c r="F1457" i="1" a="1"/>
  <c r="F1457" i="1" s="1"/>
  <c r="J1458" i="1" a="1"/>
  <c r="J1458" i="1"/>
  <c r="O1455" i="1" a="1"/>
  <c r="O1455" i="1"/>
  <c r="I1458" i="1" a="1"/>
  <c r="I1458" i="1" s="1"/>
  <c r="H1458" i="1" a="1"/>
  <c r="H1458" i="1" s="1"/>
  <c r="G1455" i="1" a="1"/>
  <c r="G1455" i="1" s="1"/>
  <c r="I1455" i="1" a="1"/>
  <c r="I1455" i="1" s="1"/>
  <c r="K1455" i="1" a="1"/>
  <c r="K1455" i="1" s="1"/>
  <c r="N1456" i="1" a="1"/>
  <c r="N1456" i="1" s="1"/>
  <c r="Q1453" i="1" a="1"/>
  <c r="Q1453" i="1"/>
  <c r="F1458" i="1" a="1"/>
  <c r="F1458" i="1"/>
  <c r="P1457" i="1" a="1"/>
  <c r="P1457" i="1"/>
  <c r="P1451" i="1" a="1"/>
  <c r="P1451" i="1" s="1"/>
  <c r="F1449" i="1" a="1"/>
  <c r="F1449" i="1" s="1"/>
  <c r="L1451" i="1" a="1"/>
  <c r="L1451" i="1"/>
  <c r="K1450" i="1" a="1"/>
  <c r="K1450" i="1" s="1"/>
  <c r="I1448" i="1" a="1"/>
  <c r="I1448" i="1" s="1"/>
  <c r="L1449" i="1" a="1"/>
  <c r="L1449" i="1" s="1"/>
  <c r="I1451" i="1" a="1"/>
  <c r="I1451" i="1"/>
  <c r="K1448" i="1" a="1"/>
  <c r="K1448" i="1" s="1"/>
  <c r="F1450" i="1" a="1"/>
  <c r="F1450" i="1" s="1"/>
  <c r="M1451" i="1" a="1"/>
  <c r="M1451" i="1" s="1"/>
  <c r="O1451" i="1" a="1"/>
  <c r="O1451" i="1" s="1"/>
  <c r="H1451" i="1" a="1"/>
  <c r="H1451" i="1" s="1"/>
  <c r="M1450" i="1" a="1"/>
  <c r="M1450" i="1" s="1"/>
  <c r="P1449" i="1" a="1"/>
  <c r="P1449" i="1" s="1"/>
  <c r="N1449" i="1" a="1"/>
  <c r="N1449" i="1" s="1"/>
  <c r="N1450" i="1" a="1"/>
  <c r="N1450" i="1" s="1"/>
  <c r="K1451" i="1" a="1"/>
  <c r="K1451" i="1" s="1"/>
  <c r="H1450" i="1" a="1"/>
  <c r="H1450" i="1" s="1"/>
  <c r="J1451" i="1" a="1"/>
  <c r="J1451" i="1"/>
  <c r="G1449" i="1" a="1"/>
  <c r="G1449" i="1" s="1"/>
  <c r="F1451" i="1" a="1"/>
  <c r="F1451" i="1"/>
  <c r="Q1450" i="1" a="1"/>
  <c r="Q1450" i="1"/>
  <c r="L1450" i="1" a="1"/>
  <c r="L1450" i="1"/>
  <c r="J1450" i="1" a="1"/>
  <c r="J1450" i="1"/>
  <c r="M1449" i="1" a="1"/>
  <c r="M1449" i="1" s="1"/>
  <c r="K1449" i="1" a="1"/>
  <c r="K1449" i="1"/>
  <c r="I1449" i="1" a="1"/>
  <c r="I1449" i="1"/>
  <c r="Q1448" i="1" a="1"/>
  <c r="Q1448" i="1" s="1"/>
  <c r="Q1452" i="1" a="1"/>
  <c r="Q1452" i="1" s="1"/>
  <c r="F1452" i="1" a="1"/>
  <c r="F1452" i="1" s="1"/>
  <c r="I1450" i="1" a="1"/>
  <c r="I1450" i="1" s="1"/>
  <c r="P1450" i="1" a="1"/>
  <c r="P1450" i="1" s="1"/>
  <c r="G1450" i="1" a="1"/>
  <c r="G1450" i="1"/>
  <c r="H1449" i="1" a="1"/>
  <c r="H1449" i="1" s="1"/>
  <c r="G1451" i="1" a="1"/>
  <c r="G1451" i="1"/>
  <c r="K1453" i="1" a="1"/>
  <c r="K1453" i="1" s="1"/>
  <c r="Q1451" i="1" a="1"/>
  <c r="Q1451" i="1" s="1"/>
  <c r="Q1449" i="1" a="1"/>
  <c r="Q1449" i="1" s="1"/>
  <c r="N1448" i="1" a="1"/>
  <c r="N1448" i="1" s="1"/>
  <c r="M1448" i="1" a="1"/>
  <c r="M1448" i="1" s="1"/>
  <c r="J1448" i="1" a="1"/>
  <c r="J1448" i="1"/>
  <c r="H1448" i="1" a="1"/>
  <c r="H1448" i="1" s="1"/>
  <c r="J1449" i="1" a="1"/>
  <c r="J1449" i="1" s="1"/>
  <c r="L1448" i="1" a="1"/>
  <c r="L1448" i="1"/>
  <c r="J1453" i="1" a="1"/>
  <c r="J1453" i="1"/>
  <c r="I1453" i="1" a="1"/>
  <c r="I1453" i="1" s="1"/>
  <c r="H1453" i="1" a="1"/>
  <c r="H1453" i="1" s="1"/>
  <c r="F1453" i="1" a="1"/>
  <c r="F1453" i="1" s="1"/>
  <c r="L1452" i="1" a="1"/>
  <c r="L1452" i="1" s="1"/>
  <c r="G1452" i="1" a="1"/>
  <c r="G1452" i="1"/>
  <c r="O1448" i="1" a="1"/>
  <c r="O1448" i="1"/>
  <c r="O1449" i="1" a="1"/>
  <c r="O1449" i="1"/>
  <c r="J1452" i="1" a="1"/>
  <c r="J1452" i="1"/>
  <c r="O1450" i="1" a="1"/>
  <c r="O1450" i="1" s="1"/>
  <c r="G1453" i="1" a="1"/>
  <c r="G1453" i="1"/>
  <c r="P1452" i="1" a="1"/>
  <c r="P1452" i="1"/>
  <c r="O1452" i="1" a="1"/>
  <c r="O1452" i="1" s="1"/>
  <c r="P1448" i="1" a="1"/>
  <c r="P1448" i="1" s="1"/>
  <c r="N1452" i="1" a="1"/>
  <c r="N1452" i="1" s="1"/>
  <c r="H1452" i="1" a="1"/>
  <c r="H1452" i="1" s="1"/>
  <c r="M1452" i="1" a="1"/>
  <c r="M1452" i="1" s="1"/>
  <c r="N1451" i="1" a="1"/>
  <c r="N1451" i="1" s="1"/>
  <c r="K1452" i="1" a="1"/>
  <c r="K1452" i="1"/>
  <c r="I1452" i="1" a="1"/>
  <c r="I1452" i="1"/>
  <c r="H2115" i="1" a="1"/>
  <c r="H2115" i="1" s="1"/>
  <c r="M2115" i="1" a="1"/>
  <c r="M2115" i="1" s="1"/>
  <c r="L2115" i="1" a="1"/>
  <c r="L2115" i="1" s="1"/>
  <c r="K2115" i="1" a="1"/>
  <c r="K2115" i="1" s="1"/>
  <c r="J2115" i="1" a="1"/>
  <c r="J2115" i="1"/>
  <c r="I2115" i="1" a="1"/>
  <c r="I2115" i="1" s="1"/>
  <c r="G2115" i="1" a="1"/>
  <c r="G2115" i="1" s="1"/>
  <c r="F2115" i="1" a="1"/>
  <c r="F2115" i="1" s="1"/>
  <c r="N2115" i="1" a="1"/>
  <c r="N2115" i="1"/>
  <c r="M2020" i="1" a="1"/>
  <c r="M2020" i="1"/>
  <c r="J2021" i="1" a="1"/>
  <c r="J2021" i="1" s="1"/>
  <c r="N2020" i="1" a="1"/>
  <c r="N2020" i="1"/>
  <c r="K2020" i="1" a="1"/>
  <c r="K2020" i="1"/>
  <c r="M2021" i="1" a="1"/>
  <c r="M2021" i="1"/>
  <c r="I2021" i="1" a="1"/>
  <c r="I2021" i="1" s="1"/>
  <c r="J2020" i="1" a="1"/>
  <c r="J2020" i="1"/>
  <c r="I2020" i="1" a="1"/>
  <c r="I2020" i="1"/>
  <c r="N2021" i="1" a="1"/>
  <c r="N2021" i="1" s="1"/>
  <c r="K2021" i="1" a="1"/>
  <c r="K2021" i="1" s="1"/>
  <c r="P2021" i="1" a="1"/>
  <c r="P2021" i="1" s="1"/>
  <c r="G2020" i="1" a="1"/>
  <c r="G2020" i="1" s="1"/>
  <c r="O2021" i="1" a="1"/>
  <c r="O2021" i="1" s="1"/>
  <c r="H2021" i="1" a="1"/>
  <c r="H2021" i="1" s="1"/>
  <c r="G2021" i="1" a="1"/>
  <c r="G2021" i="1"/>
  <c r="H2020" i="1" a="1"/>
  <c r="H2020" i="1"/>
  <c r="F2020" i="1" a="1"/>
  <c r="F2020" i="1" s="1"/>
  <c r="Q2019" i="1" a="1"/>
  <c r="Q2019" i="1" s="1"/>
  <c r="O2020" i="1" a="1"/>
  <c r="O2020" i="1" s="1"/>
  <c r="F2021" i="1" a="1"/>
  <c r="F2021" i="1" s="1"/>
  <c r="P2020" i="1" a="1"/>
  <c r="P2020" i="1" s="1"/>
  <c r="M2019" i="1" a="1"/>
  <c r="M2019" i="1" s="1"/>
  <c r="Q2021" i="1" a="1"/>
  <c r="Q2021" i="1" s="1"/>
  <c r="L2020" i="1" a="1"/>
  <c r="L2020" i="1" s="1"/>
  <c r="Q2020" i="1" a="1"/>
  <c r="Q2020" i="1"/>
  <c r="L2021" i="1" a="1"/>
  <c r="L2021" i="1"/>
  <c r="J2018" i="1" a="1"/>
  <c r="J2018" i="1" s="1"/>
  <c r="J2019" i="1" s="1" a="1"/>
  <c r="J2019" i="1" s="1"/>
  <c r="N2017" i="1" a="1"/>
  <c r="N2017" i="1"/>
  <c r="N2015" i="1" a="1"/>
  <c r="N2015" i="1"/>
  <c r="O2016" i="1" a="1"/>
  <c r="O2016" i="1" s="1"/>
  <c r="O2017" i="1" s="1" a="1"/>
  <c r="Q2015" i="1" a="1"/>
  <c r="Q2015" i="1"/>
  <c r="M2018" i="1" a="1"/>
  <c r="M2018" i="1" s="1"/>
  <c r="L2018" i="1" a="1"/>
  <c r="L2018" i="1" s="1"/>
  <c r="L2019" i="1" s="1" a="1"/>
  <c r="L2019" i="1" s="1"/>
  <c r="I2015" i="1" a="1"/>
  <c r="I2015" i="1" s="1"/>
  <c r="K2018" i="1" a="1"/>
  <c r="K2018" i="1" s="1"/>
  <c r="K2019" i="1" s="1" a="1"/>
  <c r="K2019" i="1" s="1"/>
  <c r="I2016" i="1" a="1"/>
  <c r="I2016" i="1"/>
  <c r="H2014" i="1" a="1"/>
  <c r="H2014" i="1" s="1"/>
  <c r="I2018" i="1" a="1"/>
  <c r="I2018" i="1" s="1"/>
  <c r="I2019" i="1" s="1" a="1"/>
  <c r="I2019" i="1" s="1"/>
  <c r="M2016" i="1" a="1"/>
  <c r="M2016" i="1" s="1"/>
  <c r="M2017" i="1" s="1" a="1"/>
  <c r="M2017" i="1" s="1"/>
  <c r="H2018" i="1" a="1"/>
  <c r="H2018" i="1" s="1"/>
  <c r="H2019" i="1" s="1" a="1"/>
  <c r="H2019" i="1" s="1"/>
  <c r="J2015" i="1" a="1"/>
  <c r="J2015" i="1" s="1"/>
  <c r="Q2014" i="1" a="1"/>
  <c r="Q2014" i="1" s="1"/>
  <c r="G2018" i="1" a="1"/>
  <c r="G2018" i="1" s="1"/>
  <c r="G2019" i="1" s="1" a="1"/>
  <c r="G2019" i="1" s="1"/>
  <c r="N2016" i="1" a="1"/>
  <c r="N2016" i="1"/>
  <c r="L2015" i="1" a="1"/>
  <c r="L2015" i="1"/>
  <c r="P2015" i="1" a="1"/>
  <c r="P2015" i="1" s="1"/>
  <c r="L2016" i="1" a="1"/>
  <c r="L2016" i="1"/>
  <c r="L2017" i="1" s="1" a="1"/>
  <c r="L2017" i="1" s="1"/>
  <c r="J2016" i="1" a="1"/>
  <c r="J2016" i="1" s="1"/>
  <c r="J2017" i="1" s="1" a="1"/>
  <c r="J2017" i="1" s="1"/>
  <c r="I2017" i="1" a="1"/>
  <c r="I2017" i="1"/>
  <c r="F2018" i="1" a="1"/>
  <c r="F2018" i="1"/>
  <c r="G2015" i="1" a="1"/>
  <c r="G2015" i="1"/>
  <c r="K2015" i="1" a="1"/>
  <c r="K2015" i="1" s="1"/>
  <c r="O2017" i="1"/>
  <c r="G2016" i="1" a="1"/>
  <c r="G2016" i="1" s="1"/>
  <c r="G2017" i="1" s="1" a="1"/>
  <c r="G2017" i="1" s="1"/>
  <c r="P2016" i="1" a="1"/>
  <c r="P2016" i="1" s="1"/>
  <c r="P2017" i="1" s="1" a="1"/>
  <c r="P2017" i="1" s="1"/>
  <c r="H2015" i="1" a="1"/>
  <c r="H2015" i="1"/>
  <c r="K2016" i="1" a="1"/>
  <c r="K2016" i="1" s="1"/>
  <c r="K2017" i="1" s="1" a="1"/>
  <c r="K2017" i="1" s="1"/>
  <c r="F2016" i="1" a="1"/>
  <c r="F2016" i="1"/>
  <c r="F2017" i="1" s="1" a="1"/>
  <c r="F2017" i="1" s="1"/>
  <c r="Q2016" i="1" a="1"/>
  <c r="Q2016" i="1" s="1"/>
  <c r="Q2017" i="1" s="1" a="1"/>
  <c r="Q2017" i="1" s="1"/>
  <c r="M2015" i="1" a="1"/>
  <c r="M2015" i="1" s="1"/>
  <c r="F2015" i="1" a="1"/>
  <c r="F2015" i="1" s="1"/>
  <c r="O2015" i="1" a="1"/>
  <c r="O2015" i="1" s="1"/>
  <c r="F2019" i="1" a="1"/>
  <c r="F2019" i="1" s="1"/>
  <c r="Q2018" i="1" a="1"/>
  <c r="Q2018" i="1"/>
  <c r="P2018" i="1" a="1"/>
  <c r="P2018" i="1"/>
  <c r="P2019" i="1" s="1" a="1"/>
  <c r="P2019" i="1" s="1"/>
  <c r="H2016" i="1" a="1"/>
  <c r="H2016" i="1" s="1"/>
  <c r="H2017" i="1" s="1" a="1"/>
  <c r="H2017" i="1" s="1"/>
  <c r="O2018" i="1" a="1"/>
  <c r="O2018" i="1"/>
  <c r="O2019" i="1" s="1" a="1"/>
  <c r="O2019" i="1" s="1"/>
  <c r="N2018" i="1" a="1"/>
  <c r="N2018" i="1"/>
  <c r="N2019" i="1" s="1" a="1"/>
  <c r="N2019" i="1" s="1"/>
  <c r="P2011" i="1" a="1"/>
  <c r="P2011" i="1"/>
  <c r="J2011" i="1" a="1"/>
  <c r="J2011" i="1"/>
  <c r="P2010" i="1" a="1"/>
  <c r="P2010" i="1" s="1"/>
  <c r="J2009" i="1"/>
  <c r="F2011" i="1" a="1"/>
  <c r="F2011" i="1"/>
  <c r="Q2010" i="1" a="1"/>
  <c r="Q2010" i="1" s="1"/>
  <c r="M2009" i="1"/>
  <c r="K2011" i="1" a="1"/>
  <c r="K2011" i="1"/>
  <c r="H2011" i="1" a="1"/>
  <c r="H2011" i="1" s="1"/>
  <c r="O2010" i="1" a="1"/>
  <c r="O2010" i="1" s="1"/>
  <c r="N2010" i="1" a="1"/>
  <c r="N2010" i="1"/>
  <c r="L2010" i="1" a="1"/>
  <c r="L2010" i="1"/>
  <c r="K2010" i="1" a="1"/>
  <c r="K2010" i="1" s="1"/>
  <c r="M2008" i="1" a="1"/>
  <c r="M2008" i="1" s="1"/>
  <c r="M2009" i="1" s="1" a="1"/>
  <c r="O2008" i="1" a="1"/>
  <c r="O2008" i="1" s="1"/>
  <c r="P2008" i="1" a="1"/>
  <c r="P2008" i="1" s="1"/>
  <c r="O2009" i="1" a="1"/>
  <c r="O2009" i="1" s="1"/>
  <c r="Q2008" i="1" a="1"/>
  <c r="Q2008" i="1" s="1"/>
  <c r="Q2009" i="1" s="1" a="1"/>
  <c r="Q2009" i="1" s="1"/>
  <c r="L2008" i="1" a="1"/>
  <c r="L2008" i="1" s="1"/>
  <c r="I2011" i="1" a="1"/>
  <c r="I2011" i="1" s="1"/>
  <c r="I2013" i="1" a="1"/>
  <c r="I2013" i="1" s="1"/>
  <c r="I2014" i="1" s="1" a="1"/>
  <c r="I2014" i="1" s="1"/>
  <c r="G2010" i="1" a="1"/>
  <c r="G2010" i="1" s="1"/>
  <c r="G2013" i="1" a="1"/>
  <c r="G2013" i="1"/>
  <c r="G2014" i="1" s="1" a="1"/>
  <c r="G2014" i="1" s="1"/>
  <c r="I2010" i="1" a="1"/>
  <c r="I2010" i="1" s="1"/>
  <c r="M2010" i="1" a="1"/>
  <c r="M2010" i="1"/>
  <c r="G2009" i="1" a="1"/>
  <c r="G2009" i="1"/>
  <c r="L2011" i="1" a="1"/>
  <c r="L2011" i="1"/>
  <c r="J2010" i="1" a="1"/>
  <c r="J2010" i="1" s="1"/>
  <c r="K2013" i="1" a="1"/>
  <c r="K2013" i="1"/>
  <c r="K2014" i="1" s="1" a="1"/>
  <c r="K2014" i="1" s="1"/>
  <c r="L2009" i="1" a="1"/>
  <c r="L2009" i="1"/>
  <c r="O2013" i="1" a="1"/>
  <c r="O2013" i="1" s="1"/>
  <c r="O2014" i="1" s="1" a="1"/>
  <c r="O2014" i="1" s="1"/>
  <c r="G2011" i="1" a="1"/>
  <c r="G2011" i="1"/>
  <c r="F2010" i="1" a="1"/>
  <c r="F2010" i="1"/>
  <c r="O2011" i="1" a="1"/>
  <c r="O2011" i="1"/>
  <c r="F2013" i="1" a="1"/>
  <c r="F2013" i="1"/>
  <c r="H2010" i="1" a="1"/>
  <c r="H2010" i="1" s="1"/>
  <c r="F2014" i="1" a="1"/>
  <c r="F2014" i="1" s="1"/>
  <c r="N2008" i="1" a="1"/>
  <c r="N2008" i="1" s="1"/>
  <c r="N2009" i="1" s="1" a="1"/>
  <c r="N2009" i="1" s="1"/>
  <c r="Q2013" i="1" a="1"/>
  <c r="Q2013" i="1" s="1"/>
  <c r="M2011" i="1" a="1"/>
  <c r="M2011" i="1" s="1"/>
  <c r="P2009" i="1" a="1"/>
  <c r="P2009" i="1" s="1"/>
  <c r="P2013" i="1" a="1"/>
  <c r="P2013" i="1" s="1"/>
  <c r="P2014" i="1" s="1" a="1"/>
  <c r="P2014" i="1" s="1"/>
  <c r="N2013" i="1" a="1"/>
  <c r="N2013" i="1" s="1"/>
  <c r="N2014" i="1" s="1" a="1"/>
  <c r="N2014" i="1" s="1"/>
  <c r="M2013" i="1" a="1"/>
  <c r="M2013" i="1" s="1"/>
  <c r="M2014" i="1" s="1" a="1"/>
  <c r="M2014" i="1" s="1"/>
  <c r="L2013" i="1" a="1"/>
  <c r="L2013" i="1" s="1"/>
  <c r="L2014" i="1" s="1" a="1"/>
  <c r="L2014" i="1" s="1"/>
  <c r="N2011" i="1" a="1"/>
  <c r="N2011" i="1" s="1"/>
  <c r="J2013" i="1" a="1"/>
  <c r="J2013" i="1" s="1"/>
  <c r="J2014" i="1" s="1" a="1"/>
  <c r="J2014" i="1" s="1"/>
  <c r="H2013" i="1" a="1"/>
  <c r="H2013" i="1"/>
  <c r="Q2011" i="1" a="1"/>
  <c r="Q2011" i="1" s="1"/>
  <c r="L2005" i="1" a="1"/>
  <c r="L2005" i="1"/>
  <c r="G2008" i="1" a="1"/>
  <c r="G2008" i="1"/>
  <c r="M2003" i="1" a="1"/>
  <c r="M2003" i="1" s="1"/>
  <c r="M2004" i="1" s="1" a="1"/>
  <c r="M2004" i="1" s="1"/>
  <c r="K2007" i="1" a="1"/>
  <c r="K2007" i="1" s="1"/>
  <c r="Q2005" i="1" a="1"/>
  <c r="Q2005" i="1" s="1"/>
  <c r="N2005" i="1" a="1"/>
  <c r="N2005" i="1"/>
  <c r="L2003" i="1" a="1"/>
  <c r="L2003" i="1" s="1"/>
  <c r="L2004" i="1" s="1" a="1"/>
  <c r="L2004" i="1" s="1"/>
  <c r="I2006" i="1" a="1"/>
  <c r="I2006" i="1" s="1"/>
  <c r="I2007" i="1" s="1" a="1"/>
  <c r="I2007" i="1" s="1"/>
  <c r="Q2006" i="1" a="1"/>
  <c r="Q2006" i="1" s="1"/>
  <c r="Q2007" i="1" s="1" a="1"/>
  <c r="Q2007" i="1" s="1"/>
  <c r="P2006" i="1" a="1"/>
  <c r="P2006" i="1" s="1"/>
  <c r="P2007" i="1" s="1" a="1"/>
  <c r="P2007" i="1" s="1"/>
  <c r="H2005" i="1" a="1"/>
  <c r="H2005" i="1" s="1"/>
  <c r="K2003" i="1" a="1"/>
  <c r="K2003" i="1" s="1"/>
  <c r="K2004" i="1" s="1" a="1"/>
  <c r="K2004" i="1" s="1"/>
  <c r="O2006" i="1" a="1"/>
  <c r="O2006" i="1" s="1"/>
  <c r="O2007" i="1" s="1" a="1"/>
  <c r="O2007" i="1" s="1"/>
  <c r="J2005" i="1" a="1"/>
  <c r="J2005" i="1"/>
  <c r="I2003" i="1" a="1"/>
  <c r="I2003" i="1" s="1"/>
  <c r="I2004" i="1" s="1" a="1"/>
  <c r="I2004" i="1" s="1"/>
  <c r="M2006" i="1" a="1"/>
  <c r="M2006" i="1" s="1"/>
  <c r="M2007" i="1" s="1" a="1"/>
  <c r="M2007" i="1" s="1"/>
  <c r="M2005" i="1" a="1"/>
  <c r="M2005" i="1" s="1"/>
  <c r="F2005" i="1" a="1"/>
  <c r="F2005" i="1" s="1"/>
  <c r="P2003" i="1" a="1"/>
  <c r="P2003" i="1"/>
  <c r="P2004" i="1" s="1" a="1"/>
  <c r="P2004" i="1" s="1"/>
  <c r="J2004" i="1" a="1"/>
  <c r="J2004" i="1"/>
  <c r="H2003" i="1" a="1"/>
  <c r="H2003" i="1"/>
  <c r="H2004" i="1" s="1" a="1"/>
  <c r="H2004" i="1" s="1"/>
  <c r="I2005" i="1" a="1"/>
  <c r="I2005" i="1"/>
  <c r="K2008" i="1" a="1"/>
  <c r="K2008" i="1" s="1"/>
  <c r="K2009" i="1" s="1" a="1"/>
  <c r="K2009" i="1" s="1"/>
  <c r="J2008" i="1" a="1"/>
  <c r="J2008" i="1" s="1"/>
  <c r="J2009" i="1" s="1" a="1"/>
  <c r="I2008" i="1" a="1"/>
  <c r="I2008" i="1" s="1"/>
  <c r="I2009" i="1" s="1" a="1"/>
  <c r="I2009" i="1" s="1"/>
  <c r="H2008" i="1" a="1"/>
  <c r="H2008" i="1" s="1"/>
  <c r="H2009" i="1" s="1" a="1"/>
  <c r="H2009" i="1" s="1"/>
  <c r="F2008" i="1" a="1"/>
  <c r="F2008" i="1" s="1"/>
  <c r="F2009" i="1" s="1" a="1"/>
  <c r="F2009" i="1" s="1"/>
  <c r="G2006" i="1" a="1"/>
  <c r="G2006" i="1"/>
  <c r="G2007" i="1" s="1" a="1"/>
  <c r="G2007" i="1" s="1"/>
  <c r="N2003" i="1" a="1"/>
  <c r="N2003" i="1" s="1"/>
  <c r="N2004" i="1" s="1" a="1"/>
  <c r="N2004" i="1" s="1"/>
  <c r="N2006" i="1" a="1"/>
  <c r="N2006" i="1" s="1"/>
  <c r="N2007" i="1" s="1" a="1"/>
  <c r="N2007" i="1" s="1"/>
  <c r="L2006" i="1" a="1"/>
  <c r="L2006" i="1" s="1"/>
  <c r="L2007" i="1" s="1" a="1"/>
  <c r="L2007" i="1" s="1"/>
  <c r="Q2003" i="1" a="1"/>
  <c r="Q2003" i="1" s="1"/>
  <c r="Q2004" i="1" s="1" a="1"/>
  <c r="Q2004" i="1" s="1"/>
  <c r="J2003" i="1" a="1"/>
  <c r="J2003" i="1" s="1"/>
  <c r="O2003" i="1" a="1"/>
  <c r="O2003" i="1"/>
  <c r="O2004" i="1" s="1" a="1"/>
  <c r="O2004" i="1" s="1"/>
  <c r="H2006" i="1" a="1"/>
  <c r="H2006" i="1"/>
  <c r="H2007" i="1" s="1" a="1"/>
  <c r="H2007" i="1" s="1"/>
  <c r="F2006" i="1" a="1"/>
  <c r="F2006" i="1"/>
  <c r="F2007" i="1" s="1" a="1"/>
  <c r="F2007" i="1" s="1"/>
  <c r="P2005" i="1" a="1"/>
  <c r="P2005" i="1" s="1"/>
  <c r="K2006" i="1" a="1"/>
  <c r="K2006" i="1" s="1"/>
  <c r="J2006" i="1" a="1"/>
  <c r="J2006" i="1" s="1"/>
  <c r="J2007" i="1" s="1" a="1"/>
  <c r="J2007" i="1" s="1"/>
  <c r="O2005" i="1" a="1"/>
  <c r="O2005" i="1"/>
  <c r="K2005" i="1" a="1"/>
  <c r="K2005" i="1"/>
  <c r="G2005" i="1" a="1"/>
  <c r="G2005" i="1" s="1"/>
  <c r="N1999" i="1" a="1"/>
  <c r="N1999" i="1" s="1"/>
  <c r="L1997" i="1" a="1"/>
  <c r="L1997" i="1"/>
  <c r="G1998" i="1" a="1"/>
  <c r="G1998" i="1" s="1"/>
  <c r="H1997" i="1" a="1"/>
  <c r="H1997" i="1"/>
  <c r="G2003" i="1" a="1"/>
  <c r="G2003" i="1"/>
  <c r="G2004" i="1" s="1" a="1"/>
  <c r="G2004" i="1" s="1"/>
  <c r="M2000" i="1" a="1"/>
  <c r="M2000" i="1" s="1"/>
  <c r="O2000" i="1" a="1"/>
  <c r="O2000" i="1" s="1"/>
  <c r="O1998" i="1" a="1"/>
  <c r="O1998" i="1"/>
  <c r="F2003" i="1" a="1"/>
  <c r="F2003" i="1"/>
  <c r="F2004" i="1" s="1" a="1"/>
  <c r="F2004" i="1" s="1"/>
  <c r="P2001" i="1" a="1"/>
  <c r="P2001" i="1" s="1"/>
  <c r="M2001" i="1" a="1"/>
  <c r="M2001" i="1" s="1"/>
  <c r="K1997" i="1" a="1"/>
  <c r="K1997" i="1" s="1"/>
  <c r="L2001" i="1" a="1"/>
  <c r="L2001" i="1" s="1"/>
  <c r="Q2000" i="1" a="1"/>
  <c r="Q2000" i="1" s="1"/>
  <c r="P2000" i="1" a="1"/>
  <c r="P2000" i="1"/>
  <c r="I2000" i="1" a="1"/>
  <c r="I2000" i="1"/>
  <c r="H2000" i="1" a="1"/>
  <c r="H2000" i="1" s="1"/>
  <c r="J1999" i="1" a="1"/>
  <c r="J1999" i="1" s="1"/>
  <c r="H1999" i="1" a="1"/>
  <c r="H1999" i="1" s="1"/>
  <c r="Q1998" i="1" a="1"/>
  <c r="Q1998" i="1" s="1"/>
  <c r="O2001" i="1" a="1"/>
  <c r="O2001" i="1" s="1"/>
  <c r="N2000" i="1" a="1"/>
  <c r="N2000" i="1"/>
  <c r="K2001" i="1" a="1"/>
  <c r="K2001" i="1" s="1"/>
  <c r="Q1997" i="1" a="1"/>
  <c r="Q1997" i="1"/>
  <c r="F2001" i="1" a="1"/>
  <c r="F2001" i="1"/>
  <c r="Q1999" i="1" a="1"/>
  <c r="Q1999" i="1"/>
  <c r="J2001" i="1" a="1"/>
  <c r="J2001" i="1" s="1"/>
  <c r="J1997" i="1" a="1"/>
  <c r="J1997" i="1" s="1"/>
  <c r="G1999" i="1" a="1"/>
  <c r="G1999" i="1" s="1"/>
  <c r="F1999" i="1" a="1"/>
  <c r="F1999" i="1" s="1"/>
  <c r="P1998" i="1" a="1"/>
  <c r="P1998" i="1" s="1"/>
  <c r="H1998" i="1" a="1"/>
  <c r="H1998" i="1" s="1"/>
  <c r="J1998" i="1" a="1"/>
  <c r="J1998" i="1"/>
  <c r="F1998" i="1" a="1"/>
  <c r="F1998" i="1"/>
  <c r="M1998" i="1" a="1"/>
  <c r="M1998" i="1"/>
  <c r="I1998" i="1" a="1"/>
  <c r="I1998" i="1" s="1"/>
  <c r="H2001" i="1" a="1"/>
  <c r="H2001" i="1"/>
  <c r="G2000" i="1" a="1"/>
  <c r="G2000" i="1"/>
  <c r="J2000" i="1" a="1"/>
  <c r="J2000" i="1" s="1"/>
  <c r="G2001" i="1" a="1"/>
  <c r="G2001" i="1" s="1"/>
  <c r="P1999" i="1" a="1"/>
  <c r="P1999" i="1" s="1"/>
  <c r="F2000" i="1" a="1"/>
  <c r="F2000" i="1"/>
  <c r="N1997" i="1" a="1"/>
  <c r="N1997" i="1" s="1"/>
  <c r="I1999" i="1" a="1"/>
  <c r="I1999" i="1"/>
  <c r="M1997" i="1" a="1"/>
  <c r="M1997" i="1"/>
  <c r="K2000" i="1" a="1"/>
  <c r="K2000" i="1"/>
  <c r="O1999" i="1" a="1"/>
  <c r="O1999" i="1" s="1"/>
  <c r="M1999" i="1" a="1"/>
  <c r="M1999" i="1" s="1"/>
  <c r="Q2001" i="1" a="1"/>
  <c r="Q2001" i="1" s="1"/>
  <c r="I2001" i="1" a="1"/>
  <c r="I2001" i="1" s="1"/>
  <c r="K1998" i="1" a="1"/>
  <c r="K1998" i="1"/>
  <c r="L2000" i="1" a="1"/>
  <c r="L2000" i="1" s="1"/>
  <c r="K1999" i="1" a="1"/>
  <c r="K1999" i="1"/>
  <c r="L1998" i="1" a="1"/>
  <c r="L1998" i="1"/>
  <c r="O1997" i="1" a="1"/>
  <c r="O1997" i="1" s="1"/>
  <c r="P1997" i="1" a="1"/>
  <c r="P1997" i="1" s="1"/>
  <c r="I1997" i="1" a="1"/>
  <c r="I1997" i="1" s="1"/>
  <c r="L1999" i="1" a="1"/>
  <c r="L1999" i="1" s="1"/>
  <c r="N1998" i="1" a="1"/>
  <c r="N1998" i="1" s="1"/>
  <c r="N2001" i="1" a="1"/>
  <c r="N2001" i="1" s="1"/>
  <c r="G1993" i="1" a="1"/>
  <c r="G1993" i="1" s="1"/>
  <c r="G1992" i="1" a="1"/>
  <c r="G1992" i="1"/>
  <c r="I1993" i="1" a="1"/>
  <c r="I1993" i="1"/>
  <c r="Q1994" i="1" a="1"/>
  <c r="Q1994" i="1" s="1"/>
  <c r="L1993" i="1" a="1"/>
  <c r="L1993" i="1" s="1"/>
  <c r="P1993" i="1" a="1"/>
  <c r="P1993" i="1" s="1"/>
  <c r="N1992" i="1" a="1"/>
  <c r="N1992" i="1"/>
  <c r="O1992" i="1" a="1"/>
  <c r="O1992" i="1" s="1"/>
  <c r="L1996" i="1" a="1"/>
  <c r="L1996" i="1" s="1"/>
  <c r="H1996" i="1" a="1"/>
  <c r="H1996" i="1"/>
  <c r="P1995" i="1" a="1"/>
  <c r="P1995" i="1"/>
  <c r="N1995" i="1" a="1"/>
  <c r="N1995" i="1" s="1"/>
  <c r="M1995" i="1" a="1"/>
  <c r="M1995" i="1"/>
  <c r="H1995" i="1" a="1"/>
  <c r="H1995" i="1"/>
  <c r="H1994" i="1" a="1"/>
  <c r="H1994" i="1" s="1"/>
  <c r="F1993" i="1" a="1"/>
  <c r="F1993" i="1" s="1"/>
  <c r="F1994" i="1" a="1"/>
  <c r="F1994" i="1" s="1"/>
  <c r="K1992" i="1" a="1"/>
  <c r="K1992" i="1"/>
  <c r="I1992" i="1" a="1"/>
  <c r="I1992" i="1" s="1"/>
  <c r="I1994" i="1" a="1"/>
  <c r="I1994" i="1"/>
  <c r="Q1995" i="1" a="1"/>
  <c r="Q1995" i="1" s="1"/>
  <c r="O1995" i="1" a="1"/>
  <c r="O1995" i="1"/>
  <c r="M1994" i="1" a="1"/>
  <c r="M1994" i="1" s="1"/>
  <c r="J1993" i="1" a="1"/>
  <c r="J1993" i="1" s="1"/>
  <c r="J1994" i="1" a="1"/>
  <c r="J1994" i="1" s="1"/>
  <c r="K1996" i="1" a="1"/>
  <c r="K1996" i="1" s="1"/>
  <c r="H1993" i="1" a="1"/>
  <c r="H1993" i="1" s="1"/>
  <c r="P1992" i="1" a="1"/>
  <c r="P1992" i="1" s="1"/>
  <c r="G1997" i="1" a="1"/>
  <c r="G1997" i="1" s="1"/>
  <c r="P1996" i="1" a="1"/>
  <c r="P1996" i="1" s="1"/>
  <c r="M1993" i="1" a="1"/>
  <c r="M1993" i="1"/>
  <c r="P1994" i="1" a="1"/>
  <c r="P1994" i="1"/>
  <c r="K1994" i="1" a="1"/>
  <c r="K1994" i="1" s="1"/>
  <c r="N1993" i="1" a="1"/>
  <c r="N1993" i="1"/>
  <c r="O1993" i="1" a="1"/>
  <c r="O1993" i="1"/>
  <c r="L1992" i="1" a="1"/>
  <c r="L1992" i="1"/>
  <c r="F1996" i="1" a="1"/>
  <c r="F1996" i="1" s="1"/>
  <c r="F1997" i="1" a="1"/>
  <c r="F1997" i="1"/>
  <c r="Q1996" i="1" a="1"/>
  <c r="Q1996" i="1"/>
  <c r="I1996" i="1" a="1"/>
  <c r="I1996" i="1"/>
  <c r="K1995" i="1" a="1"/>
  <c r="K1995" i="1" s="1"/>
  <c r="I1995" i="1" a="1"/>
  <c r="I1995" i="1"/>
  <c r="G1995" i="1" a="1"/>
  <c r="G1995" i="1" s="1"/>
  <c r="L1994" i="1" a="1"/>
  <c r="L1994" i="1" s="1"/>
  <c r="K1993" i="1" a="1"/>
  <c r="K1993" i="1"/>
  <c r="F1995" i="1" a="1"/>
  <c r="F1995" i="1" s="1"/>
  <c r="P1991" i="1" a="1"/>
  <c r="P1991" i="1"/>
  <c r="N1994" i="1" a="1"/>
  <c r="N1994" i="1" s="1"/>
  <c r="F1992" i="1" a="1"/>
  <c r="F1992" i="1" s="1"/>
  <c r="Q1993" i="1" a="1"/>
  <c r="Q1993" i="1" s="1"/>
  <c r="Q1992" i="1" a="1"/>
  <c r="Q1992" i="1" s="1"/>
  <c r="M1992" i="1" a="1"/>
  <c r="M1992" i="1" s="1"/>
  <c r="J1992" i="1" a="1"/>
  <c r="J1992" i="1" s="1"/>
  <c r="O1994" i="1" a="1"/>
  <c r="O1994" i="1" s="1"/>
  <c r="H1992" i="1" a="1"/>
  <c r="H1992" i="1"/>
  <c r="M1996" i="1" a="1"/>
  <c r="M1996" i="1" s="1"/>
  <c r="O1996" i="1" a="1"/>
  <c r="O1996" i="1" s="1"/>
  <c r="N1996" i="1" a="1"/>
  <c r="N1996" i="1" s="1"/>
  <c r="J1996" i="1" a="1"/>
  <c r="J1996" i="1" s="1"/>
  <c r="G1996" i="1" a="1"/>
  <c r="G1996" i="1" s="1"/>
  <c r="L1995" i="1" a="1"/>
  <c r="L1995" i="1"/>
  <c r="Q1991" i="1" a="1"/>
  <c r="Q1991" i="1" s="1"/>
  <c r="J1995" i="1" a="1"/>
  <c r="J1995" i="1"/>
  <c r="G1994" i="1" a="1"/>
  <c r="G1994" i="1" s="1"/>
  <c r="H1990" i="1" a="1"/>
  <c r="H1990" i="1" s="1"/>
  <c r="L1988" i="1" a="1"/>
  <c r="L1988" i="1"/>
  <c r="K1988" i="1" a="1"/>
  <c r="K1988" i="1"/>
  <c r="O1987" i="1" a="1"/>
  <c r="O1987" i="1"/>
  <c r="F1990" i="1" a="1"/>
  <c r="F1990" i="1"/>
  <c r="F1987" i="1" a="1"/>
  <c r="F1987" i="1" s="1"/>
  <c r="K1987" i="1" a="1"/>
  <c r="K1987" i="1"/>
  <c r="Q1989" i="1" a="1"/>
  <c r="Q1989" i="1" s="1"/>
  <c r="O1988" i="1" a="1"/>
  <c r="O1988" i="1" s="1"/>
  <c r="P1987" i="1" a="1"/>
  <c r="P1987" i="1"/>
  <c r="F1991" i="1" a="1"/>
  <c r="F1991" i="1" s="1"/>
  <c r="M1990" i="1" a="1"/>
  <c r="M1990" i="1" s="1"/>
  <c r="P1988" i="1" a="1"/>
  <c r="P1988" i="1" s="1"/>
  <c r="G1987" i="1" a="1"/>
  <c r="G1987" i="1" s="1"/>
  <c r="N1986" i="1" a="1"/>
  <c r="N1986" i="1" s="1"/>
  <c r="J1990" i="1" a="1"/>
  <c r="J1990" i="1"/>
  <c r="M1989" i="1" a="1"/>
  <c r="M1989" i="1" s="1"/>
  <c r="G1988" i="1" a="1"/>
  <c r="G1988" i="1" s="1"/>
  <c r="I1990" i="1" a="1"/>
  <c r="I1990" i="1" s="1"/>
  <c r="G1990" i="1" a="1"/>
  <c r="G1990" i="1"/>
  <c r="H1989" i="1" a="1"/>
  <c r="H1989" i="1" s="1"/>
  <c r="L1986" i="1" a="1"/>
  <c r="L1986" i="1"/>
  <c r="I1989" i="1" a="1"/>
  <c r="I1989" i="1"/>
  <c r="H1987" i="1" a="1"/>
  <c r="H1987" i="1" s="1"/>
  <c r="N1989" i="1" a="1"/>
  <c r="N1989" i="1" s="1"/>
  <c r="G1989" i="1" a="1"/>
  <c r="G1989" i="1" s="1"/>
  <c r="M1986" i="1" a="1"/>
  <c r="M1986" i="1" s="1"/>
  <c r="L1990" i="1" a="1"/>
  <c r="L1990" i="1" s="1"/>
  <c r="O1991" i="1" a="1"/>
  <c r="O1991" i="1" s="1"/>
  <c r="N1991" i="1" a="1"/>
  <c r="N1991" i="1" s="1"/>
  <c r="Q1986" i="1" a="1"/>
  <c r="Q1986" i="1"/>
  <c r="K1991" i="1" a="1"/>
  <c r="K1991" i="1"/>
  <c r="H1991" i="1" a="1"/>
  <c r="H1991" i="1"/>
  <c r="N1990" i="1" a="1"/>
  <c r="N1990" i="1"/>
  <c r="F1989" i="1" a="1"/>
  <c r="F1989" i="1" s="1"/>
  <c r="H1988" i="1" a="1"/>
  <c r="H1988" i="1"/>
  <c r="N1987" i="1" a="1"/>
  <c r="N1987" i="1" s="1"/>
  <c r="K1990" i="1" a="1"/>
  <c r="K1990" i="1"/>
  <c r="O1989" i="1" a="1"/>
  <c r="O1989" i="1"/>
  <c r="Q1987" i="1" a="1"/>
  <c r="Q1987" i="1" s="1"/>
  <c r="J1989" i="1" a="1"/>
  <c r="J1989" i="1" s="1"/>
  <c r="L1989" i="1" a="1"/>
  <c r="L1989" i="1" s="1"/>
  <c r="M1987" i="1" a="1"/>
  <c r="M1987" i="1" s="1"/>
  <c r="Q1988" i="1" a="1"/>
  <c r="Q1988" i="1" s="1"/>
  <c r="J1987" i="1" a="1"/>
  <c r="J1987" i="1"/>
  <c r="M1988" i="1" a="1"/>
  <c r="M1988" i="1" s="1"/>
  <c r="J1988" i="1" a="1"/>
  <c r="J1988" i="1" s="1"/>
  <c r="L1987" i="1" a="1"/>
  <c r="L1987" i="1" s="1"/>
  <c r="M1991" i="1" a="1"/>
  <c r="M1991" i="1"/>
  <c r="L1991" i="1" a="1"/>
  <c r="L1991" i="1" s="1"/>
  <c r="O1990" i="1" a="1"/>
  <c r="O1990" i="1" s="1"/>
  <c r="K1989" i="1" a="1"/>
  <c r="K1989" i="1" s="1"/>
  <c r="I1988" i="1" a="1"/>
  <c r="I1988" i="1" s="1"/>
  <c r="P1986" i="1" a="1"/>
  <c r="P1986" i="1"/>
  <c r="O1986" i="1" a="1"/>
  <c r="O1986" i="1" s="1"/>
  <c r="J1991" i="1" a="1"/>
  <c r="J1991" i="1"/>
  <c r="F1988" i="1" a="1"/>
  <c r="F1988" i="1" s="1"/>
  <c r="P1989" i="1" a="1"/>
  <c r="P1989" i="1" s="1"/>
  <c r="I1987" i="1" a="1"/>
  <c r="I1987" i="1" s="1"/>
  <c r="I1991" i="1" a="1"/>
  <c r="I1991" i="1"/>
  <c r="G1991" i="1" a="1"/>
  <c r="G1991" i="1"/>
  <c r="Q1990" i="1" a="1"/>
  <c r="Q1990" i="1"/>
  <c r="N1988" i="1" a="1"/>
  <c r="N1988" i="1"/>
  <c r="P1990" i="1" a="1"/>
  <c r="P1990" i="1" s="1"/>
  <c r="H1985" i="1" a="1"/>
  <c r="H1985" i="1"/>
  <c r="G1984" i="1" a="1"/>
  <c r="G1984" i="1" s="1"/>
  <c r="K1986" i="1" a="1"/>
  <c r="K1986" i="1"/>
  <c r="I1986" i="1" a="1"/>
  <c r="I1986" i="1"/>
  <c r="H1986" i="1" a="1"/>
  <c r="H1986" i="1"/>
  <c r="M1982" i="1" a="1"/>
  <c r="M1982" i="1" s="1"/>
  <c r="K1984" i="1" a="1"/>
  <c r="K1984" i="1" s="1"/>
  <c r="Q1983" i="1" a="1"/>
  <c r="Q1983" i="1" s="1"/>
  <c r="M1985" i="1" a="1"/>
  <c r="M1985" i="1" s="1"/>
  <c r="J1983" i="1" a="1"/>
  <c r="J1983" i="1" s="1"/>
  <c r="K1981" i="1" a="1"/>
  <c r="K1981" i="1"/>
  <c r="L1985" i="1" a="1"/>
  <c r="L1985" i="1" s="1"/>
  <c r="K1985" i="1" a="1"/>
  <c r="K1985" i="1" s="1"/>
  <c r="J1985" i="1" a="1"/>
  <c r="J1985" i="1" s="1"/>
  <c r="O1984" i="1" a="1"/>
  <c r="O1984" i="1" s="1"/>
  <c r="N1984" i="1" a="1"/>
  <c r="N1984" i="1" s="1"/>
  <c r="I1983" i="1" a="1"/>
  <c r="I1983" i="1"/>
  <c r="H1982" i="1" a="1"/>
  <c r="H1982" i="1" s="1"/>
  <c r="I1984" i="1" a="1"/>
  <c r="I1984" i="1" s="1"/>
  <c r="F1982" i="1" a="1"/>
  <c r="F1982" i="1"/>
  <c r="K1983" i="1" a="1"/>
  <c r="K1983" i="1" s="1"/>
  <c r="N1982" i="1" a="1"/>
  <c r="N1982" i="1" s="1"/>
  <c r="Q1982" i="1" a="1"/>
  <c r="Q1982" i="1"/>
  <c r="L1981" i="1" a="1"/>
  <c r="L1981" i="1"/>
  <c r="Q1985" i="1" a="1"/>
  <c r="Q1985" i="1" s="1"/>
  <c r="O1983" i="1" a="1"/>
  <c r="O1983" i="1" s="1"/>
  <c r="J1984" i="1" a="1"/>
  <c r="J1984" i="1"/>
  <c r="O1985" i="1" a="1"/>
  <c r="O1985" i="1"/>
  <c r="F1986" i="1" a="1"/>
  <c r="F1986" i="1" s="1"/>
  <c r="P1985" i="1" a="1"/>
  <c r="P1985" i="1"/>
  <c r="M1981" i="1" a="1"/>
  <c r="M1981" i="1" s="1"/>
  <c r="N1985" i="1" a="1"/>
  <c r="N1985" i="1" s="1"/>
  <c r="H1984" i="1" a="1"/>
  <c r="H1984" i="1"/>
  <c r="G1983" i="1" a="1"/>
  <c r="G1983" i="1" s="1"/>
  <c r="I1982" i="1" a="1"/>
  <c r="I1982" i="1" s="1"/>
  <c r="H1981" i="1" a="1"/>
  <c r="H1981" i="1" s="1"/>
  <c r="G1985" i="1" a="1"/>
  <c r="G1985" i="1" s="1"/>
  <c r="Q1984" i="1" a="1"/>
  <c r="Q1984" i="1"/>
  <c r="P1984" i="1" a="1"/>
  <c r="P1984" i="1"/>
  <c r="M1984" i="1" a="1"/>
  <c r="M1984" i="1" s="1"/>
  <c r="L1983" i="1" a="1"/>
  <c r="L1983" i="1" s="1"/>
  <c r="P1982" i="1" a="1"/>
  <c r="P1982" i="1" s="1"/>
  <c r="N1981" i="1" a="1"/>
  <c r="N1981" i="1"/>
  <c r="O1982" i="1" a="1"/>
  <c r="O1982" i="1" s="1"/>
  <c r="L1982" i="1" a="1"/>
  <c r="L1982" i="1" s="1"/>
  <c r="F1984" i="1" a="1"/>
  <c r="F1984" i="1" s="1"/>
  <c r="O1981" i="1" a="1"/>
  <c r="O1981" i="1" s="1"/>
  <c r="N1983" i="1" a="1"/>
  <c r="N1983" i="1" s="1"/>
  <c r="K1982" i="1" a="1"/>
  <c r="K1982" i="1" s="1"/>
  <c r="F1983" i="1" a="1"/>
  <c r="F1983" i="1" s="1"/>
  <c r="I1981" i="1" a="1"/>
  <c r="I1981" i="1" s="1"/>
  <c r="J1981" i="1" a="1"/>
  <c r="J1981" i="1"/>
  <c r="M1983" i="1" a="1"/>
  <c r="M1983" i="1"/>
  <c r="H1983" i="1" a="1"/>
  <c r="H1983" i="1"/>
  <c r="J1982" i="1" a="1"/>
  <c r="J1982" i="1" s="1"/>
  <c r="I1985" i="1" a="1"/>
  <c r="I1985" i="1"/>
  <c r="G1982" i="1" a="1"/>
  <c r="G1982" i="1"/>
  <c r="J1986" i="1" a="1"/>
  <c r="J1986" i="1" s="1"/>
  <c r="G1986" i="1" a="1"/>
  <c r="G1986" i="1"/>
  <c r="Q1981" i="1" a="1"/>
  <c r="Q1981" i="1"/>
  <c r="F1985" i="1" a="1"/>
  <c r="F1985" i="1"/>
  <c r="P1981" i="1" a="1"/>
  <c r="P1981" i="1"/>
  <c r="P1983" i="1" a="1"/>
  <c r="P1983" i="1" s="1"/>
  <c r="L1984" i="1" a="1"/>
  <c r="L1984" i="1" s="1"/>
  <c r="H1976" i="1" a="1"/>
  <c r="H1976" i="1" s="1"/>
  <c r="P1975" i="1" a="1"/>
  <c r="P1975" i="1" s="1"/>
  <c r="Q1980" i="1" a="1"/>
  <c r="Q1980" i="1"/>
  <c r="H1977" i="1" a="1"/>
  <c r="H1977" i="1"/>
  <c r="H1980" i="1" a="1"/>
  <c r="H1980" i="1"/>
  <c r="Q1979" i="1" a="1"/>
  <c r="Q1979" i="1" s="1"/>
  <c r="L1976" i="1" a="1"/>
  <c r="L1976" i="1" s="1"/>
  <c r="L1979" i="1" a="1"/>
  <c r="L1979" i="1"/>
  <c r="I1977" i="1" a="1"/>
  <c r="I1977" i="1" s="1"/>
  <c r="N1976" i="1" a="1"/>
  <c r="N1976" i="1" s="1"/>
  <c r="L1980" i="1" a="1"/>
  <c r="L1980" i="1" s="1"/>
  <c r="P1980" i="1" a="1"/>
  <c r="P1980" i="1" s="1"/>
  <c r="I1980" i="1" a="1"/>
  <c r="I1980" i="1" s="1"/>
  <c r="J1976" i="1" a="1"/>
  <c r="J1976" i="1"/>
  <c r="M1976" i="1" a="1"/>
  <c r="M1976" i="1" s="1"/>
  <c r="G1976" i="1" a="1"/>
  <c r="G1976" i="1" s="1"/>
  <c r="O1977" i="1" a="1"/>
  <c r="O1977" i="1"/>
  <c r="Q1975" i="1" a="1"/>
  <c r="Q1975" i="1"/>
  <c r="M1980" i="1" a="1"/>
  <c r="M1980" i="1"/>
  <c r="J1980" i="1" a="1"/>
  <c r="J1980" i="1" s="1"/>
  <c r="P1979" i="1" a="1"/>
  <c r="P1979" i="1"/>
  <c r="N1979" i="1" a="1"/>
  <c r="N1979" i="1"/>
  <c r="K1976" i="1" a="1"/>
  <c r="K1976" i="1" s="1"/>
  <c r="M1975" i="1" a="1"/>
  <c r="M1975" i="1"/>
  <c r="L1977" i="1" a="1"/>
  <c r="L1977" i="1"/>
  <c r="I1976" i="1" a="1"/>
  <c r="I1976" i="1"/>
  <c r="P1976" i="1" a="1"/>
  <c r="P1976" i="1" s="1"/>
  <c r="G1980" i="1" a="1"/>
  <c r="G1980" i="1"/>
  <c r="Q1977" i="1" a="1"/>
  <c r="Q1977" i="1"/>
  <c r="O1975" i="1" a="1"/>
  <c r="O1975" i="1" s="1"/>
  <c r="H1979" i="1" a="1"/>
  <c r="H1979" i="1" s="1"/>
  <c r="O1979" i="1" a="1"/>
  <c r="O1979" i="1"/>
  <c r="M1979" i="1" a="1"/>
  <c r="M1979" i="1"/>
  <c r="P1977" i="1" a="1"/>
  <c r="P1977" i="1"/>
  <c r="F1977" i="1" a="1"/>
  <c r="F1977" i="1" s="1"/>
  <c r="J1977" i="1" a="1"/>
  <c r="J1977" i="1" s="1"/>
  <c r="O1976" i="1" a="1"/>
  <c r="O1976" i="1"/>
  <c r="I1979" i="1" a="1"/>
  <c r="I1979" i="1" s="1"/>
  <c r="G1981" i="1" a="1"/>
  <c r="G1981" i="1" s="1"/>
  <c r="F1981" i="1" a="1"/>
  <c r="F1981" i="1"/>
  <c r="O1980" i="1" a="1"/>
  <c r="O1980" i="1" s="1"/>
  <c r="N1980" i="1" a="1"/>
  <c r="N1980" i="1" s="1"/>
  <c r="K1980" i="1" a="1"/>
  <c r="K1980" i="1" s="1"/>
  <c r="F1976" i="1" a="1"/>
  <c r="F1976" i="1"/>
  <c r="K1979" i="1" a="1"/>
  <c r="K1979" i="1" s="1"/>
  <c r="J1979" i="1" a="1"/>
  <c r="J1979" i="1" s="1"/>
  <c r="N1977" i="1" a="1"/>
  <c r="N1977" i="1" s="1"/>
  <c r="M1977" i="1" a="1"/>
  <c r="M1977" i="1"/>
  <c r="Q1976" i="1" a="1"/>
  <c r="Q1976" i="1"/>
  <c r="K1977" i="1" a="1"/>
  <c r="K1977" i="1"/>
  <c r="F1979" i="1" a="1"/>
  <c r="F1979" i="1"/>
  <c r="G1979" i="1" a="1"/>
  <c r="G1979" i="1" s="1"/>
  <c r="G1977" i="1" a="1"/>
  <c r="G1977" i="1"/>
  <c r="F1980" i="1" a="1"/>
  <c r="F1980" i="1" s="1"/>
  <c r="L1975" i="1" a="1"/>
  <c r="L1975" i="1" s="1"/>
  <c r="N1975" i="1" a="1"/>
  <c r="N1975" i="1"/>
  <c r="H1971" i="1" a="1"/>
  <c r="H1971" i="1" s="1"/>
  <c r="M1970" i="1" a="1"/>
  <c r="M1970" i="1" s="1"/>
  <c r="H1975" i="1" a="1"/>
  <c r="H1975" i="1" s="1"/>
  <c r="H1974" i="1" a="1"/>
  <c r="H1974" i="1"/>
  <c r="F1972" i="1" a="1"/>
  <c r="F1972" i="1" s="1"/>
  <c r="Q1974" i="1" a="1"/>
  <c r="Q1974" i="1" s="1"/>
  <c r="L1973" i="1" a="1"/>
  <c r="L1973" i="1"/>
  <c r="M1972" i="1" a="1"/>
  <c r="M1972" i="1" s="1"/>
  <c r="G1971" i="1" a="1"/>
  <c r="G1971" i="1" s="1"/>
  <c r="O1970" i="1" a="1"/>
  <c r="O1970" i="1"/>
  <c r="J1975" i="1" a="1"/>
  <c r="J1975" i="1" s="1"/>
  <c r="Q1973" i="1" a="1"/>
  <c r="Q1973" i="1"/>
  <c r="N1973" i="1" a="1"/>
  <c r="N1973" i="1" s="1"/>
  <c r="I1973" i="1" a="1"/>
  <c r="I1973" i="1"/>
  <c r="K1971" i="1" a="1"/>
  <c r="K1971" i="1"/>
  <c r="J1971" i="1" a="1"/>
  <c r="J1971" i="1" s="1"/>
  <c r="L1972" i="1" a="1"/>
  <c r="L1972" i="1" s="1"/>
  <c r="H1973" i="1" a="1"/>
  <c r="H1973" i="1" s="1"/>
  <c r="L1971" i="1" a="1"/>
  <c r="L1971" i="1"/>
  <c r="I1970" i="1" a="1"/>
  <c r="I1970" i="1"/>
  <c r="M1973" i="1" a="1"/>
  <c r="M1973" i="1" s="1"/>
  <c r="I1972" i="1" a="1"/>
  <c r="I1972" i="1" s="1"/>
  <c r="H1972" i="1" a="1"/>
  <c r="H1972" i="1"/>
  <c r="P1972" i="1" a="1"/>
  <c r="P1972" i="1"/>
  <c r="O1971" i="1" a="1"/>
  <c r="O1971" i="1" s="1"/>
  <c r="O1974" i="1" a="1"/>
  <c r="O1974" i="1"/>
  <c r="K1975" i="1" a="1"/>
  <c r="K1975" i="1" s="1"/>
  <c r="O1972" i="1" a="1"/>
  <c r="O1972" i="1" s="1"/>
  <c r="J1972" i="1" a="1"/>
  <c r="J1972" i="1"/>
  <c r="N1971" i="1" a="1"/>
  <c r="N1971" i="1"/>
  <c r="K1970" i="1" a="1"/>
  <c r="K1970" i="1"/>
  <c r="F1975" i="1" a="1"/>
  <c r="F1975" i="1" s="1"/>
  <c r="F1971" i="1" a="1"/>
  <c r="F1971" i="1" s="1"/>
  <c r="I1975" i="1" a="1"/>
  <c r="I1975" i="1"/>
  <c r="L1974" i="1" a="1"/>
  <c r="L1974" i="1" s="1"/>
  <c r="J1974" i="1" a="1"/>
  <c r="J1974" i="1" s="1"/>
  <c r="I1974" i="1" a="1"/>
  <c r="I1974" i="1" s="1"/>
  <c r="G1974" i="1" a="1"/>
  <c r="G1974" i="1" s="1"/>
  <c r="P1973" i="1" a="1"/>
  <c r="P1973" i="1"/>
  <c r="K1973" i="1" a="1"/>
  <c r="K1973" i="1" s="1"/>
  <c r="G1973" i="1" a="1"/>
  <c r="G1973" i="1" s="1"/>
  <c r="N1972" i="1" a="1"/>
  <c r="N1972" i="1" s="1"/>
  <c r="M1971" i="1" a="1"/>
  <c r="M1971" i="1" s="1"/>
  <c r="O1973" i="1" a="1"/>
  <c r="O1973" i="1" s="1"/>
  <c r="J1973" i="1" a="1"/>
  <c r="J1973" i="1"/>
  <c r="G1972" i="1" a="1"/>
  <c r="G1972" i="1"/>
  <c r="H1970" i="1" a="1"/>
  <c r="H1970" i="1" s="1"/>
  <c r="F1974" i="1" a="1"/>
  <c r="F1974" i="1" s="1"/>
  <c r="L1970" i="1" a="1"/>
  <c r="L1970" i="1" s="1"/>
  <c r="G1975" i="1" a="1"/>
  <c r="G1975" i="1"/>
  <c r="P1974" i="1" a="1"/>
  <c r="P1974" i="1"/>
  <c r="M1974" i="1" a="1"/>
  <c r="M1974" i="1"/>
  <c r="K1974" i="1" a="1"/>
  <c r="K1974" i="1"/>
  <c r="N1974" i="1" a="1"/>
  <c r="N1974" i="1" s="1"/>
  <c r="K1972" i="1" a="1"/>
  <c r="K1972" i="1" s="1"/>
  <c r="F1973" i="1" a="1"/>
  <c r="F1973" i="1"/>
  <c r="I1971" i="1" a="1"/>
  <c r="I1971" i="1" s="1"/>
  <c r="P1970" i="1" a="1"/>
  <c r="P1970" i="1" s="1"/>
  <c r="Q1972" i="1" a="1"/>
  <c r="Q1972" i="1" s="1"/>
  <c r="P1971" i="1" a="1"/>
  <c r="P1971" i="1"/>
  <c r="J1970" i="1" a="1"/>
  <c r="J1970" i="1"/>
  <c r="Q1970" i="1" a="1"/>
  <c r="Q1970" i="1" s="1"/>
  <c r="N1970" i="1" a="1"/>
  <c r="N1970" i="1" s="1"/>
  <c r="Q1971" i="1" a="1"/>
  <c r="Q1971" i="1" s="1"/>
  <c r="N1968" i="1" a="1"/>
  <c r="N1968" i="1"/>
  <c r="O1965" i="1" a="1"/>
  <c r="O1965" i="1" s="1"/>
  <c r="H1968" i="1" a="1"/>
  <c r="H1968" i="1" s="1"/>
  <c r="P1967" i="1" a="1"/>
  <c r="P1967" i="1" s="1"/>
  <c r="M1968" i="1" a="1"/>
  <c r="M1968" i="1" s="1"/>
  <c r="L1968" i="1" a="1"/>
  <c r="L1968" i="1"/>
  <c r="F1968" i="1" a="1"/>
  <c r="F1968" i="1"/>
  <c r="J1968" i="1" a="1"/>
  <c r="J1968" i="1"/>
  <c r="Q1964" i="1" a="1"/>
  <c r="Q1964" i="1" s="1"/>
  <c r="N1967" i="1" a="1"/>
  <c r="N1967" i="1" s="1"/>
  <c r="N1966" i="1" a="1"/>
  <c r="N1966" i="1" s="1"/>
  <c r="L1967" i="1" a="1"/>
  <c r="L1967" i="1"/>
  <c r="K1967" i="1" a="1"/>
  <c r="K1967" i="1" s="1"/>
  <c r="H1967" i="1" a="1"/>
  <c r="H1967" i="1" s="1"/>
  <c r="G1967" i="1" a="1"/>
  <c r="G1967" i="1" s="1"/>
  <c r="Q1966" i="1" a="1"/>
  <c r="Q1966" i="1" s="1"/>
  <c r="I1965" i="1" a="1"/>
  <c r="I1965" i="1"/>
  <c r="J1965" i="1" a="1"/>
  <c r="J1965" i="1"/>
  <c r="G1966" i="1" a="1"/>
  <c r="G1966" i="1" s="1"/>
  <c r="H1965" i="1" a="1"/>
  <c r="H1965" i="1" s="1"/>
  <c r="F1966" i="1" a="1"/>
  <c r="F1966" i="1" s="1"/>
  <c r="Q1965" i="1" a="1"/>
  <c r="Q1965" i="1"/>
  <c r="N1965" i="1" a="1"/>
  <c r="N1965" i="1"/>
  <c r="K1965" i="1" a="1"/>
  <c r="K1965" i="1" s="1"/>
  <c r="G1970" i="1" a="1"/>
  <c r="G1970" i="1" s="1"/>
  <c r="F1970" i="1" a="1"/>
  <c r="F1970" i="1" s="1"/>
  <c r="Q1969" i="1" a="1"/>
  <c r="Q1969" i="1" s="1"/>
  <c r="L1965" i="1" a="1"/>
  <c r="L1965" i="1" s="1"/>
  <c r="M1965" i="1" a="1"/>
  <c r="M1965" i="1" s="1"/>
  <c r="M1966" i="1" a="1"/>
  <c r="M1966" i="1" s="1"/>
  <c r="F1965" i="1" a="1"/>
  <c r="F1965" i="1" s="1"/>
  <c r="J1969" i="1" a="1"/>
  <c r="J1969" i="1" s="1"/>
  <c r="P1964" i="1" a="1"/>
  <c r="P1964" i="1" s="1"/>
  <c r="G1965" i="1" a="1"/>
  <c r="G1965" i="1" s="1"/>
  <c r="H1969" i="1" a="1"/>
  <c r="H1969" i="1"/>
  <c r="P1965" i="1" a="1"/>
  <c r="P1965" i="1" s="1"/>
  <c r="P1969" i="1" a="1"/>
  <c r="P1969" i="1" s="1"/>
  <c r="N1969" i="1" a="1"/>
  <c r="N1969" i="1"/>
  <c r="O1968" i="1" a="1"/>
  <c r="O1968" i="1"/>
  <c r="P1966" i="1" a="1"/>
  <c r="P1966" i="1" s="1"/>
  <c r="I1968" i="1" a="1"/>
  <c r="I1968" i="1" s="1"/>
  <c r="H1966" i="1" a="1"/>
  <c r="H1966" i="1" s="1"/>
  <c r="Q1967" i="1" a="1"/>
  <c r="Q1967" i="1"/>
  <c r="M1969" i="1" a="1"/>
  <c r="M1969" i="1"/>
  <c r="M1967" i="1" a="1"/>
  <c r="M1967" i="1"/>
  <c r="G1968" i="1" a="1"/>
  <c r="G1968" i="1"/>
  <c r="K1966" i="1" a="1"/>
  <c r="K1966" i="1" s="1"/>
  <c r="I1966" i="1" a="1"/>
  <c r="I1966" i="1"/>
  <c r="F1967" i="1" a="1"/>
  <c r="F1967" i="1" s="1"/>
  <c r="O1969" i="1" a="1"/>
  <c r="O1969" i="1"/>
  <c r="I1969" i="1" a="1"/>
  <c r="I1969" i="1" s="1"/>
  <c r="L1969" i="1" a="1"/>
  <c r="L1969" i="1" s="1"/>
  <c r="J1967" i="1" a="1"/>
  <c r="J1967" i="1"/>
  <c r="K1969" i="1" a="1"/>
  <c r="K1969" i="1"/>
  <c r="L1966" i="1" a="1"/>
  <c r="L1966" i="1" s="1"/>
  <c r="O1967" i="1" a="1"/>
  <c r="O1967" i="1" s="1"/>
  <c r="O1966" i="1" a="1"/>
  <c r="O1966" i="1" s="1"/>
  <c r="G1969" i="1" a="1"/>
  <c r="G1969" i="1" s="1"/>
  <c r="F1969" i="1" a="1"/>
  <c r="F1969" i="1"/>
  <c r="J1966" i="1" a="1"/>
  <c r="J1966" i="1" s="1"/>
  <c r="Q1968" i="1" a="1"/>
  <c r="Q1968" i="1" s="1"/>
  <c r="K1968" i="1" a="1"/>
  <c r="K1968" i="1"/>
  <c r="P1968" i="1" a="1"/>
  <c r="P1968" i="1" s="1"/>
  <c r="I1967" i="1" a="1"/>
  <c r="I1967" i="1"/>
  <c r="Q1963" i="1" a="1"/>
  <c r="Q1963" i="1" s="1"/>
  <c r="K1960" i="1" a="1"/>
  <c r="K1960" i="1" s="1"/>
  <c r="O1964" i="1" a="1"/>
  <c r="O1964" i="1"/>
  <c r="N1964" i="1" a="1"/>
  <c r="N1964" i="1"/>
  <c r="M1964" i="1" a="1"/>
  <c r="M1964" i="1"/>
  <c r="M1963" i="1" a="1"/>
  <c r="M1963" i="1" s="1"/>
  <c r="J1961" i="1" a="1"/>
  <c r="J1961" i="1"/>
  <c r="L1962" i="1" a="1"/>
  <c r="L1962" i="1"/>
  <c r="L1964" i="1" a="1"/>
  <c r="L1964" i="1"/>
  <c r="H1963" i="1" a="1"/>
  <c r="H1963" i="1" s="1"/>
  <c r="K1964" i="1" a="1"/>
  <c r="K1964" i="1" s="1"/>
  <c r="J1964" i="1" a="1"/>
  <c r="J1964" i="1" s="1"/>
  <c r="I1964" i="1" a="1"/>
  <c r="I1964" i="1"/>
  <c r="H1964" i="1" a="1"/>
  <c r="H1964" i="1" s="1"/>
  <c r="G1964" i="1" a="1"/>
  <c r="G1964" i="1" s="1"/>
  <c r="F1964" i="1" a="1"/>
  <c r="F1964" i="1"/>
  <c r="F1963" i="1" a="1"/>
  <c r="F1963" i="1"/>
  <c r="O1961" i="1" a="1"/>
  <c r="O1961" i="1" s="1"/>
  <c r="L1959" i="1" a="1"/>
  <c r="L1959" i="1" s="1"/>
  <c r="O1963" i="1" a="1"/>
  <c r="O1963" i="1" s="1"/>
  <c r="N1963" i="1" a="1"/>
  <c r="N1963" i="1"/>
  <c r="K1962" i="1" a="1"/>
  <c r="K1962" i="1" s="1"/>
  <c r="L1963" i="1" a="1"/>
  <c r="L1963" i="1" s="1"/>
  <c r="M1962" i="1" a="1"/>
  <c r="M1962" i="1" s="1"/>
  <c r="H1960" i="1" a="1"/>
  <c r="H1960" i="1" s="1"/>
  <c r="O1960" i="1" a="1"/>
  <c r="O1960" i="1"/>
  <c r="N1959" i="1" a="1"/>
  <c r="N1959" i="1"/>
  <c r="I1963" i="1" a="1"/>
  <c r="I1963" i="1" s="1"/>
  <c r="O1962" i="1" a="1"/>
  <c r="O1962" i="1"/>
  <c r="G1962" i="1" a="1"/>
  <c r="G1962" i="1" s="1"/>
  <c r="F1960" i="1" a="1"/>
  <c r="F1960" i="1" s="1"/>
  <c r="L1961" i="1" a="1"/>
  <c r="L1961" i="1"/>
  <c r="J1960" i="1" a="1"/>
  <c r="J1960" i="1" s="1"/>
  <c r="F1961" i="1" a="1"/>
  <c r="F1961" i="1" s="1"/>
  <c r="Q1962" i="1" a="1"/>
  <c r="Q1962" i="1" s="1"/>
  <c r="I1962" i="1" a="1"/>
  <c r="I1962" i="1" s="1"/>
  <c r="P1961" i="1" a="1"/>
  <c r="P1961" i="1" s="1"/>
  <c r="N1961" i="1" a="1"/>
  <c r="N1961" i="1" s="1"/>
  <c r="K1961" i="1" a="1"/>
  <c r="K1961" i="1" s="1"/>
  <c r="I1961" i="1" a="1"/>
  <c r="I1961" i="1" s="1"/>
  <c r="H1961" i="1" a="1"/>
  <c r="H1961" i="1" s="1"/>
  <c r="Q1960" i="1" a="1"/>
  <c r="Q1960" i="1"/>
  <c r="P1959" i="1" a="1"/>
  <c r="P1959" i="1" s="1"/>
  <c r="F1962" i="1" a="1"/>
  <c r="F1962" i="1" s="1"/>
  <c r="G1961" i="1" a="1"/>
  <c r="G1961" i="1" s="1"/>
  <c r="P1963" i="1" a="1"/>
  <c r="P1963" i="1" s="1"/>
  <c r="N1962" i="1" a="1"/>
  <c r="N1962" i="1" s="1"/>
  <c r="Q1959" i="1" a="1"/>
  <c r="Q1959" i="1"/>
  <c r="K1963" i="1" a="1"/>
  <c r="K1963" i="1" s="1"/>
  <c r="P1962" i="1" a="1"/>
  <c r="P1962" i="1" s="1"/>
  <c r="M1961" i="1" a="1"/>
  <c r="M1961" i="1" s="1"/>
  <c r="J1962" i="1" a="1"/>
  <c r="J1962" i="1" s="1"/>
  <c r="M1960" i="1" a="1"/>
  <c r="M1960" i="1" s="1"/>
  <c r="L1960" i="1" a="1"/>
  <c r="L1960" i="1"/>
  <c r="M1959" i="1" a="1"/>
  <c r="M1959" i="1"/>
  <c r="N1960" i="1" a="1"/>
  <c r="N1960" i="1"/>
  <c r="J1963" i="1" a="1"/>
  <c r="J1963" i="1" s="1"/>
  <c r="G1963" i="1" a="1"/>
  <c r="G1963" i="1"/>
  <c r="H1962" i="1" a="1"/>
  <c r="H1962" i="1" s="1"/>
  <c r="P1960" i="1" a="1"/>
  <c r="P1960" i="1" s="1"/>
  <c r="G1960" i="1" a="1"/>
  <c r="G1960" i="1" s="1"/>
  <c r="O1959" i="1" a="1"/>
  <c r="O1959" i="1" s="1"/>
  <c r="Q1961" i="1" a="1"/>
  <c r="Q1961" i="1" s="1"/>
  <c r="I1960" i="1" a="1"/>
  <c r="I1960" i="1" s="1"/>
  <c r="Q1956" i="1" a="1"/>
  <c r="Q1956" i="1" s="1"/>
  <c r="I1956" i="1" a="1"/>
  <c r="I1956" i="1" s="1"/>
  <c r="H1956" i="1" a="1"/>
  <c r="H1956" i="1" s="1"/>
  <c r="I1955" i="1" a="1"/>
  <c r="I1955" i="1"/>
  <c r="K1959" i="1" a="1"/>
  <c r="K1959" i="1" s="1"/>
  <c r="J1959" i="1" a="1"/>
  <c r="J1959" i="1" s="1"/>
  <c r="I1959" i="1" a="1"/>
  <c r="I1959" i="1"/>
  <c r="H1959" i="1" a="1"/>
  <c r="H1959" i="1"/>
  <c r="L1953" i="1" a="1"/>
  <c r="L1953" i="1"/>
  <c r="G1959" i="1" a="1"/>
  <c r="G1959" i="1"/>
  <c r="F1959" i="1" a="1"/>
  <c r="F1959" i="1" s="1"/>
  <c r="Q1958" i="1" a="1"/>
  <c r="Q1958" i="1"/>
  <c r="P1958" i="1" a="1"/>
  <c r="P1958" i="1"/>
  <c r="O1958" i="1" a="1"/>
  <c r="O1958" i="1" s="1"/>
  <c r="N1958" i="1" a="1"/>
  <c r="N1958" i="1" s="1"/>
  <c r="M1958" i="1" a="1"/>
  <c r="M1958" i="1"/>
  <c r="H1958" i="1" a="1"/>
  <c r="H1958" i="1" s="1"/>
  <c r="N1953" i="1" a="1"/>
  <c r="N1953" i="1" s="1"/>
  <c r="O1957" i="1" a="1"/>
  <c r="O1957" i="1" s="1"/>
  <c r="F1957" i="1" a="1"/>
  <c r="F1957" i="1"/>
  <c r="G1957" i="1" a="1"/>
  <c r="G1957" i="1"/>
  <c r="F1956" i="1" a="1"/>
  <c r="F1956" i="1" s="1"/>
  <c r="N1955" i="1" a="1"/>
  <c r="N1955" i="1"/>
  <c r="Q1953" i="1" a="1"/>
  <c r="Q1953" i="1" s="1"/>
  <c r="H1955" i="1" a="1"/>
  <c r="H1955" i="1"/>
  <c r="P1953" i="1" a="1"/>
  <c r="P1953" i="1"/>
  <c r="P1957" i="1" a="1"/>
  <c r="P1957" i="1"/>
  <c r="J1957" i="1" a="1"/>
  <c r="J1957" i="1"/>
  <c r="O1956" i="1" a="1"/>
  <c r="O1956" i="1" s="1"/>
  <c r="N1957" i="1" a="1"/>
  <c r="N1957" i="1" s="1"/>
  <c r="L1958" i="1" a="1"/>
  <c r="L1958" i="1" s="1"/>
  <c r="K1958" i="1" a="1"/>
  <c r="K1958" i="1" s="1"/>
  <c r="J1958" i="1" a="1"/>
  <c r="J1958" i="1" s="1"/>
  <c r="Q1957" i="1" a="1"/>
  <c r="Q1957" i="1" s="1"/>
  <c r="H1957" i="1" a="1"/>
  <c r="H1957" i="1" s="1"/>
  <c r="O1953" i="1" a="1"/>
  <c r="O1953" i="1"/>
  <c r="Q1955" i="1" a="1"/>
  <c r="Q1955" i="1"/>
  <c r="P1955" i="1" a="1"/>
  <c r="P1955" i="1" s="1"/>
  <c r="F1955" i="1" a="1"/>
  <c r="F1955" i="1"/>
  <c r="K1955" i="1" a="1"/>
  <c r="K1955" i="1"/>
  <c r="J1955" i="1" a="1"/>
  <c r="J1955" i="1" s="1"/>
  <c r="J1956" i="1" a="1"/>
  <c r="J1956" i="1" s="1"/>
  <c r="G1956" i="1" a="1"/>
  <c r="G1956" i="1" s="1"/>
  <c r="I1958" i="1" a="1"/>
  <c r="I1958" i="1"/>
  <c r="I1957" i="1" a="1"/>
  <c r="I1957" i="1" s="1"/>
  <c r="N1956" i="1" a="1"/>
  <c r="N1956" i="1" s="1"/>
  <c r="G1958" i="1" a="1"/>
  <c r="G1958" i="1"/>
  <c r="M1957" i="1" a="1"/>
  <c r="M1957" i="1" s="1"/>
  <c r="L1955" i="1" a="1"/>
  <c r="L1955" i="1"/>
  <c r="F1958" i="1" a="1"/>
  <c r="F1958" i="1"/>
  <c r="M1955" i="1" a="1"/>
  <c r="M1955" i="1" s="1"/>
  <c r="G1955" i="1" a="1"/>
  <c r="G1955" i="1"/>
  <c r="L1957" i="1" a="1"/>
  <c r="L1957" i="1" s="1"/>
  <c r="K1957" i="1" a="1"/>
  <c r="K1957" i="1" s="1"/>
  <c r="P1956" i="1" a="1"/>
  <c r="P1956" i="1"/>
  <c r="M1956" i="1" a="1"/>
  <c r="M1956" i="1" s="1"/>
  <c r="L1956" i="1" a="1"/>
  <c r="L1956" i="1" s="1"/>
  <c r="K1956" i="1" a="1"/>
  <c r="K1956" i="1" s="1"/>
  <c r="O1955" i="1" a="1"/>
  <c r="O1955" i="1" s="1"/>
  <c r="M1953" i="1" a="1"/>
  <c r="M1953" i="1"/>
  <c r="M1951" i="1" a="1"/>
  <c r="M1951" i="1"/>
  <c r="F1951" i="1" a="1"/>
  <c r="F1951" i="1"/>
  <c r="O1950" i="1" a="1"/>
  <c r="O1950" i="1" s="1"/>
  <c r="N1948" i="1" a="1"/>
  <c r="N1948" i="1" s="1"/>
  <c r="J1949" i="1" a="1"/>
  <c r="J1949" i="1"/>
  <c r="H1950" i="1" a="1"/>
  <c r="H1950" i="1"/>
  <c r="L1949" i="1" a="1"/>
  <c r="L1949" i="1"/>
  <c r="K1948" i="1" a="1"/>
  <c r="K1948" i="1"/>
  <c r="M1948" i="1" a="1"/>
  <c r="M1948" i="1"/>
  <c r="M1952" i="1" a="1"/>
  <c r="M1952" i="1" s="1"/>
  <c r="L1952" i="1" a="1"/>
  <c r="L1952" i="1"/>
  <c r="O1951" i="1" a="1"/>
  <c r="O1951" i="1" s="1"/>
  <c r="K1952" i="1" a="1"/>
  <c r="K1952" i="1" s="1"/>
  <c r="O1949" i="1" a="1"/>
  <c r="O1949" i="1" s="1"/>
  <c r="H1951" i="1" a="1"/>
  <c r="H1951" i="1" s="1"/>
  <c r="Q1950" i="1" a="1"/>
  <c r="Q1950" i="1"/>
  <c r="F1949" i="1" a="1"/>
  <c r="F1949" i="1" s="1"/>
  <c r="K1950" i="1" a="1"/>
  <c r="K1950" i="1"/>
  <c r="Q1948" i="1" a="1"/>
  <c r="Q1948" i="1"/>
  <c r="J1948" i="1" a="1"/>
  <c r="J1948" i="1" s="1"/>
  <c r="P1950" i="1" a="1"/>
  <c r="P1950" i="1"/>
  <c r="P1949" i="1" a="1"/>
  <c r="P1949" i="1"/>
  <c r="N1950" i="1" a="1"/>
  <c r="N1950" i="1"/>
  <c r="K1949" i="1" a="1"/>
  <c r="K1949" i="1"/>
  <c r="G1949" i="1" a="1"/>
  <c r="G1949" i="1"/>
  <c r="I1949" i="1" a="1"/>
  <c r="I1949" i="1" s="1"/>
  <c r="H1949" i="1" a="1"/>
  <c r="H1949" i="1" s="1"/>
  <c r="F1950" i="1" a="1"/>
  <c r="F1950" i="1" s="1"/>
  <c r="M1950" i="1" a="1"/>
  <c r="M1950" i="1" s="1"/>
  <c r="M1949" i="1" a="1"/>
  <c r="M1949" i="1" s="1"/>
  <c r="N1951" i="1" a="1"/>
  <c r="N1951" i="1"/>
  <c r="K1953" i="1" a="1"/>
  <c r="K1953" i="1" s="1"/>
  <c r="J1953" i="1" a="1"/>
  <c r="J1953" i="1" s="1"/>
  <c r="H1953" i="1" a="1"/>
  <c r="H1953" i="1"/>
  <c r="I1953" i="1" a="1"/>
  <c r="I1953" i="1"/>
  <c r="J1952" i="1" a="1"/>
  <c r="J1952" i="1" s="1"/>
  <c r="G1953" i="1" a="1"/>
  <c r="G1953" i="1" s="1"/>
  <c r="O1952" i="1" a="1"/>
  <c r="O1952" i="1" s="1"/>
  <c r="L1950" i="1" a="1"/>
  <c r="L1950" i="1" s="1"/>
  <c r="J1951" i="1" a="1"/>
  <c r="J1951" i="1" s="1"/>
  <c r="N1949" i="1" a="1"/>
  <c r="N1949" i="1" s="1"/>
  <c r="O1948" i="1" a="1"/>
  <c r="O1948" i="1"/>
  <c r="I1950" i="1" a="1"/>
  <c r="I1950" i="1"/>
  <c r="P1952" i="1" a="1"/>
  <c r="P1952" i="1"/>
  <c r="H1948" i="1" a="1"/>
  <c r="H1948" i="1"/>
  <c r="I1951" i="1" a="1"/>
  <c r="I1951" i="1" s="1"/>
  <c r="G1951" i="1" a="1"/>
  <c r="G1951" i="1"/>
  <c r="G1950" i="1" a="1"/>
  <c r="G1950" i="1"/>
  <c r="L1948" i="1" a="1"/>
  <c r="L1948" i="1" s="1"/>
  <c r="H1952" i="1" a="1"/>
  <c r="H1952" i="1"/>
  <c r="F1952" i="1" a="1"/>
  <c r="F1952" i="1" s="1"/>
  <c r="I1948" i="1" a="1"/>
  <c r="I1948" i="1" s="1"/>
  <c r="L1951" i="1" a="1"/>
  <c r="L1951" i="1" s="1"/>
  <c r="F1953" i="1" a="1"/>
  <c r="F1953" i="1" s="1"/>
  <c r="Q1951" i="1" a="1"/>
  <c r="Q1951" i="1" s="1"/>
  <c r="Q1952" i="1" a="1"/>
  <c r="Q1952" i="1" s="1"/>
  <c r="N1952" i="1" a="1"/>
  <c r="N1952" i="1"/>
  <c r="I1952" i="1" a="1"/>
  <c r="I1952" i="1"/>
  <c r="P1951" i="1" a="1"/>
  <c r="P1951" i="1"/>
  <c r="K1951" i="1" a="1"/>
  <c r="K1951" i="1"/>
  <c r="Q1949" i="1" a="1"/>
  <c r="Q1949" i="1" s="1"/>
  <c r="P1948" i="1" a="1"/>
  <c r="P1948" i="1" s="1"/>
  <c r="G1952" i="1" a="1"/>
  <c r="G1952" i="1"/>
  <c r="J1950" i="1" a="1"/>
  <c r="J1950" i="1"/>
  <c r="P1944" i="1" a="1"/>
  <c r="P1944" i="1" s="1"/>
  <c r="K1943" i="1" a="1"/>
  <c r="K1943" i="1"/>
  <c r="F1948" i="1" a="1"/>
  <c r="F1948" i="1"/>
  <c r="Q1947" i="1" a="1"/>
  <c r="Q1947" i="1"/>
  <c r="O1947" i="1" a="1"/>
  <c r="O1947" i="1" s="1"/>
  <c r="N1947" i="1" a="1"/>
  <c r="N1947" i="1" s="1"/>
  <c r="N1944" i="1" a="1"/>
  <c r="N1944" i="1"/>
  <c r="L1947" i="1" a="1"/>
  <c r="L1947" i="1" s="1"/>
  <c r="H1947" i="1" a="1"/>
  <c r="H1947" i="1"/>
  <c r="K1947" i="1" a="1"/>
  <c r="K1947" i="1" s="1"/>
  <c r="P1943" i="1" a="1"/>
  <c r="P1943" i="1" s="1"/>
  <c r="M1943" i="1" a="1"/>
  <c r="M1943" i="1"/>
  <c r="J1947" i="1" a="1"/>
  <c r="J1947" i="1"/>
  <c r="I1947" i="1" a="1"/>
  <c r="I1947" i="1" s="1"/>
  <c r="G1947" i="1" a="1"/>
  <c r="G1947" i="1"/>
  <c r="P1946" i="1" a="1"/>
  <c r="P1946" i="1" s="1"/>
  <c r="L1946" i="1" a="1"/>
  <c r="L1946" i="1"/>
  <c r="P1942" i="1" a="1"/>
  <c r="P1942" i="1"/>
  <c r="G1945" i="1" a="1"/>
  <c r="G1945" i="1" s="1"/>
  <c r="I1946" i="1" a="1"/>
  <c r="I1946" i="1" s="1"/>
  <c r="G1946" i="1" a="1"/>
  <c r="G1946" i="1" s="1"/>
  <c r="L1945" i="1" a="1"/>
  <c r="L1945" i="1" s="1"/>
  <c r="J1944" i="1" a="1"/>
  <c r="J1944" i="1"/>
  <c r="I1944" i="1" a="1"/>
  <c r="I1944" i="1"/>
  <c r="I1945" i="1" a="1"/>
  <c r="I1945" i="1" s="1"/>
  <c r="Q1944" i="1" a="1"/>
  <c r="Q1944" i="1" s="1"/>
  <c r="G1944" i="1" a="1"/>
  <c r="G1944" i="1" s="1"/>
  <c r="H1943" i="1" a="1"/>
  <c r="H1943" i="1"/>
  <c r="K1945" i="1" a="1"/>
  <c r="K1945" i="1"/>
  <c r="L1943" i="1" a="1"/>
  <c r="L1943" i="1" s="1"/>
  <c r="Q1942" i="1" a="1"/>
  <c r="Q1942" i="1" s="1"/>
  <c r="Q1945" i="1" a="1"/>
  <c r="Q1945" i="1" s="1"/>
  <c r="F1943" i="1" a="1"/>
  <c r="F1943" i="1" s="1"/>
  <c r="F1947" i="1" a="1"/>
  <c r="F1947" i="1" s="1"/>
  <c r="K1946" i="1" a="1"/>
  <c r="K1946" i="1"/>
  <c r="O1946" i="1" a="1"/>
  <c r="O1946" i="1"/>
  <c r="N1946" i="1" a="1"/>
  <c r="N1946" i="1"/>
  <c r="M1946" i="1" a="1"/>
  <c r="M1946" i="1"/>
  <c r="P1945" i="1" a="1"/>
  <c r="P1945" i="1"/>
  <c r="M1945" i="1" a="1"/>
  <c r="M1945" i="1"/>
  <c r="H1945" i="1" a="1"/>
  <c r="H1945" i="1"/>
  <c r="M1944" i="1" a="1"/>
  <c r="M1944" i="1"/>
  <c r="O1945" i="1" a="1"/>
  <c r="O1945" i="1" s="1"/>
  <c r="O1944" i="1" a="1"/>
  <c r="O1944" i="1"/>
  <c r="H1944" i="1" a="1"/>
  <c r="H1944" i="1" s="1"/>
  <c r="H1946" i="1" a="1"/>
  <c r="H1946" i="1" s="1"/>
  <c r="J1945" i="1" a="1"/>
  <c r="J1945" i="1" s="1"/>
  <c r="F1945" i="1" a="1"/>
  <c r="F1945" i="1"/>
  <c r="I1943" i="1" a="1"/>
  <c r="I1943" i="1" s="1"/>
  <c r="F1946" i="1" a="1"/>
  <c r="F1946" i="1"/>
  <c r="F1944" i="1" a="1"/>
  <c r="F1944" i="1"/>
  <c r="N1945" i="1" a="1"/>
  <c r="N1945" i="1"/>
  <c r="J1943" i="1" a="1"/>
  <c r="J1943" i="1"/>
  <c r="Q1943" i="1" a="1"/>
  <c r="Q1943" i="1" s="1"/>
  <c r="O1943" i="1" a="1"/>
  <c r="O1943" i="1" s="1"/>
  <c r="G1948" i="1" a="1"/>
  <c r="G1948" i="1" s="1"/>
  <c r="P1947" i="1" a="1"/>
  <c r="P1947" i="1"/>
  <c r="G1943" i="1" a="1"/>
  <c r="G1943" i="1"/>
  <c r="M1947" i="1" a="1"/>
  <c r="M1947" i="1" s="1"/>
  <c r="K1944" i="1" a="1"/>
  <c r="K1944" i="1" s="1"/>
  <c r="N1943" i="1" a="1"/>
  <c r="N1943" i="1" s="1"/>
  <c r="Q1946" i="1" a="1"/>
  <c r="Q1946" i="1" s="1"/>
  <c r="L1944" i="1" a="1"/>
  <c r="L1944" i="1" s="1"/>
  <c r="J1946" i="1" a="1"/>
  <c r="J1946" i="1" s="1"/>
  <c r="P1938" i="1" a="1"/>
  <c r="P1938" i="1" s="1"/>
  <c r="J1938" i="1" a="1"/>
  <c r="J1938" i="1" s="1"/>
  <c r="P1941" i="1" a="1"/>
  <c r="P1941" i="1" s="1"/>
  <c r="J1941" i="1" a="1"/>
  <c r="J1941" i="1" s="1"/>
  <c r="K1939" i="1" a="1"/>
  <c r="K1939" i="1"/>
  <c r="O1941" i="1" a="1"/>
  <c r="O1941" i="1"/>
  <c r="F1938" i="1" a="1"/>
  <c r="F1938" i="1"/>
  <c r="N1941" i="1" a="1"/>
  <c r="N1941" i="1" s="1"/>
  <c r="I1941" i="1" a="1"/>
  <c r="I1941" i="1"/>
  <c r="L1940" i="1" a="1"/>
  <c r="L1940" i="1"/>
  <c r="O1939" i="1" a="1"/>
  <c r="O1939" i="1" s="1"/>
  <c r="F1939" i="1" a="1"/>
  <c r="F1939" i="1" s="1"/>
  <c r="O1942" i="1" a="1"/>
  <c r="O1942" i="1" s="1"/>
  <c r="I1938" i="1" a="1"/>
  <c r="I1938" i="1" s="1"/>
  <c r="N1942" i="1" a="1"/>
  <c r="N1942" i="1" s="1"/>
  <c r="M1941" i="1" a="1"/>
  <c r="M1941" i="1" s="1"/>
  <c r="N1940" i="1" a="1"/>
  <c r="N1940" i="1" s="1"/>
  <c r="P1939" i="1" a="1"/>
  <c r="P1939" i="1" s="1"/>
  <c r="L1937" i="1" a="1"/>
  <c r="L1937" i="1"/>
  <c r="H1941" i="1" a="1"/>
  <c r="H1941" i="1" s="1"/>
  <c r="M1942" i="1" a="1"/>
  <c r="M1942" i="1" s="1"/>
  <c r="L1942" i="1" a="1"/>
  <c r="L1942" i="1"/>
  <c r="P1940" i="1" a="1"/>
  <c r="P1940" i="1"/>
  <c r="K1940" i="1" a="1"/>
  <c r="K1940" i="1" s="1"/>
  <c r="M1938" i="1" a="1"/>
  <c r="M1938" i="1" s="1"/>
  <c r="O1938" i="1" a="1"/>
  <c r="O1938" i="1" s="1"/>
  <c r="G1940" i="1" a="1"/>
  <c r="G1940" i="1" s="1"/>
  <c r="N1937" i="1" a="1"/>
  <c r="N1937" i="1"/>
  <c r="K1942" i="1" a="1"/>
  <c r="K1942" i="1"/>
  <c r="G1938" i="1" a="1"/>
  <c r="G1938" i="1"/>
  <c r="P1937" i="1" a="1"/>
  <c r="P1937" i="1" s="1"/>
  <c r="J1942" i="1" a="1"/>
  <c r="J1942" i="1"/>
  <c r="O1940" i="1" a="1"/>
  <c r="O1940" i="1"/>
  <c r="M1940" i="1" a="1"/>
  <c r="M1940" i="1"/>
  <c r="Q1939" i="1" a="1"/>
  <c r="Q1939" i="1"/>
  <c r="I1942" i="1" a="1"/>
  <c r="I1942" i="1"/>
  <c r="H1942" i="1" a="1"/>
  <c r="H1942" i="1" s="1"/>
  <c r="G1942" i="1" a="1"/>
  <c r="G1942" i="1"/>
  <c r="F1942" i="1" a="1"/>
  <c r="F1942" i="1" s="1"/>
  <c r="L1941" i="1" a="1"/>
  <c r="L1941" i="1"/>
  <c r="H1938" i="1" a="1"/>
  <c r="H1938" i="1"/>
  <c r="M1937" i="1" a="1"/>
  <c r="M1937" i="1" s="1"/>
  <c r="K1941" i="1" a="1"/>
  <c r="K1941" i="1"/>
  <c r="F1941" i="1" a="1"/>
  <c r="F1941" i="1"/>
  <c r="Q1937" i="1" a="1"/>
  <c r="Q1937" i="1"/>
  <c r="G1941" i="1" a="1"/>
  <c r="G1941" i="1" s="1"/>
  <c r="J1939" i="1" a="1"/>
  <c r="J1939" i="1"/>
  <c r="F1940" i="1" a="1"/>
  <c r="F1940" i="1"/>
  <c r="O1937" i="1" a="1"/>
  <c r="O1937" i="1" s="1"/>
  <c r="N1939" i="1" a="1"/>
  <c r="N1939" i="1" s="1"/>
  <c r="Q1938" i="1" a="1"/>
  <c r="Q1938" i="1"/>
  <c r="M1939" i="1" a="1"/>
  <c r="M1939" i="1"/>
  <c r="H1939" i="1" a="1"/>
  <c r="H1939" i="1" s="1"/>
  <c r="N1938" i="1" a="1"/>
  <c r="N1938" i="1"/>
  <c r="L1938" i="1" a="1"/>
  <c r="L1938" i="1"/>
  <c r="I1940" i="1" a="1"/>
  <c r="I1940" i="1" s="1"/>
  <c r="J1940" i="1" a="1"/>
  <c r="J1940" i="1"/>
  <c r="G1939" i="1" a="1"/>
  <c r="G1939" i="1" s="1"/>
  <c r="K1938" i="1" a="1"/>
  <c r="K1938" i="1" s="1"/>
  <c r="H1940" i="1" a="1"/>
  <c r="H1940" i="1" s="1"/>
  <c r="I1939" i="1" a="1"/>
  <c r="I1939" i="1" s="1"/>
  <c r="Q1940" i="1" a="1"/>
  <c r="Q1940" i="1" s="1"/>
  <c r="Q1941" i="1" a="1"/>
  <c r="Q1941" i="1" s="1"/>
  <c r="L1939" i="1" a="1"/>
  <c r="L1939" i="1"/>
  <c r="N1933" i="1" a="1"/>
  <c r="N1933" i="1"/>
  <c r="M1932" i="1" a="1"/>
  <c r="M1932" i="1" s="1"/>
  <c r="Q1934" i="1" a="1"/>
  <c r="Q1934" i="1" s="1"/>
  <c r="F1937" i="1" a="1"/>
  <c r="F1937" i="1" s="1"/>
  <c r="P1936" i="1" a="1"/>
  <c r="P1936" i="1"/>
  <c r="H1933" i="1" a="1"/>
  <c r="H1933" i="1" s="1"/>
  <c r="M1934" i="1" a="1"/>
  <c r="M1934" i="1" s="1"/>
  <c r="P1932" i="1" a="1"/>
  <c r="P1932" i="1"/>
  <c r="O1936" i="1" a="1"/>
  <c r="O1936" i="1" s="1"/>
  <c r="H1936" i="1" a="1"/>
  <c r="H1936" i="1" s="1"/>
  <c r="G1936" i="1" a="1"/>
  <c r="G1936" i="1" s="1"/>
  <c r="Q1935" i="1" a="1"/>
  <c r="Q1935" i="1" s="1"/>
  <c r="J1935" i="1" a="1"/>
  <c r="J1935" i="1" s="1"/>
  <c r="M1933" i="1" a="1"/>
  <c r="M1933" i="1" s="1"/>
  <c r="J1933" i="1" a="1"/>
  <c r="J1933" i="1" s="1"/>
  <c r="K1933" i="1" a="1"/>
  <c r="K1933" i="1"/>
  <c r="N1935" i="1" a="1"/>
  <c r="N1935" i="1" s="1"/>
  <c r="L1935" i="1" a="1"/>
  <c r="L1935" i="1"/>
  <c r="F1934" i="1" a="1"/>
  <c r="F1934" i="1"/>
  <c r="G1934" i="1" a="1"/>
  <c r="G1934" i="1"/>
  <c r="F1935" i="1" a="1"/>
  <c r="F1935" i="1"/>
  <c r="L1934" i="1" a="1"/>
  <c r="L1934" i="1" s="1"/>
  <c r="I1934" i="1" a="1"/>
  <c r="I1934" i="1"/>
  <c r="P1933" i="1" a="1"/>
  <c r="P1933" i="1" s="1"/>
  <c r="I1933" i="1" a="1"/>
  <c r="I1933" i="1"/>
  <c r="L1932" i="1" a="1"/>
  <c r="L1932" i="1"/>
  <c r="K1932" i="1" a="1"/>
  <c r="K1932" i="1"/>
  <c r="O1932" i="1" a="1"/>
  <c r="O1932" i="1"/>
  <c r="K1937" i="1" a="1"/>
  <c r="K1937" i="1"/>
  <c r="H1937" i="1" a="1"/>
  <c r="H1937" i="1"/>
  <c r="P1934" i="1" a="1"/>
  <c r="P1934" i="1" s="1"/>
  <c r="I1937" i="1" a="1"/>
  <c r="I1937" i="1"/>
  <c r="I1936" i="1" a="1"/>
  <c r="I1936" i="1" s="1"/>
  <c r="K1934" i="1" a="1"/>
  <c r="K1934" i="1"/>
  <c r="N1932" i="1" a="1"/>
  <c r="N1932" i="1" s="1"/>
  <c r="O1934" i="1" a="1"/>
  <c r="O1934" i="1"/>
  <c r="K1936" i="1" a="1"/>
  <c r="K1936" i="1"/>
  <c r="G1933" i="1" a="1"/>
  <c r="G1933" i="1" s="1"/>
  <c r="N1936" i="1" a="1"/>
  <c r="N1936" i="1" s="1"/>
  <c r="G1935" i="1" a="1"/>
  <c r="G1935" i="1" s="1"/>
  <c r="P1935" i="1" a="1"/>
  <c r="P1935" i="1" s="1"/>
  <c r="M1935" i="1" a="1"/>
  <c r="M1935" i="1" s="1"/>
  <c r="Q1936" i="1" a="1"/>
  <c r="Q1936" i="1" s="1"/>
  <c r="M1936" i="1" a="1"/>
  <c r="M1936" i="1" s="1"/>
  <c r="I1932" i="1" a="1"/>
  <c r="I1932" i="1" s="1"/>
  <c r="K1935" i="1" a="1"/>
  <c r="K1935" i="1" s="1"/>
  <c r="I1935" i="1" a="1"/>
  <c r="I1935" i="1"/>
  <c r="Q1932" i="1" a="1"/>
  <c r="Q1932" i="1" s="1"/>
  <c r="F1936" i="1" a="1"/>
  <c r="F1936" i="1" s="1"/>
  <c r="J1932" i="1" a="1"/>
  <c r="J1932" i="1"/>
  <c r="H1932" i="1" a="1"/>
  <c r="H1932" i="1" s="1"/>
  <c r="Q1933" i="1" a="1"/>
  <c r="Q1933" i="1" s="1"/>
  <c r="F1933" i="1" a="1"/>
  <c r="F1933" i="1" s="1"/>
  <c r="L1933" i="1" a="1"/>
  <c r="L1933" i="1"/>
  <c r="H1934" i="1" a="1"/>
  <c r="H1934" i="1" s="1"/>
  <c r="J1936" i="1" a="1"/>
  <c r="J1936" i="1" s="1"/>
  <c r="H1935" i="1" a="1"/>
  <c r="H1935" i="1" s="1"/>
  <c r="O1935" i="1" a="1"/>
  <c r="O1935" i="1"/>
  <c r="O1933" i="1" a="1"/>
  <c r="O1933" i="1" s="1"/>
  <c r="N1934" i="1" a="1"/>
  <c r="N1934" i="1"/>
  <c r="J1937" i="1" a="1"/>
  <c r="J1937" i="1"/>
  <c r="G1937" i="1" a="1"/>
  <c r="G1937" i="1"/>
  <c r="L1936" i="1" a="1"/>
  <c r="L1936" i="1"/>
  <c r="J1934" i="1" a="1"/>
  <c r="J1934" i="1" s="1"/>
  <c r="K1928" i="1" a="1"/>
  <c r="K1928" i="1" s="1"/>
  <c r="M1927" i="1" a="1"/>
  <c r="M1927" i="1"/>
  <c r="F1927" i="1" a="1"/>
  <c r="F1927" i="1" s="1"/>
  <c r="L1931" i="1" a="1"/>
  <c r="L1931" i="1" s="1"/>
  <c r="H1931" i="1" a="1"/>
  <c r="H1931" i="1" s="1"/>
  <c r="K1930" i="1" a="1"/>
  <c r="K1930" i="1"/>
  <c r="G1930" i="1" a="1"/>
  <c r="G1930" i="1"/>
  <c r="L1929" i="1" a="1"/>
  <c r="L1929" i="1" s="1"/>
  <c r="N1927" i="1" a="1"/>
  <c r="N1927" i="1" s="1"/>
  <c r="K1927" i="1" a="1"/>
  <c r="K1927" i="1"/>
  <c r="L1927" i="1" a="1"/>
  <c r="L1927" i="1" s="1"/>
  <c r="O1931" i="1" a="1"/>
  <c r="O1931" i="1"/>
  <c r="K1931" i="1" a="1"/>
  <c r="K1931" i="1" s="1"/>
  <c r="J1927" i="1" a="1"/>
  <c r="J1927" i="1" s="1"/>
  <c r="J1931" i="1" a="1"/>
  <c r="J1931" i="1"/>
  <c r="G1931" i="1" a="1"/>
  <c r="G1931" i="1" s="1"/>
  <c r="H1928" i="1" a="1"/>
  <c r="H1928" i="1" s="1"/>
  <c r="M1930" i="1" a="1"/>
  <c r="M1930" i="1"/>
  <c r="O1930" i="1" a="1"/>
  <c r="O1930" i="1" s="1"/>
  <c r="L1928" i="1" a="1"/>
  <c r="L1928" i="1" s="1"/>
  <c r="I1928" i="1" a="1"/>
  <c r="I1928" i="1" s="1"/>
  <c r="G1927" i="1" a="1"/>
  <c r="G1927" i="1" s="1"/>
  <c r="J1929" i="1" a="1"/>
  <c r="J1929" i="1" s="1"/>
  <c r="H1929" i="1" a="1"/>
  <c r="H1929" i="1" s="1"/>
  <c r="F1930" i="1" a="1"/>
  <c r="F1930" i="1"/>
  <c r="I1929" i="1" a="1"/>
  <c r="I1929" i="1"/>
  <c r="Q1929" i="1" a="1"/>
  <c r="Q1929" i="1" s="1"/>
  <c r="H1927" i="1" a="1"/>
  <c r="H1927" i="1" s="1"/>
  <c r="N1930" i="1" a="1"/>
  <c r="N1930" i="1" s="1"/>
  <c r="L1930" i="1" a="1"/>
  <c r="L1930" i="1" s="1"/>
  <c r="P1926" i="1" a="1"/>
  <c r="P1926" i="1" s="1"/>
  <c r="Q1928" i="1" a="1"/>
  <c r="Q1928" i="1"/>
  <c r="N1928" i="1" a="1"/>
  <c r="N1928" i="1" s="1"/>
  <c r="M1928" i="1" a="1"/>
  <c r="M1928" i="1" s="1"/>
  <c r="G1932" i="1" a="1"/>
  <c r="G1932" i="1" s="1"/>
  <c r="J1930" i="1" a="1"/>
  <c r="J1930" i="1" s="1"/>
  <c r="F1932" i="1" a="1"/>
  <c r="F1932" i="1" s="1"/>
  <c r="Q1931" i="1" a="1"/>
  <c r="Q1931" i="1"/>
  <c r="P1931" i="1" a="1"/>
  <c r="P1931" i="1"/>
  <c r="N1931" i="1" a="1"/>
  <c r="N1931" i="1" s="1"/>
  <c r="G1929" i="1" a="1"/>
  <c r="G1929" i="1"/>
  <c r="Q1930" i="1" a="1"/>
  <c r="Q1930" i="1" s="1"/>
  <c r="H1930" i="1" a="1"/>
  <c r="H1930" i="1" s="1"/>
  <c r="M1929" i="1" a="1"/>
  <c r="M1929" i="1" s="1"/>
  <c r="O1927" i="1" a="1"/>
  <c r="O1927" i="1"/>
  <c r="F1929" i="1" a="1"/>
  <c r="F1929" i="1"/>
  <c r="J1928" i="1" a="1"/>
  <c r="J1928" i="1"/>
  <c r="P1928" i="1" a="1"/>
  <c r="P1928" i="1"/>
  <c r="M1931" i="1" a="1"/>
  <c r="M1931" i="1" s="1"/>
  <c r="O1928" i="1" a="1"/>
  <c r="O1928" i="1"/>
  <c r="G1928" i="1" a="1"/>
  <c r="G1928" i="1" s="1"/>
  <c r="F1928" i="1" a="1"/>
  <c r="F1928" i="1" s="1"/>
  <c r="I1927" i="1" a="1"/>
  <c r="I1927" i="1" s="1"/>
  <c r="F1931" i="1" a="1"/>
  <c r="F1931" i="1"/>
  <c r="I1930" i="1" a="1"/>
  <c r="I1930" i="1"/>
  <c r="N1929" i="1" a="1"/>
  <c r="N1929" i="1"/>
  <c r="P1927" i="1" a="1"/>
  <c r="P1927" i="1"/>
  <c r="P1929" i="1" a="1"/>
  <c r="P1929" i="1"/>
  <c r="O1929" i="1" a="1"/>
  <c r="O1929" i="1"/>
  <c r="Q1927" i="1" a="1"/>
  <c r="Q1927" i="1"/>
  <c r="P1930" i="1" a="1"/>
  <c r="P1930" i="1" s="1"/>
  <c r="I1931" i="1" a="1"/>
  <c r="I1931" i="1" s="1"/>
  <c r="Q1926" i="1" a="1"/>
  <c r="Q1926" i="1"/>
  <c r="K1929" i="1" a="1"/>
  <c r="K1929" i="1"/>
  <c r="O1924" i="1" a="1"/>
  <c r="O1924" i="1" s="1"/>
  <c r="O1921" i="1" a="1"/>
  <c r="O1921" i="1"/>
  <c r="N1923" i="1" a="1"/>
  <c r="N1923" i="1"/>
  <c r="N1922" i="1" a="1"/>
  <c r="N1922" i="1"/>
  <c r="L1924" i="1" a="1"/>
  <c r="L1924" i="1" s="1"/>
  <c r="H1924" i="1" a="1"/>
  <c r="H1924" i="1"/>
  <c r="M1923" i="1" a="1"/>
  <c r="M1923" i="1" s="1"/>
  <c r="L1923" i="1" a="1"/>
  <c r="L1923" i="1"/>
  <c r="Q1922" i="1" a="1"/>
  <c r="Q1922" i="1"/>
  <c r="O1922" i="1" a="1"/>
  <c r="O1922" i="1"/>
  <c r="J1922" i="1" a="1"/>
  <c r="J1922" i="1" s="1"/>
  <c r="H1922" i="1" a="1"/>
  <c r="H1922" i="1" s="1"/>
  <c r="K1924" i="1" a="1"/>
  <c r="K1924" i="1" s="1"/>
  <c r="K1923" i="1" a="1"/>
  <c r="K1923" i="1" s="1"/>
  <c r="L1922" i="1" a="1"/>
  <c r="L1922" i="1" s="1"/>
  <c r="N1921" i="1" a="1"/>
  <c r="N1921" i="1" s="1"/>
  <c r="M1922" i="1" a="1"/>
  <c r="M1922" i="1" s="1"/>
  <c r="M1925" i="1" a="1"/>
  <c r="M1925" i="1" s="1"/>
  <c r="K1925" i="1" a="1"/>
  <c r="K1925" i="1" s="1"/>
  <c r="J1925" i="1" a="1"/>
  <c r="J1925" i="1"/>
  <c r="J1924" i="1" a="1"/>
  <c r="J1924" i="1"/>
  <c r="O1923" i="1" a="1"/>
  <c r="O1923" i="1"/>
  <c r="G1924" i="1" a="1"/>
  <c r="G1924" i="1" s="1"/>
  <c r="F1924" i="1" a="1"/>
  <c r="F1924" i="1"/>
  <c r="I1922" i="1" a="1"/>
  <c r="I1922" i="1"/>
  <c r="G1922" i="1" a="1"/>
  <c r="G1922" i="1" s="1"/>
  <c r="I1925" i="1" a="1"/>
  <c r="I1925" i="1" s="1"/>
  <c r="G1925" i="1" a="1"/>
  <c r="G1925" i="1"/>
  <c r="M1924" i="1" a="1"/>
  <c r="M1924" i="1" s="1"/>
  <c r="F1925" i="1" a="1"/>
  <c r="F1925" i="1"/>
  <c r="P1923" i="1" a="1"/>
  <c r="P1923" i="1"/>
  <c r="I1923" i="1" a="1"/>
  <c r="I1923" i="1"/>
  <c r="L1921" i="1" a="1"/>
  <c r="L1921" i="1"/>
  <c r="K1922" i="1" a="1"/>
  <c r="K1922" i="1" s="1"/>
  <c r="Q1923" i="1" a="1"/>
  <c r="Q1923" i="1"/>
  <c r="P1922" i="1" a="1"/>
  <c r="P1922" i="1"/>
  <c r="O1926" i="1" a="1"/>
  <c r="O1926" i="1"/>
  <c r="M1926" i="1" a="1"/>
  <c r="M1926" i="1" s="1"/>
  <c r="F1926" i="1" a="1"/>
  <c r="F1926" i="1"/>
  <c r="N1924" i="1" a="1"/>
  <c r="N1924" i="1"/>
  <c r="N1925" i="1" a="1"/>
  <c r="N1925" i="1"/>
  <c r="H1923" i="1" a="1"/>
  <c r="H1923" i="1"/>
  <c r="N1926" i="1" a="1"/>
  <c r="N1926" i="1" s="1"/>
  <c r="G1923" i="1" a="1"/>
  <c r="G1923" i="1" s="1"/>
  <c r="L1926" i="1" a="1"/>
  <c r="L1926" i="1" s="1"/>
  <c r="G1926" i="1" a="1"/>
  <c r="G1926" i="1" s="1"/>
  <c r="H1925" i="1" a="1"/>
  <c r="H1925" i="1" s="1"/>
  <c r="M1921" i="1" a="1"/>
  <c r="M1921" i="1" s="1"/>
  <c r="K1926" i="1" a="1"/>
  <c r="K1926" i="1"/>
  <c r="J1926" i="1" a="1"/>
  <c r="J1926" i="1" s="1"/>
  <c r="J1923" i="1" a="1"/>
  <c r="J1923" i="1"/>
  <c r="F1923" i="1" a="1"/>
  <c r="F1923" i="1"/>
  <c r="P1921" i="1" a="1"/>
  <c r="P1921" i="1"/>
  <c r="I1926" i="1" a="1"/>
  <c r="I1926" i="1" s="1"/>
  <c r="I1924" i="1" a="1"/>
  <c r="I1924" i="1"/>
  <c r="H1926" i="1" a="1"/>
  <c r="H1926" i="1"/>
  <c r="Q1925" i="1" a="1"/>
  <c r="Q1925" i="1" s="1"/>
  <c r="F1922" i="1" a="1"/>
  <c r="F1922" i="1"/>
  <c r="P1925" i="1" a="1"/>
  <c r="P1925" i="1"/>
  <c r="Q1921" i="1" a="1"/>
  <c r="Q1921" i="1" s="1"/>
  <c r="O1925" i="1" a="1"/>
  <c r="O1925" i="1"/>
  <c r="L1925" i="1" a="1"/>
  <c r="L1925" i="1"/>
  <c r="Q1924" i="1" a="1"/>
  <c r="Q1924" i="1" s="1"/>
  <c r="P1924" i="1" a="1"/>
  <c r="P1924" i="1"/>
  <c r="K1920" i="1" a="1"/>
  <c r="K1920" i="1" s="1"/>
  <c r="J1920" i="1" a="1"/>
  <c r="J1920" i="1"/>
  <c r="N1918" i="1" a="1"/>
  <c r="N1918" i="1" s="1"/>
  <c r="K1918" i="1" a="1"/>
  <c r="K1918" i="1"/>
  <c r="F1917" i="1" a="1"/>
  <c r="F1917" i="1" s="1"/>
  <c r="G1918" i="1" a="1"/>
  <c r="G1918" i="1"/>
  <c r="H1917" i="1" a="1"/>
  <c r="H1917" i="1" s="1"/>
  <c r="I1920" i="1" a="1"/>
  <c r="I1920" i="1" s="1"/>
  <c r="H1920" i="1" a="1"/>
  <c r="H1920" i="1" s="1"/>
  <c r="F1920" i="1" a="1"/>
  <c r="F1920" i="1" s="1"/>
  <c r="Q1919" i="1" a="1"/>
  <c r="Q1919" i="1" s="1"/>
  <c r="P1919" i="1" a="1"/>
  <c r="P1919" i="1" s="1"/>
  <c r="Q1918" i="1" a="1"/>
  <c r="Q1918" i="1" s="1"/>
  <c r="P1918" i="1" a="1"/>
  <c r="P1918" i="1"/>
  <c r="I1918" i="1" a="1"/>
  <c r="I1918" i="1" s="1"/>
  <c r="K1917" i="1" a="1"/>
  <c r="K1917" i="1" s="1"/>
  <c r="K1916" i="1" a="1"/>
  <c r="K1916" i="1" s="1"/>
  <c r="I1916" i="1" a="1"/>
  <c r="I1916" i="1"/>
  <c r="P1917" i="1" a="1"/>
  <c r="P1917" i="1"/>
  <c r="I1919" i="1" a="1"/>
  <c r="I1919" i="1"/>
  <c r="L1917" i="1" a="1"/>
  <c r="L1917" i="1" s="1"/>
  <c r="J1918" i="1" a="1"/>
  <c r="J1918" i="1" s="1"/>
  <c r="M1917" i="1" a="1"/>
  <c r="M1917" i="1" s="1"/>
  <c r="G1917" i="1" a="1"/>
  <c r="G1917" i="1" s="1"/>
  <c r="O1918" i="1" a="1"/>
  <c r="O1918" i="1" s="1"/>
  <c r="P1916" i="1" a="1"/>
  <c r="P1916" i="1"/>
  <c r="M1918" i="1" a="1"/>
  <c r="M1918" i="1"/>
  <c r="L1916" i="1" a="1"/>
  <c r="L1916" i="1" s="1"/>
  <c r="M1919" i="1" a="1"/>
  <c r="M1919" i="1"/>
  <c r="I1917" i="1" a="1"/>
  <c r="I1917" i="1" s="1"/>
  <c r="Q1916" i="1" a="1"/>
  <c r="Q1916" i="1" s="1"/>
  <c r="H1919" i="1" a="1"/>
  <c r="H1919" i="1"/>
  <c r="J1921" i="1" a="1"/>
  <c r="J1921" i="1"/>
  <c r="G1921" i="1" a="1"/>
  <c r="G1921" i="1"/>
  <c r="N1919" i="1" a="1"/>
  <c r="N1919" i="1" s="1"/>
  <c r="J1919" i="1" a="1"/>
  <c r="J1919" i="1"/>
  <c r="F1921" i="1" a="1"/>
  <c r="F1921" i="1" s="1"/>
  <c r="L1919" i="1" a="1"/>
  <c r="L1919" i="1" s="1"/>
  <c r="L1918" i="1" a="1"/>
  <c r="L1918" i="1" s="1"/>
  <c r="N1917" i="1" a="1"/>
  <c r="N1917" i="1" s="1"/>
  <c r="H1918" i="1" a="1"/>
  <c r="H1918" i="1" s="1"/>
  <c r="J1917" i="1" a="1"/>
  <c r="J1917" i="1" s="1"/>
  <c r="H1916" i="1" a="1"/>
  <c r="H1916" i="1"/>
  <c r="M1920" i="1" a="1"/>
  <c r="M1920" i="1" s="1"/>
  <c r="L1920" i="1" a="1"/>
  <c r="L1920" i="1"/>
  <c r="O1919" i="1" a="1"/>
  <c r="O1919" i="1"/>
  <c r="G1919" i="1" a="1"/>
  <c r="G1919" i="1"/>
  <c r="F1918" i="1" a="1"/>
  <c r="F1918" i="1"/>
  <c r="Q1917" i="1" a="1"/>
  <c r="Q1917" i="1" s="1"/>
  <c r="K1921" i="1" a="1"/>
  <c r="K1921" i="1"/>
  <c r="I1921" i="1" a="1"/>
  <c r="I1921" i="1" s="1"/>
  <c r="H1921" i="1" a="1"/>
  <c r="H1921" i="1"/>
  <c r="F1919" i="1" a="1"/>
  <c r="F1919" i="1" s="1"/>
  <c r="Q1920" i="1" a="1"/>
  <c r="Q1920" i="1" s="1"/>
  <c r="P1920" i="1" a="1"/>
  <c r="P1920" i="1"/>
  <c r="N1916" i="1" a="1"/>
  <c r="N1916" i="1"/>
  <c r="O1917" i="1" a="1"/>
  <c r="O1917" i="1" s="1"/>
  <c r="O1916" i="1" a="1"/>
  <c r="O1916" i="1"/>
  <c r="K1919" i="1" a="1"/>
  <c r="K1919" i="1" s="1"/>
  <c r="J1916" i="1" a="1"/>
  <c r="J1916" i="1" s="1"/>
  <c r="M1916" i="1" a="1"/>
  <c r="M1916" i="1" s="1"/>
  <c r="G1920" i="1" a="1"/>
  <c r="G1920" i="1" s="1"/>
  <c r="O1920" i="1" a="1"/>
  <c r="O1920" i="1" s="1"/>
  <c r="N1920" i="1" a="1"/>
  <c r="N1920" i="1"/>
  <c r="I1912" i="1" a="1"/>
  <c r="I1912" i="1" s="1"/>
  <c r="O1911" i="1" a="1"/>
  <c r="O1911" i="1" s="1"/>
  <c r="F1914" i="1" a="1"/>
  <c r="F1914" i="1" s="1"/>
  <c r="I1913" i="1" a="1"/>
  <c r="I1913" i="1" s="1"/>
  <c r="G1914" i="1" a="1"/>
  <c r="G1914" i="1" s="1"/>
  <c r="M1913" i="1" a="1"/>
  <c r="M1913" i="1" s="1"/>
  <c r="M1912" i="1" a="1"/>
  <c r="M1912" i="1" s="1"/>
  <c r="L1912" i="1" a="1"/>
  <c r="L1912" i="1"/>
  <c r="H1913" i="1" a="1"/>
  <c r="H1913" i="1"/>
  <c r="F1913" i="1" a="1"/>
  <c r="F1913" i="1"/>
  <c r="Q1911" i="1" a="1"/>
  <c r="Q1911" i="1"/>
  <c r="K1911" i="1" a="1"/>
  <c r="K1911" i="1"/>
  <c r="G1916" i="1" a="1"/>
  <c r="G1916" i="1" s="1"/>
  <c r="N1913" i="1" a="1"/>
  <c r="N1913" i="1" s="1"/>
  <c r="F1916" i="1" a="1"/>
  <c r="F1916" i="1" s="1"/>
  <c r="K1915" i="1" a="1"/>
  <c r="K1915" i="1" s="1"/>
  <c r="Q1910" i="1" a="1"/>
  <c r="Q1910" i="1" s="1"/>
  <c r="Q1915" i="1" a="1"/>
  <c r="Q1915" i="1" s="1"/>
  <c r="H1911" i="1" a="1"/>
  <c r="H1911" i="1" s="1"/>
  <c r="J1911" i="1" a="1"/>
  <c r="J1911" i="1"/>
  <c r="P1915" i="1" a="1"/>
  <c r="P1915" i="1"/>
  <c r="H1915" i="1" a="1"/>
  <c r="H1915" i="1" s="1"/>
  <c r="Q1914" i="1" a="1"/>
  <c r="Q1914" i="1"/>
  <c r="G1915" i="1" a="1"/>
  <c r="G1915" i="1" s="1"/>
  <c r="F1912" i="1" a="1"/>
  <c r="F1912" i="1"/>
  <c r="H1912" i="1" a="1"/>
  <c r="H1912" i="1"/>
  <c r="P1912" i="1" a="1"/>
  <c r="P1912" i="1" s="1"/>
  <c r="K1912" i="1" a="1"/>
  <c r="K1912" i="1" s="1"/>
  <c r="O1915" i="1" a="1"/>
  <c r="O1915" i="1" s="1"/>
  <c r="L1914" i="1" a="1"/>
  <c r="L1914" i="1"/>
  <c r="P1911" i="1" a="1"/>
  <c r="P1911" i="1" s="1"/>
  <c r="P1914" i="1" a="1"/>
  <c r="P1914" i="1" s="1"/>
  <c r="N1915" i="1" a="1"/>
  <c r="N1915" i="1" s="1"/>
  <c r="P1910" i="1" a="1"/>
  <c r="P1910" i="1" s="1"/>
  <c r="J1912" i="1" a="1"/>
  <c r="J1912" i="1" s="1"/>
  <c r="M1915" i="1" a="1"/>
  <c r="M1915" i="1" s="1"/>
  <c r="L1915" i="1" a="1"/>
  <c r="L1915" i="1"/>
  <c r="J1915" i="1" a="1"/>
  <c r="J1915" i="1"/>
  <c r="F1915" i="1" a="1"/>
  <c r="F1915" i="1" s="1"/>
  <c r="F1911" i="1" a="1"/>
  <c r="F1911" i="1" s="1"/>
  <c r="Q1912" i="1" a="1"/>
  <c r="Q1912" i="1" s="1"/>
  <c r="O1912" i="1" a="1"/>
  <c r="O1912" i="1" s="1"/>
  <c r="I1915" i="1" a="1"/>
  <c r="I1915" i="1"/>
  <c r="O1914" i="1" a="1"/>
  <c r="O1914" i="1"/>
  <c r="J1914" i="1" a="1"/>
  <c r="J1914" i="1" s="1"/>
  <c r="I1914" i="1" a="1"/>
  <c r="I1914" i="1"/>
  <c r="L1913" i="1" a="1"/>
  <c r="L1913" i="1"/>
  <c r="H1914" i="1" a="1"/>
  <c r="H1914" i="1"/>
  <c r="I1911" i="1" a="1"/>
  <c r="I1911" i="1"/>
  <c r="Q1913" i="1" a="1"/>
  <c r="Q1913" i="1"/>
  <c r="G1913" i="1" a="1"/>
  <c r="G1913" i="1" s="1"/>
  <c r="P1913" i="1" a="1"/>
  <c r="P1913" i="1"/>
  <c r="N1911" i="1" a="1"/>
  <c r="N1911" i="1"/>
  <c r="J1913" i="1" a="1"/>
  <c r="J1913" i="1"/>
  <c r="G1912" i="1" a="1"/>
  <c r="G1912" i="1" s="1"/>
  <c r="L1911" i="1" a="1"/>
  <c r="L1911" i="1" s="1"/>
  <c r="G1911" i="1" a="1"/>
  <c r="G1911" i="1" s="1"/>
  <c r="K1913" i="1" a="1"/>
  <c r="K1913" i="1"/>
  <c r="N1912" i="1" a="1"/>
  <c r="N1912" i="1"/>
  <c r="M1911" i="1" a="1"/>
  <c r="M1911" i="1"/>
  <c r="N1914" i="1" a="1"/>
  <c r="N1914" i="1"/>
  <c r="M1914" i="1" a="1"/>
  <c r="M1914" i="1" s="1"/>
  <c r="K1914" i="1" a="1"/>
  <c r="K1914" i="1" s="1"/>
  <c r="O1913" i="1" a="1"/>
  <c r="O1913" i="1" s="1"/>
  <c r="Q1908" i="1" a="1"/>
  <c r="Q1908" i="1" s="1"/>
  <c r="J1908" i="1" a="1"/>
  <c r="J1908" i="1"/>
  <c r="H1907" i="1" a="1"/>
  <c r="H1907" i="1" s="1"/>
  <c r="N1905" i="1" a="1"/>
  <c r="N1905" i="1"/>
  <c r="F1907" i="1" a="1"/>
  <c r="F1907" i="1" s="1"/>
  <c r="N1907" i="1" a="1"/>
  <c r="N1907" i="1" s="1"/>
  <c r="M1907" i="1" a="1"/>
  <c r="M1907" i="1"/>
  <c r="G1906" i="1" a="1"/>
  <c r="G1906" i="1" s="1"/>
  <c r="M1905" i="1" a="1"/>
  <c r="M1905" i="1" s="1"/>
  <c r="I1907" i="1" a="1"/>
  <c r="I1907" i="1"/>
  <c r="P1909" i="1" a="1"/>
  <c r="P1909" i="1" s="1"/>
  <c r="J1909" i="1" a="1"/>
  <c r="J1909" i="1"/>
  <c r="Q1907" i="1" a="1"/>
  <c r="Q1907" i="1" s="1"/>
  <c r="P1907" i="1" a="1"/>
  <c r="P1907" i="1"/>
  <c r="L1907" i="1" a="1"/>
  <c r="L1907" i="1"/>
  <c r="L1905" i="1" a="1"/>
  <c r="L1905" i="1" s="1"/>
  <c r="K1906" i="1" a="1"/>
  <c r="K1906" i="1"/>
  <c r="H1909" i="1" a="1"/>
  <c r="H1909" i="1" s="1"/>
  <c r="P1908" i="1" a="1"/>
  <c r="P1908" i="1" s="1"/>
  <c r="K1907" i="1" a="1"/>
  <c r="K1907" i="1" s="1"/>
  <c r="G1909" i="1" a="1"/>
  <c r="G1909" i="1" s="1"/>
  <c r="H1908" i="1" a="1"/>
  <c r="H1908" i="1" s="1"/>
  <c r="M1908" i="1" a="1"/>
  <c r="M1908" i="1" s="1"/>
  <c r="L1908" i="1" a="1"/>
  <c r="L1908" i="1" s="1"/>
  <c r="O1907" i="1" a="1"/>
  <c r="O1907" i="1" s="1"/>
  <c r="H1910" i="1" a="1"/>
  <c r="H1910" i="1"/>
  <c r="N1909" i="1" a="1"/>
  <c r="N1909" i="1" s="1"/>
  <c r="L1906" i="1" a="1"/>
  <c r="L1906" i="1" s="1"/>
  <c r="F1910" i="1" a="1"/>
  <c r="F1910" i="1" s="1"/>
  <c r="F1909" i="1" a="1"/>
  <c r="F1909" i="1" s="1"/>
  <c r="K1908" i="1" a="1"/>
  <c r="K1908" i="1"/>
  <c r="G1908" i="1" a="1"/>
  <c r="G1908" i="1" s="1"/>
  <c r="O1910" i="1" a="1"/>
  <c r="O1910" i="1" s="1"/>
  <c r="N1910" i="1" a="1"/>
  <c r="N1910" i="1" s="1"/>
  <c r="M1910" i="1" a="1"/>
  <c r="M1910" i="1"/>
  <c r="J1910" i="1" a="1"/>
  <c r="J1910" i="1"/>
  <c r="Q1906" i="1" a="1"/>
  <c r="Q1906" i="1" s="1"/>
  <c r="O1909" i="1" a="1"/>
  <c r="O1909" i="1" s="1"/>
  <c r="M1909" i="1" a="1"/>
  <c r="M1909" i="1" s="1"/>
  <c r="I1908" i="1" a="1"/>
  <c r="I1908" i="1"/>
  <c r="I1906" i="1" a="1"/>
  <c r="I1906" i="1"/>
  <c r="J1907" i="1" a="1"/>
  <c r="J1907" i="1" s="1"/>
  <c r="F1906" i="1" a="1"/>
  <c r="F1906" i="1"/>
  <c r="F1908" i="1" a="1"/>
  <c r="F1908" i="1"/>
  <c r="G1907" i="1" a="1"/>
  <c r="G1907" i="1" s="1"/>
  <c r="N1906" i="1" a="1"/>
  <c r="N1906" i="1"/>
  <c r="Q1905" i="1" a="1"/>
  <c r="Q1905" i="1" s="1"/>
  <c r="L1910" i="1" a="1"/>
  <c r="L1910" i="1"/>
  <c r="K1910" i="1" a="1"/>
  <c r="K1910" i="1" s="1"/>
  <c r="I1910" i="1" a="1"/>
  <c r="I1910" i="1"/>
  <c r="G1910" i="1" a="1"/>
  <c r="G1910" i="1"/>
  <c r="Q1909" i="1" a="1"/>
  <c r="Q1909" i="1" s="1"/>
  <c r="L1909" i="1" a="1"/>
  <c r="L1909" i="1" s="1"/>
  <c r="I1909" i="1" a="1"/>
  <c r="I1909" i="1" s="1"/>
  <c r="O1908" i="1" a="1"/>
  <c r="O1908" i="1" s="1"/>
  <c r="O1906" i="1" a="1"/>
  <c r="O1906" i="1" s="1"/>
  <c r="O1905" i="1" a="1"/>
  <c r="O1905" i="1" s="1"/>
  <c r="J1906" i="1" a="1"/>
  <c r="J1906" i="1" s="1"/>
  <c r="H1906" i="1" a="1"/>
  <c r="H1906" i="1"/>
  <c r="P1905" i="1" a="1"/>
  <c r="P1905" i="1"/>
  <c r="M1906" i="1" a="1"/>
  <c r="M1906" i="1" s="1"/>
  <c r="N1908" i="1" a="1"/>
  <c r="N1908" i="1" s="1"/>
  <c r="P1906" i="1" a="1"/>
  <c r="P1906" i="1" s="1"/>
  <c r="K1909" i="1" a="1"/>
  <c r="K1909" i="1" s="1"/>
  <c r="J1905" i="1" a="1"/>
  <c r="J1905" i="1" s="1"/>
  <c r="P1904" i="1" a="1"/>
  <c r="P1904" i="1" s="1"/>
  <c r="K1905" i="1" a="1"/>
  <c r="K1905" i="1"/>
  <c r="O1904" i="1" a="1"/>
  <c r="O1904" i="1" s="1"/>
  <c r="M1904" i="1" a="1"/>
  <c r="M1904" i="1"/>
  <c r="I1904" i="1" a="1"/>
  <c r="I1904" i="1" s="1"/>
  <c r="F1904" i="1" a="1"/>
  <c r="F1904" i="1" s="1"/>
  <c r="I1905" i="1" a="1"/>
  <c r="I1905" i="1"/>
  <c r="H1905" i="1" a="1"/>
  <c r="H1905" i="1"/>
  <c r="K1904" i="1" a="1"/>
  <c r="K1904" i="1" s="1"/>
  <c r="J1904" i="1" a="1"/>
  <c r="J1904" i="1" s="1"/>
  <c r="G1905" i="1" a="1"/>
  <c r="G1905" i="1" s="1"/>
  <c r="G1904" i="1" a="1"/>
  <c r="G1904" i="1"/>
  <c r="N1904" i="1" a="1"/>
  <c r="N1904" i="1" s="1"/>
  <c r="F1905" i="1" a="1"/>
  <c r="F1905" i="1" s="1"/>
  <c r="Q1904" i="1" a="1"/>
  <c r="Q1904" i="1" s="1"/>
  <c r="L1904" i="1" a="1"/>
  <c r="L1904" i="1" s="1"/>
  <c r="H1904" i="1" a="1"/>
  <c r="H1904" i="1" s="1"/>
  <c r="G2118" i="1" a="1"/>
  <c r="G2118" i="1" s="1"/>
  <c r="I2116" i="1" a="1"/>
  <c r="I2116" i="1" s="1"/>
  <c r="P2120" i="1" a="1"/>
  <c r="P2120" i="1" s="1"/>
  <c r="O2115" i="1" a="1"/>
  <c r="O2115" i="1" s="1"/>
  <c r="L2117" i="1" a="1"/>
  <c r="L2117" i="1" s="1"/>
  <c r="P2116" i="1" a="1"/>
  <c r="P2116" i="1" s="1"/>
  <c r="G2117" i="1" a="1"/>
  <c r="G2117" i="1" s="1"/>
  <c r="M2119" i="1" a="1"/>
  <c r="M2119" i="1"/>
  <c r="O2120" i="1" a="1"/>
  <c r="O2120" i="1" s="1"/>
  <c r="N2116" i="1" a="1"/>
  <c r="N2116" i="1" s="1"/>
  <c r="N2120" i="1" a="1"/>
  <c r="N2120" i="1" s="1"/>
  <c r="M2120" i="1" a="1"/>
  <c r="M2120" i="1"/>
  <c r="K2120" i="1" a="1"/>
  <c r="K2120" i="1" s="1"/>
  <c r="M2116" i="1" a="1"/>
  <c r="M2116" i="1"/>
  <c r="N2117" i="1" a="1"/>
  <c r="N2117" i="1"/>
  <c r="O2117" i="1" a="1"/>
  <c r="O2117" i="1"/>
  <c r="F2117" i="1" a="1"/>
  <c r="F2117" i="1"/>
  <c r="L2120" i="1" a="1"/>
  <c r="L2120" i="1" s="1"/>
  <c r="J2119" i="1" a="1"/>
  <c r="J2119" i="1"/>
  <c r="J2120" i="1" a="1"/>
  <c r="J2120" i="1"/>
  <c r="F2119" i="1" a="1"/>
  <c r="F2119" i="1" s="1"/>
  <c r="G2119" i="1" a="1"/>
  <c r="G2119" i="1"/>
  <c r="P2118" i="1" a="1"/>
  <c r="P2118" i="1" s="1"/>
  <c r="I2120" i="1" a="1"/>
  <c r="I2120" i="1" s="1"/>
  <c r="M2117" i="1" a="1"/>
  <c r="M2117" i="1" s="1"/>
  <c r="G2120" i="1" a="1"/>
  <c r="G2120" i="1" s="1"/>
  <c r="P2119" i="1" a="1"/>
  <c r="P2119" i="1" s="1"/>
  <c r="Q2117" i="1" a="1"/>
  <c r="Q2117" i="1" s="1"/>
  <c r="H2120" i="1" a="1"/>
  <c r="H2120" i="1" s="1"/>
  <c r="K2116" i="1" a="1"/>
  <c r="K2116" i="1" s="1"/>
  <c r="Q2118" i="1" a="1"/>
  <c r="Q2118" i="1"/>
  <c r="O2118" i="1" a="1"/>
  <c r="O2118" i="1"/>
  <c r="F2120" i="1" a="1"/>
  <c r="F2120" i="1" s="1"/>
  <c r="Q2119" i="1" a="1"/>
  <c r="Q2119" i="1" s="1"/>
  <c r="P2117" i="1" a="1"/>
  <c r="P2117" i="1" s="1"/>
  <c r="J2118" i="1" a="1"/>
  <c r="J2118" i="1" s="1"/>
  <c r="H2119" i="1" a="1"/>
  <c r="H2119" i="1" s="1"/>
  <c r="K2117" i="1" a="1"/>
  <c r="K2117" i="1"/>
  <c r="I2117" i="1" a="1"/>
  <c r="I2117" i="1"/>
  <c r="Q2116" i="1" a="1"/>
  <c r="Q2116" i="1"/>
  <c r="O2119" i="1" a="1"/>
  <c r="O2119" i="1"/>
  <c r="H2116" i="1" a="1"/>
  <c r="H2116" i="1" s="1"/>
  <c r="J2117" i="1" a="1"/>
  <c r="J2117" i="1" s="1"/>
  <c r="L2119" i="1" a="1"/>
  <c r="L2119" i="1" s="1"/>
  <c r="K2119" i="1" a="1"/>
  <c r="K2119" i="1" s="1"/>
  <c r="K2118" i="1" a="1"/>
  <c r="K2118" i="1" s="1"/>
  <c r="O2116" i="1" a="1"/>
  <c r="O2116" i="1"/>
  <c r="N2118" i="1" a="1"/>
  <c r="N2118" i="1"/>
  <c r="L2118" i="1" a="1"/>
  <c r="L2118" i="1" s="1"/>
  <c r="M2118" i="1" a="1"/>
  <c r="M2118" i="1"/>
  <c r="F2118" i="1" a="1"/>
  <c r="F2118" i="1"/>
  <c r="H2118" i="1" a="1"/>
  <c r="H2118" i="1" s="1"/>
  <c r="L2116" i="1" a="1"/>
  <c r="L2116" i="1" s="1"/>
  <c r="N2119" i="1" a="1"/>
  <c r="N2119" i="1" s="1"/>
  <c r="I2119" i="1" a="1"/>
  <c r="I2119" i="1" s="1"/>
  <c r="I2118" i="1" a="1"/>
  <c r="I2118" i="1"/>
  <c r="P2115" i="1" a="1"/>
  <c r="P2115" i="1"/>
  <c r="H2117" i="1" a="1"/>
  <c r="H2117" i="1" s="1"/>
  <c r="J2116" i="1" a="1"/>
  <c r="J2116" i="1"/>
  <c r="Q2115" i="1" a="1"/>
  <c r="Q2115" i="1"/>
  <c r="F2116" i="1" a="1"/>
  <c r="F2116" i="1" s="1"/>
  <c r="Q2120" i="1" a="1"/>
  <c r="Q2120" i="1" s="1"/>
  <c r="G2116" i="1" a="1"/>
  <c r="G2116" i="1" s="1"/>
  <c r="F2121" i="1" a="1"/>
  <c r="F2121" i="1"/>
  <c r="N1185" i="1" a="1"/>
  <c r="N1185" i="1"/>
  <c r="O1185" i="1" a="1"/>
  <c r="O1185" i="1"/>
  <c r="L1185" i="1" a="1"/>
  <c r="L1185" i="1"/>
  <c r="G1185" i="1" a="1"/>
  <c r="G1185" i="1"/>
  <c r="K1187" i="1" a="1"/>
  <c r="K1187" i="1" s="1"/>
  <c r="J1187" i="1" a="1"/>
  <c r="J1187" i="1" s="1"/>
  <c r="I1187" i="1" a="1"/>
  <c r="I1187" i="1" s="1"/>
  <c r="H1187" i="1" a="1"/>
  <c r="H1187" i="1"/>
  <c r="G1187" i="1" a="1"/>
  <c r="G1187" i="1" s="1"/>
  <c r="F1185" i="1" a="1"/>
  <c r="F1185" i="1"/>
  <c r="F1187" i="1" a="1"/>
  <c r="F1187" i="1"/>
  <c r="Q1186" i="1" a="1"/>
  <c r="Q1186" i="1"/>
  <c r="N1186" i="1" a="1"/>
  <c r="N1186" i="1" s="1"/>
  <c r="P1186" i="1" a="1"/>
  <c r="P1186" i="1" s="1"/>
  <c r="O1186" i="1" a="1"/>
  <c r="O1186" i="1"/>
  <c r="M1186" i="1" a="1"/>
  <c r="M1186" i="1"/>
  <c r="K1186" i="1" a="1"/>
  <c r="K1186" i="1" s="1"/>
  <c r="P1185" i="1" a="1"/>
  <c r="P1185" i="1" s="1"/>
  <c r="H1186" i="1" a="1"/>
  <c r="H1186" i="1"/>
  <c r="L1186" i="1" a="1"/>
  <c r="L1186" i="1"/>
  <c r="H1185" i="1" a="1"/>
  <c r="H1185" i="1"/>
  <c r="K1185" i="1" a="1"/>
  <c r="K1185" i="1" s="1"/>
  <c r="I1185" i="1" a="1"/>
  <c r="I1185" i="1"/>
  <c r="J1185" i="1" a="1"/>
  <c r="J1185" i="1" s="1"/>
  <c r="J1186" i="1" a="1"/>
  <c r="J1186" i="1"/>
  <c r="M1185" i="1" a="1"/>
  <c r="M1185" i="1"/>
  <c r="I1186" i="1" a="1"/>
  <c r="I1186" i="1" s="1"/>
  <c r="F1186" i="1" a="1"/>
  <c r="F1186" i="1"/>
  <c r="G1186" i="1" a="1"/>
  <c r="G1186" i="1"/>
  <c r="Q1185" i="1" a="1"/>
  <c r="Q1185" i="1"/>
  <c r="J1176" i="1" a="1"/>
  <c r="J1176" i="1"/>
  <c r="M1175" i="1" a="1"/>
  <c r="M1175" i="1" s="1"/>
  <c r="L1178" i="1" a="1"/>
  <c r="L1178" i="1" s="1"/>
  <c r="I1177" i="1" a="1"/>
  <c r="I1177" i="1"/>
  <c r="J1177" i="1" a="1"/>
  <c r="J1177" i="1"/>
  <c r="Q1174" i="1" a="1"/>
  <c r="Q1174" i="1"/>
  <c r="P1175" i="1" a="1"/>
  <c r="P1175" i="1" s="1"/>
  <c r="H1177" i="1" a="1"/>
  <c r="H1177" i="1" s="1"/>
  <c r="I1176" i="1" a="1"/>
  <c r="I1176" i="1" s="1"/>
  <c r="K1175" i="1" a="1"/>
  <c r="K1175" i="1" s="1"/>
  <c r="I1178" i="1" a="1"/>
  <c r="I1178" i="1" s="1"/>
  <c r="M1177" i="1" a="1"/>
  <c r="M1177" i="1" s="1"/>
  <c r="N1176" i="1" a="1"/>
  <c r="N1176" i="1" s="1"/>
  <c r="O1176" i="1" a="1"/>
  <c r="O1176" i="1"/>
  <c r="K1177" i="1" a="1"/>
  <c r="K1177" i="1"/>
  <c r="F1176" i="1" a="1"/>
  <c r="F1176" i="1"/>
  <c r="L1175" i="1" a="1"/>
  <c r="L1175" i="1"/>
  <c r="H1176" i="1" a="1"/>
  <c r="H1176" i="1"/>
  <c r="I1175" i="1" a="1"/>
  <c r="I1175" i="1" s="1"/>
  <c r="O1175" i="1" a="1"/>
  <c r="O1175" i="1" s="1"/>
  <c r="G1178" i="1" a="1"/>
  <c r="G1178" i="1"/>
  <c r="M1176" i="1" a="1"/>
  <c r="M1176" i="1" s="1"/>
  <c r="J1175" i="1" a="1"/>
  <c r="J1175" i="1"/>
  <c r="F1178" i="1" a="1"/>
  <c r="F1178" i="1" s="1"/>
  <c r="P1174" i="1" a="1"/>
  <c r="P1174" i="1" s="1"/>
  <c r="K1176" i="1" a="1"/>
  <c r="K1176" i="1" s="1"/>
  <c r="P1178" i="1" a="1"/>
  <c r="P1178" i="1"/>
  <c r="P1177" i="1" a="1"/>
  <c r="P1177" i="1"/>
  <c r="Q1179" i="1" a="1"/>
  <c r="Q1179" i="1"/>
  <c r="H1178" i="1" a="1"/>
  <c r="H1178" i="1" s="1"/>
  <c r="P1179" i="1" a="1"/>
  <c r="P1179" i="1" s="1"/>
  <c r="O1179" i="1" a="1"/>
  <c r="O1179" i="1"/>
  <c r="N1179" i="1" a="1"/>
  <c r="N1179" i="1" s="1"/>
  <c r="L1179" i="1" a="1"/>
  <c r="L1179" i="1"/>
  <c r="K1179" i="1" a="1"/>
  <c r="K1179" i="1" s="1"/>
  <c r="F1177" i="1" a="1"/>
  <c r="F1177" i="1" s="1"/>
  <c r="J1179" i="1" a="1"/>
  <c r="J1179" i="1" s="1"/>
  <c r="I1179" i="1" a="1"/>
  <c r="I1179" i="1"/>
  <c r="H1179" i="1" a="1"/>
  <c r="H1179" i="1" s="1"/>
  <c r="M1178" i="1" a="1"/>
  <c r="M1178" i="1"/>
  <c r="L1176" i="1" a="1"/>
  <c r="L1176" i="1" s="1"/>
  <c r="N1177" i="1" a="1"/>
  <c r="N1177" i="1" s="1"/>
  <c r="K1178" i="1" a="1"/>
  <c r="K1178" i="1" s="1"/>
  <c r="J1178" i="1" a="1"/>
  <c r="J1178" i="1" s="1"/>
  <c r="Q1175" i="1" a="1"/>
  <c r="Q1175" i="1" s="1"/>
  <c r="Q1177" i="1" a="1"/>
  <c r="Q1177" i="1" s="1"/>
  <c r="O1177" i="1" a="1"/>
  <c r="O1177" i="1" s="1"/>
  <c r="H1175" i="1" a="1"/>
  <c r="H1175" i="1"/>
  <c r="G1177" i="1" a="1"/>
  <c r="G1177" i="1" s="1"/>
  <c r="Q1176" i="1" a="1"/>
  <c r="Q1176" i="1" s="1"/>
  <c r="F1179" i="1" a="1"/>
  <c r="F1179" i="1" s="1"/>
  <c r="G1179" i="1" a="1"/>
  <c r="G1179" i="1" s="1"/>
  <c r="N1178" i="1" a="1"/>
  <c r="N1178" i="1" s="1"/>
  <c r="G1175" i="1" a="1"/>
  <c r="G1175" i="1" s="1"/>
  <c r="L1177" i="1" a="1"/>
  <c r="L1177" i="1" s="1"/>
  <c r="P1176" i="1" a="1"/>
  <c r="P1176" i="1"/>
  <c r="G1176" i="1" a="1"/>
  <c r="G1176" i="1"/>
  <c r="F1175" i="1" a="1"/>
  <c r="F1175" i="1" s="1"/>
  <c r="N1175" i="1" a="1"/>
  <c r="N1175" i="1" s="1"/>
  <c r="M1179" i="1" a="1"/>
  <c r="M1179" i="1" s="1"/>
  <c r="Q1178" i="1" a="1"/>
  <c r="Q1178" i="1" s="1"/>
  <c r="O1178" i="1" a="1"/>
  <c r="O1178" i="1" s="1"/>
  <c r="I1172" i="1" a="1"/>
  <c r="I1172" i="1" s="1"/>
  <c r="F1173" i="1" a="1"/>
  <c r="F1173" i="1" s="1"/>
  <c r="O1172" i="1" a="1"/>
  <c r="O1172" i="1"/>
  <c r="N1169" i="1" a="1"/>
  <c r="N1169" i="1" s="1"/>
  <c r="P1170" i="1" a="1"/>
  <c r="P1170" i="1" s="1"/>
  <c r="L1171" i="1" a="1"/>
  <c r="L1171" i="1"/>
  <c r="H1173" i="1" a="1"/>
  <c r="H1173" i="1" s="1"/>
  <c r="G1170" i="1" a="1"/>
  <c r="G1170" i="1" s="1"/>
  <c r="M1169" i="1" a="1"/>
  <c r="M1169" i="1" s="1"/>
  <c r="Q1170" i="1" a="1"/>
  <c r="Q1170" i="1"/>
  <c r="H1171" i="1" a="1"/>
  <c r="H1171" i="1"/>
  <c r="I1170" i="1" a="1"/>
  <c r="I1170" i="1"/>
  <c r="F1170" i="1" a="1"/>
  <c r="F1170" i="1"/>
  <c r="Q1172" i="1" a="1"/>
  <c r="Q1172" i="1"/>
  <c r="Q1169" i="1" a="1"/>
  <c r="Q1169" i="1" s="1"/>
  <c r="F1172" i="1" a="1"/>
  <c r="F1172" i="1" s="1"/>
  <c r="G1174" i="1" a="1"/>
  <c r="G1174" i="1" s="1"/>
  <c r="L1173" i="1" a="1"/>
  <c r="L1173" i="1" s="1"/>
  <c r="N1170" i="1" a="1"/>
  <c r="N1170" i="1" s="1"/>
  <c r="O1169" i="1" a="1"/>
  <c r="O1169" i="1" s="1"/>
  <c r="M1173" i="1" a="1"/>
  <c r="M1173" i="1" s="1"/>
  <c r="F1171" i="1" a="1"/>
  <c r="F1171" i="1"/>
  <c r="O1170" i="1" a="1"/>
  <c r="O1170" i="1"/>
  <c r="K1172" i="1" a="1"/>
  <c r="K1172" i="1"/>
  <c r="F1174" i="1" a="1"/>
  <c r="F1174" i="1" s="1"/>
  <c r="J1172" i="1" a="1"/>
  <c r="J1172" i="1" s="1"/>
  <c r="L1170" i="1" a="1"/>
  <c r="L1170" i="1"/>
  <c r="M1171" i="1" a="1"/>
  <c r="M1171" i="1"/>
  <c r="O1174" i="1" a="1"/>
  <c r="O1174" i="1"/>
  <c r="H1174" i="1" a="1"/>
  <c r="H1174" i="1" s="1"/>
  <c r="Q1173" i="1" a="1"/>
  <c r="Q1173" i="1" s="1"/>
  <c r="P1173" i="1" a="1"/>
  <c r="P1173" i="1" s="1"/>
  <c r="L1172" i="1" a="1"/>
  <c r="L1172" i="1" s="1"/>
  <c r="G1171" i="1" a="1"/>
  <c r="G1171" i="1"/>
  <c r="O1173" i="1" a="1"/>
  <c r="O1173" i="1" s="1"/>
  <c r="J1171" i="1" a="1"/>
  <c r="J1171" i="1"/>
  <c r="K1170" i="1" a="1"/>
  <c r="K1170" i="1" s="1"/>
  <c r="H1170" i="1" a="1"/>
  <c r="H1170" i="1" s="1"/>
  <c r="P1169" i="1" a="1"/>
  <c r="P1169" i="1"/>
  <c r="I1173" i="1" a="1"/>
  <c r="I1173" i="1"/>
  <c r="N1171" i="1" a="1"/>
  <c r="N1171" i="1" s="1"/>
  <c r="Q1171" i="1" a="1"/>
  <c r="Q1171" i="1" s="1"/>
  <c r="K1174" i="1" a="1"/>
  <c r="K1174" i="1" s="1"/>
  <c r="I1171" i="1" a="1"/>
  <c r="I1171" i="1"/>
  <c r="J1170" i="1" a="1"/>
  <c r="J1170" i="1"/>
  <c r="G1173" i="1" a="1"/>
  <c r="G1173" i="1"/>
  <c r="P1172" i="1" a="1"/>
  <c r="P1172" i="1" s="1"/>
  <c r="G1172" i="1" a="1"/>
  <c r="G1172" i="1" s="1"/>
  <c r="N1174" i="1" a="1"/>
  <c r="N1174" i="1" s="1"/>
  <c r="M1170" i="1" a="1"/>
  <c r="M1170" i="1" s="1"/>
  <c r="L1169" i="1" a="1"/>
  <c r="L1169" i="1" s="1"/>
  <c r="M1174" i="1" a="1"/>
  <c r="M1174" i="1"/>
  <c r="J1174" i="1" a="1"/>
  <c r="J1174" i="1"/>
  <c r="I1174" i="1" a="1"/>
  <c r="I1174" i="1" s="1"/>
  <c r="N1172" i="1" a="1"/>
  <c r="N1172" i="1" s="1"/>
  <c r="O1171" i="1" a="1"/>
  <c r="O1171" i="1"/>
  <c r="H1172" i="1" a="1"/>
  <c r="H1172" i="1"/>
  <c r="P1171" i="1" a="1"/>
  <c r="P1171" i="1"/>
  <c r="L1174" i="1" a="1"/>
  <c r="L1174" i="1"/>
  <c r="K1171" i="1" a="1"/>
  <c r="K1171" i="1" s="1"/>
  <c r="N1173" i="1" a="1"/>
  <c r="N1173" i="1" s="1"/>
  <c r="K1173" i="1" a="1"/>
  <c r="K1173" i="1"/>
  <c r="J1173" i="1" a="1"/>
  <c r="J1173" i="1"/>
  <c r="M1172" i="1" a="1"/>
  <c r="M1172" i="1"/>
  <c r="K1165" i="1" a="1"/>
  <c r="K1165" i="1"/>
  <c r="M1164" i="1" a="1"/>
  <c r="M1164" i="1" s="1"/>
  <c r="K1168" i="1" a="1"/>
  <c r="K1168" i="1" s="1"/>
  <c r="Q1165" i="1" a="1"/>
  <c r="Q1165" i="1" s="1"/>
  <c r="I1165" i="1" a="1"/>
  <c r="I1165" i="1"/>
  <c r="I1169" i="1" a="1"/>
  <c r="I1169" i="1"/>
  <c r="H1169" i="1" a="1"/>
  <c r="H1169" i="1" s="1"/>
  <c r="F1169" i="1" a="1"/>
  <c r="F1169" i="1"/>
  <c r="Q1168" i="1" a="1"/>
  <c r="Q1168" i="1"/>
  <c r="L1166" i="1" a="1"/>
  <c r="L1166" i="1"/>
  <c r="P1168" i="1" a="1"/>
  <c r="P1168" i="1" s="1"/>
  <c r="O1167" i="1" a="1"/>
  <c r="O1167" i="1" s="1"/>
  <c r="Q1167" i="1" a="1"/>
  <c r="Q1167" i="1"/>
  <c r="L1167" i="1" a="1"/>
  <c r="L1167" i="1"/>
  <c r="G1165" i="1" a="1"/>
  <c r="G1165" i="1"/>
  <c r="O1168" i="1" a="1"/>
  <c r="O1168" i="1"/>
  <c r="O1166" i="1" a="1"/>
  <c r="O1166" i="1"/>
  <c r="N1167" i="1" a="1"/>
  <c r="N1167" i="1"/>
  <c r="P1165" i="1" a="1"/>
  <c r="P1165" i="1" s="1"/>
  <c r="I1168" i="1" a="1"/>
  <c r="I1168" i="1" s="1"/>
  <c r="P1167" i="1" a="1"/>
  <c r="P1167" i="1"/>
  <c r="I1167" i="1" a="1"/>
  <c r="I1167" i="1" s="1"/>
  <c r="I1166" i="1" a="1"/>
  <c r="I1166" i="1"/>
  <c r="M1165" i="1" a="1"/>
  <c r="M1165" i="1" s="1"/>
  <c r="G1166" i="1" a="1"/>
  <c r="G1166" i="1" s="1"/>
  <c r="L1165" i="1" a="1"/>
  <c r="L1165" i="1"/>
  <c r="H1165" i="1" a="1"/>
  <c r="H1165" i="1"/>
  <c r="N1164" i="1" a="1"/>
  <c r="N1164" i="1" s="1"/>
  <c r="Q1166" i="1" a="1"/>
  <c r="Q1166" i="1" s="1"/>
  <c r="J1168" i="1" a="1"/>
  <c r="J1168" i="1" s="1"/>
  <c r="J1165" i="1" a="1"/>
  <c r="J1165" i="1" s="1"/>
  <c r="N1168" i="1" a="1"/>
  <c r="N1168" i="1" s="1"/>
  <c r="H1168" i="1" a="1"/>
  <c r="H1168" i="1"/>
  <c r="N1166" i="1" a="1"/>
  <c r="N1166" i="1" s="1"/>
  <c r="J1167" i="1" a="1"/>
  <c r="J1167" i="1"/>
  <c r="F1167" i="1" a="1"/>
  <c r="F1167" i="1"/>
  <c r="O1164" i="1" a="1"/>
  <c r="O1164" i="1" s="1"/>
  <c r="F1165" i="1" a="1"/>
  <c r="F1165" i="1"/>
  <c r="Q1164" i="1" a="1"/>
  <c r="Q1164" i="1" s="1"/>
  <c r="H1166" i="1" a="1"/>
  <c r="H1166" i="1" s="1"/>
  <c r="K1164" i="1" a="1"/>
  <c r="K1164" i="1"/>
  <c r="H1164" i="1" a="1"/>
  <c r="H1164" i="1"/>
  <c r="N1165" i="1" a="1"/>
  <c r="N1165" i="1"/>
  <c r="L1168" i="1" a="1"/>
  <c r="L1168" i="1"/>
  <c r="G1167" i="1" a="1"/>
  <c r="G1167" i="1" s="1"/>
  <c r="M1166" i="1" a="1"/>
  <c r="M1166" i="1"/>
  <c r="I1164" i="1" a="1"/>
  <c r="I1164" i="1"/>
  <c r="L1164" i="1" a="1"/>
  <c r="L1164" i="1" s="1"/>
  <c r="P1166" i="1" a="1"/>
  <c r="P1166" i="1" s="1"/>
  <c r="K1166" i="1" a="1"/>
  <c r="K1166" i="1" s="1"/>
  <c r="J1164" i="1" a="1"/>
  <c r="J1164" i="1" s="1"/>
  <c r="K1167" i="1" a="1"/>
  <c r="K1167" i="1"/>
  <c r="P1164" i="1" a="1"/>
  <c r="P1164" i="1" s="1"/>
  <c r="M1168" i="1" a="1"/>
  <c r="M1168" i="1" s="1"/>
  <c r="G1168" i="1" a="1"/>
  <c r="G1168" i="1"/>
  <c r="K1169" i="1" a="1"/>
  <c r="K1169" i="1" s="1"/>
  <c r="J1169" i="1" a="1"/>
  <c r="J1169" i="1"/>
  <c r="G1169" i="1" a="1"/>
  <c r="G1169" i="1" s="1"/>
  <c r="F1168" i="1" a="1"/>
  <c r="F1168" i="1" s="1"/>
  <c r="M1167" i="1" a="1"/>
  <c r="M1167" i="1" s="1"/>
  <c r="J1166" i="1" a="1"/>
  <c r="J1166" i="1" s="1"/>
  <c r="H1167" i="1" a="1"/>
  <c r="H1167" i="1"/>
  <c r="O1165" i="1" a="1"/>
  <c r="O1165" i="1"/>
  <c r="F1166" i="1" a="1"/>
  <c r="F1166" i="1" s="1"/>
  <c r="Q1162" i="1" a="1"/>
  <c r="Q1162" i="1"/>
  <c r="N1162" i="1" a="1"/>
  <c r="N1162" i="1"/>
  <c r="L1156" i="1" a="1"/>
  <c r="L1156" i="1" s="1"/>
  <c r="N1156" i="1" a="1"/>
  <c r="N1156" i="1" s="1"/>
  <c r="J1156" i="1" a="1"/>
  <c r="J1156" i="1" s="1"/>
  <c r="O1162" i="1" a="1"/>
  <c r="O1162" i="1" s="1"/>
  <c r="I1162" i="1" a="1"/>
  <c r="I1162" i="1"/>
  <c r="M1162" i="1" a="1"/>
  <c r="M1162" i="1" s="1"/>
  <c r="H1162" i="1" a="1"/>
  <c r="H1162" i="1"/>
  <c r="H1156" i="1" a="1"/>
  <c r="H1156" i="1" s="1"/>
  <c r="O1156" i="1" a="1"/>
  <c r="O1156" i="1"/>
  <c r="I1163" i="1" a="1"/>
  <c r="I1163" i="1"/>
  <c r="P1162" i="1" a="1"/>
  <c r="P1162" i="1" s="1"/>
  <c r="M1156" i="1" a="1"/>
  <c r="M1156" i="1" s="1"/>
  <c r="I1156" i="1" a="1"/>
  <c r="I1156" i="1" s="1"/>
  <c r="P1156" i="1" a="1"/>
  <c r="P1156" i="1" s="1"/>
  <c r="F1164" i="1" a="1"/>
  <c r="F1164" i="1" s="1"/>
  <c r="G1162" i="1" a="1"/>
  <c r="G1162" i="1"/>
  <c r="G1164" i="1" a="1"/>
  <c r="G1164" i="1"/>
  <c r="K1162" i="1" a="1"/>
  <c r="K1162" i="1" s="1"/>
  <c r="F1162" i="1" a="1"/>
  <c r="F1162" i="1"/>
  <c r="K1156" i="1" a="1"/>
  <c r="K1156" i="1" s="1"/>
  <c r="Q1156" i="1" a="1"/>
  <c r="Q1156" i="1" s="1"/>
  <c r="Q1163" i="1" a="1"/>
  <c r="Q1163" i="1" s="1"/>
  <c r="O1163" i="1" a="1"/>
  <c r="O1163" i="1" s="1"/>
  <c r="J1162" i="1" a="1"/>
  <c r="J1162" i="1" s="1"/>
  <c r="P1163" i="1" a="1"/>
  <c r="P1163" i="1"/>
  <c r="N1163" i="1" a="1"/>
  <c r="N1163" i="1"/>
  <c r="M1163" i="1" a="1"/>
  <c r="M1163" i="1"/>
  <c r="F1163" i="1" a="1"/>
  <c r="F1163" i="1" s="1"/>
  <c r="L1163" i="1" a="1"/>
  <c r="L1163" i="1" s="1"/>
  <c r="K1163" i="1" a="1"/>
  <c r="K1163" i="1" s="1"/>
  <c r="J1163" i="1" a="1"/>
  <c r="J1163" i="1" s="1"/>
  <c r="G1163" i="1" a="1"/>
  <c r="G1163" i="1" s="1"/>
  <c r="L1162" i="1" a="1"/>
  <c r="L1162" i="1"/>
  <c r="H1163" i="1" a="1"/>
  <c r="H1163" i="1"/>
  <c r="P1149" i="1" a="1"/>
  <c r="P1149" i="1" s="1"/>
  <c r="J1154" i="1" a="1"/>
  <c r="J1154" i="1" s="1"/>
  <c r="O1154" i="1" a="1"/>
  <c r="O1154" i="1" s="1"/>
  <c r="J1153" i="1" a="1"/>
  <c r="J1153" i="1"/>
  <c r="L1153" i="1" a="1"/>
  <c r="L1153" i="1"/>
  <c r="K1154" i="1" a="1"/>
  <c r="K1154" i="1" s="1"/>
  <c r="K1149" i="1" a="1"/>
  <c r="K1149" i="1" s="1"/>
  <c r="G1149" i="1" a="1"/>
  <c r="G1149" i="1"/>
  <c r="P1153" i="1" a="1"/>
  <c r="P1153" i="1" s="1"/>
  <c r="H1150" i="1" a="1"/>
  <c r="H1150" i="1" s="1"/>
  <c r="O1150" i="1" a="1"/>
  <c r="O1150" i="1"/>
  <c r="G1150" i="1" a="1"/>
  <c r="G1150" i="1"/>
  <c r="I1153" i="1" a="1"/>
  <c r="I1153" i="1"/>
  <c r="Q1150" i="1" a="1"/>
  <c r="Q1150" i="1"/>
  <c r="M1149" i="1" a="1"/>
  <c r="M1149" i="1" s="1"/>
  <c r="F1153" i="1" a="1"/>
  <c r="F1153" i="1"/>
  <c r="I1149" i="1" a="1"/>
  <c r="I1149" i="1"/>
  <c r="N1150" i="1" a="1"/>
  <c r="N1150" i="1"/>
  <c r="I1150" i="1" a="1"/>
  <c r="I1150" i="1"/>
  <c r="P1150" i="1" a="1"/>
  <c r="P1150" i="1" s="1"/>
  <c r="G1156" i="1" a="1"/>
  <c r="G1156" i="1" s="1"/>
  <c r="M1155" i="1" a="1"/>
  <c r="M1155" i="1" s="1"/>
  <c r="N1153" i="1" a="1"/>
  <c r="N1153" i="1" s="1"/>
  <c r="F1156" i="1" a="1"/>
  <c r="F1156" i="1" s="1"/>
  <c r="Q1155" i="1" a="1"/>
  <c r="Q1155" i="1" s="1"/>
  <c r="P1155" i="1" a="1"/>
  <c r="P1155" i="1" s="1"/>
  <c r="O1155" i="1" a="1"/>
  <c r="O1155" i="1" s="1"/>
  <c r="N1155" i="1" a="1"/>
  <c r="N1155" i="1" s="1"/>
  <c r="L1155" i="1" a="1"/>
  <c r="L1155" i="1" s="1"/>
  <c r="I1155" i="1" a="1"/>
  <c r="I1155" i="1" s="1"/>
  <c r="L1154" i="1" a="1"/>
  <c r="L1154" i="1"/>
  <c r="G1154" i="1" a="1"/>
  <c r="G1154" i="1"/>
  <c r="K1155" i="1" a="1"/>
  <c r="K1155" i="1"/>
  <c r="F1155" i="1" a="1"/>
  <c r="F1155" i="1" s="1"/>
  <c r="P1154" i="1" a="1"/>
  <c r="P1154" i="1" s="1"/>
  <c r="K1153" i="1" a="1"/>
  <c r="K1153" i="1"/>
  <c r="J1150" i="1" a="1"/>
  <c r="J1150" i="1" s="1"/>
  <c r="H1149" i="1" a="1"/>
  <c r="H1149" i="1" s="1"/>
  <c r="I1154" i="1" a="1"/>
  <c r="I1154" i="1" s="1"/>
  <c r="F1150" i="1" a="1"/>
  <c r="F1150" i="1" s="1"/>
  <c r="G1153" i="1" a="1"/>
  <c r="G1153" i="1" s="1"/>
  <c r="L1150" i="1" a="1"/>
  <c r="L1150" i="1"/>
  <c r="Q1153" i="1" a="1"/>
  <c r="Q1153" i="1"/>
  <c r="O1153" i="1" a="1"/>
  <c r="O1153" i="1"/>
  <c r="N1149" i="1" a="1"/>
  <c r="N1149" i="1"/>
  <c r="L1149" i="1" a="1"/>
  <c r="L1149" i="1"/>
  <c r="F1149" i="1" a="1"/>
  <c r="F1149" i="1"/>
  <c r="K1150" i="1" a="1"/>
  <c r="K1150" i="1" s="1"/>
  <c r="J1155" i="1" a="1"/>
  <c r="J1155" i="1" s="1"/>
  <c r="Q1149" i="1" a="1"/>
  <c r="Q1149" i="1" s="1"/>
  <c r="N1154" i="1" a="1"/>
  <c r="N1154" i="1" s="1"/>
  <c r="F1154" i="1" a="1"/>
  <c r="F1154" i="1" s="1"/>
  <c r="J1149" i="1" a="1"/>
  <c r="J1149" i="1" s="1"/>
  <c r="H1155" i="1" a="1"/>
  <c r="H1155" i="1" s="1"/>
  <c r="O1149" i="1" a="1"/>
  <c r="O1149" i="1"/>
  <c r="M1153" i="1" a="1"/>
  <c r="M1153" i="1" s="1"/>
  <c r="G1155" i="1" a="1"/>
  <c r="G1155" i="1" s="1"/>
  <c r="Q1154" i="1" a="1"/>
  <c r="Q1154" i="1" s="1"/>
  <c r="H1154" i="1" a="1"/>
  <c r="H1154" i="1" s="1"/>
  <c r="M1150" i="1" a="1"/>
  <c r="M1150" i="1"/>
  <c r="H1153" i="1" a="1"/>
  <c r="H1153" i="1"/>
  <c r="M1154" i="1" a="1"/>
  <c r="M1154" i="1"/>
  <c r="G1147" i="1" a="1"/>
  <c r="G1147" i="1" s="1"/>
  <c r="G1146" i="1" a="1"/>
  <c r="G1146" i="1"/>
  <c r="N1148" i="1" a="1"/>
  <c r="N1148" i="1" s="1"/>
  <c r="L1146" i="1" a="1"/>
  <c r="L1146" i="1" s="1"/>
  <c r="M1144" i="1" a="1"/>
  <c r="M1144" i="1"/>
  <c r="O1148" i="1" a="1"/>
  <c r="O1148" i="1" s="1"/>
  <c r="M1148" i="1" a="1"/>
  <c r="M1148" i="1" s="1"/>
  <c r="L1148" i="1" a="1"/>
  <c r="L1148" i="1" s="1"/>
  <c r="K1148" i="1" a="1"/>
  <c r="K1148" i="1" s="1"/>
  <c r="I1148" i="1" a="1"/>
  <c r="I1148" i="1"/>
  <c r="F1148" i="1" a="1"/>
  <c r="F1148" i="1"/>
  <c r="H1144" i="1" a="1"/>
  <c r="H1144" i="1"/>
  <c r="Q1147" i="1" a="1"/>
  <c r="Q1147" i="1"/>
  <c r="K1146" i="1" a="1"/>
  <c r="K1146" i="1"/>
  <c r="J1144" i="1" a="1"/>
  <c r="J1144" i="1" s="1"/>
  <c r="Q1145" i="1" a="1"/>
  <c r="Q1145" i="1"/>
  <c r="O1145" i="1" a="1"/>
  <c r="O1145" i="1" s="1"/>
  <c r="O1144" i="1" a="1"/>
  <c r="O1144" i="1" s="1"/>
  <c r="G1144" i="1" a="1"/>
  <c r="G1144" i="1" s="1"/>
  <c r="Q1144" i="1" a="1"/>
  <c r="Q1144" i="1" s="1"/>
  <c r="P1147" i="1" a="1"/>
  <c r="P1147" i="1"/>
  <c r="I1144" i="1" a="1"/>
  <c r="I1144" i="1" s="1"/>
  <c r="P1145" i="1" a="1"/>
  <c r="P1145" i="1" s="1"/>
  <c r="O1147" i="1" a="1"/>
  <c r="O1147" i="1" s="1"/>
  <c r="N1147" i="1" a="1"/>
  <c r="N1147" i="1" s="1"/>
  <c r="K1145" i="1" a="1"/>
  <c r="K1145" i="1"/>
  <c r="M1145" i="1" a="1"/>
  <c r="M1145" i="1"/>
  <c r="I1145" i="1" a="1"/>
  <c r="I1145" i="1" s="1"/>
  <c r="L1147" i="1" a="1"/>
  <c r="L1147" i="1" s="1"/>
  <c r="L1144" i="1" a="1"/>
  <c r="L1144" i="1"/>
  <c r="M1147" i="1" a="1"/>
  <c r="M1147" i="1" s="1"/>
  <c r="J1147" i="1" a="1"/>
  <c r="J1147" i="1" s="1"/>
  <c r="I1147" i="1" a="1"/>
  <c r="I1147" i="1"/>
  <c r="P1143" i="1" a="1"/>
  <c r="P1143" i="1" s="1"/>
  <c r="Q1146" i="1" a="1"/>
  <c r="Q1146" i="1" s="1"/>
  <c r="H1145" i="1" a="1"/>
  <c r="H1145" i="1" s="1"/>
  <c r="O1146" i="1" a="1"/>
  <c r="O1146" i="1"/>
  <c r="F1145" i="1" a="1"/>
  <c r="F1145" i="1" s="1"/>
  <c r="J1146" i="1" a="1"/>
  <c r="J1146" i="1"/>
  <c r="F1146" i="1" a="1"/>
  <c r="F1146" i="1"/>
  <c r="K1144" i="1" a="1"/>
  <c r="K1144" i="1"/>
  <c r="H1146" i="1" a="1"/>
  <c r="H1146" i="1"/>
  <c r="L1145" i="1" a="1"/>
  <c r="L1145" i="1" s="1"/>
  <c r="J1145" i="1" a="1"/>
  <c r="J1145" i="1" s="1"/>
  <c r="H1147" i="1" a="1"/>
  <c r="H1147" i="1" s="1"/>
  <c r="F1147" i="1" a="1"/>
  <c r="F1147" i="1" s="1"/>
  <c r="M1146" i="1" a="1"/>
  <c r="M1146" i="1"/>
  <c r="N1145" i="1" a="1"/>
  <c r="N1145" i="1"/>
  <c r="K1147" i="1" a="1"/>
  <c r="K1147" i="1"/>
  <c r="G1148" i="1" a="1"/>
  <c r="G1148" i="1" s="1"/>
  <c r="G1145" i="1" a="1"/>
  <c r="G1145" i="1" s="1"/>
  <c r="P1144" i="1" a="1"/>
  <c r="P1144" i="1" s="1"/>
  <c r="H1148" i="1" a="1"/>
  <c r="H1148" i="1"/>
  <c r="Q1148" i="1" a="1"/>
  <c r="Q1148" i="1"/>
  <c r="P1148" i="1" a="1"/>
  <c r="P1148" i="1"/>
  <c r="J1148" i="1" a="1"/>
  <c r="J1148" i="1"/>
  <c r="P1146" i="1" a="1"/>
  <c r="P1146" i="1" s="1"/>
  <c r="N1144" i="1" a="1"/>
  <c r="N1144" i="1"/>
  <c r="Q1143" i="1" a="1"/>
  <c r="Q1143" i="1" s="1"/>
  <c r="F1144" i="1" a="1"/>
  <c r="F1144" i="1" s="1"/>
  <c r="N1146" i="1" a="1"/>
  <c r="N1146" i="1"/>
  <c r="I1146" i="1" a="1"/>
  <c r="I1146" i="1"/>
  <c r="I1142" i="1" a="1"/>
  <c r="I1142" i="1" s="1"/>
  <c r="Q1141" i="1" a="1"/>
  <c r="Q1141" i="1" s="1"/>
  <c r="F1140" i="1" a="1"/>
  <c r="F1140" i="1" s="1"/>
  <c r="P1138" i="1" a="1"/>
  <c r="P1138" i="1"/>
  <c r="J1141" i="1" a="1"/>
  <c r="J1141" i="1"/>
  <c r="M1140" i="1" a="1"/>
  <c r="M1140" i="1"/>
  <c r="J1139" i="1" a="1"/>
  <c r="J1139" i="1"/>
  <c r="K1140" i="1" a="1"/>
  <c r="K1140" i="1" s="1"/>
  <c r="M1139" i="1" a="1"/>
  <c r="M1139" i="1" s="1"/>
  <c r="H1139" i="1" a="1"/>
  <c r="H1139" i="1"/>
  <c r="I1141" i="1" a="1"/>
  <c r="I1141" i="1" s="1"/>
  <c r="H1142" i="1" a="1"/>
  <c r="H1142" i="1" s="1"/>
  <c r="O1141" i="1" a="1"/>
  <c r="O1141" i="1" s="1"/>
  <c r="J1142" i="1" a="1"/>
  <c r="J1142" i="1" s="1"/>
  <c r="O1143" i="1" a="1"/>
  <c r="O1143" i="1" s="1"/>
  <c r="N1143" i="1" a="1"/>
  <c r="N1143" i="1"/>
  <c r="P1139" i="1" a="1"/>
  <c r="P1139" i="1" s="1"/>
  <c r="M1143" i="1" a="1"/>
  <c r="M1143" i="1" s="1"/>
  <c r="O1139" i="1" a="1"/>
  <c r="O1139" i="1" s="1"/>
  <c r="F1142" i="1" a="1"/>
  <c r="F1142" i="1"/>
  <c r="K1141" i="1" a="1"/>
  <c r="K1141" i="1"/>
  <c r="Q1140" i="1" a="1"/>
  <c r="Q1140" i="1"/>
  <c r="N1139" i="1" a="1"/>
  <c r="N1139" i="1" s="1"/>
  <c r="F1141" i="1" a="1"/>
  <c r="F1141" i="1"/>
  <c r="P1140" i="1" a="1"/>
  <c r="P1140" i="1" s="1"/>
  <c r="M1138" i="1" a="1"/>
  <c r="M1138" i="1" s="1"/>
  <c r="L1138" i="1" a="1"/>
  <c r="L1138" i="1" s="1"/>
  <c r="L1143" i="1" a="1"/>
  <c r="L1143" i="1"/>
  <c r="N1138" i="1" a="1"/>
  <c r="N1138" i="1"/>
  <c r="J1143" i="1" a="1"/>
  <c r="J1143" i="1"/>
  <c r="O1140" i="1" a="1"/>
  <c r="O1140" i="1"/>
  <c r="K1143" i="1" a="1"/>
  <c r="K1143" i="1"/>
  <c r="I1143" i="1" a="1"/>
  <c r="I1143" i="1"/>
  <c r="H1143" i="1" a="1"/>
  <c r="H1143" i="1"/>
  <c r="G1143" i="1" a="1"/>
  <c r="G1143" i="1"/>
  <c r="F1143" i="1" a="1"/>
  <c r="F1143" i="1" s="1"/>
  <c r="L1142" i="1" a="1"/>
  <c r="L1142" i="1" s="1"/>
  <c r="K1139" i="1" a="1"/>
  <c r="K1139" i="1"/>
  <c r="K1142" i="1" a="1"/>
  <c r="K1142" i="1" s="1"/>
  <c r="M1142" i="1" a="1"/>
  <c r="M1142" i="1" s="1"/>
  <c r="N1140" i="1" a="1"/>
  <c r="N1140" i="1"/>
  <c r="G1142" i="1" a="1"/>
  <c r="G1142" i="1" s="1"/>
  <c r="I1140" i="1" a="1"/>
  <c r="I1140" i="1" s="1"/>
  <c r="G1140" i="1" a="1"/>
  <c r="G1140" i="1" s="1"/>
  <c r="Q1138" i="1" a="1"/>
  <c r="Q1138" i="1" s="1"/>
  <c r="P1141" i="1" a="1"/>
  <c r="P1141" i="1" s="1"/>
  <c r="F1139" i="1" a="1"/>
  <c r="F1139" i="1"/>
  <c r="G1141" i="1" a="1"/>
  <c r="G1141" i="1"/>
  <c r="H1140" i="1" a="1"/>
  <c r="H1140" i="1"/>
  <c r="Q1139" i="1" a="1"/>
  <c r="Q1139" i="1" s="1"/>
  <c r="L1139" i="1" a="1"/>
  <c r="L1139" i="1" s="1"/>
  <c r="I1139" i="1" a="1"/>
  <c r="I1139" i="1"/>
  <c r="N1141" i="1" a="1"/>
  <c r="N1141" i="1" s="1"/>
  <c r="H1141" i="1" a="1"/>
  <c r="H1141" i="1" s="1"/>
  <c r="G1139" i="1" a="1"/>
  <c r="G1139" i="1" s="1"/>
  <c r="L1141" i="1" a="1"/>
  <c r="L1141" i="1" s="1"/>
  <c r="J1140" i="1" a="1"/>
  <c r="J1140" i="1" s="1"/>
  <c r="Q1142" i="1" a="1"/>
  <c r="Q1142" i="1"/>
  <c r="M1141" i="1" a="1"/>
  <c r="M1141" i="1"/>
  <c r="O1138" i="1" a="1"/>
  <c r="O1138" i="1"/>
  <c r="L1140" i="1" a="1"/>
  <c r="L1140" i="1"/>
  <c r="P1142" i="1" a="1"/>
  <c r="P1142" i="1"/>
  <c r="O1142" i="1" a="1"/>
  <c r="O1142" i="1"/>
  <c r="N1142" i="1" a="1"/>
  <c r="N1142" i="1" s="1"/>
  <c r="H1138" i="1" a="1"/>
  <c r="H1138" i="1" s="1"/>
  <c r="K1138" i="1" a="1"/>
  <c r="K1138" i="1" s="1"/>
  <c r="I1138" i="1" a="1"/>
  <c r="I1138" i="1" s="1"/>
  <c r="J1138" i="1" a="1"/>
  <c r="J1138" i="1" s="1"/>
  <c r="G1138" i="1" a="1"/>
  <c r="G1138" i="1" s="1"/>
  <c r="F1138" i="1" a="1"/>
  <c r="F1138" i="1" s="1"/>
  <c r="I1190" i="1" a="1"/>
  <c r="I1190" i="1"/>
  <c r="O1187" i="1" a="1"/>
  <c r="O1187" i="1"/>
  <c r="M1190" i="1" a="1"/>
  <c r="M1190" i="1"/>
  <c r="M1188" i="1" a="1"/>
  <c r="M1188" i="1" s="1"/>
  <c r="L1188" i="1" a="1"/>
  <c r="L1188" i="1" s="1"/>
  <c r="H1188" i="1" a="1"/>
  <c r="H1188" i="1"/>
  <c r="M1187" i="1" a="1"/>
  <c r="M1187" i="1"/>
  <c r="H1190" i="1" a="1"/>
  <c r="H1190" i="1" s="1"/>
  <c r="H1189" i="1" a="1"/>
  <c r="H1189" i="1" s="1"/>
  <c r="N1189" i="1" a="1"/>
  <c r="N1189" i="1" s="1"/>
  <c r="M1191" i="1" a="1"/>
  <c r="M1191" i="1" s="1"/>
  <c r="L1191" i="1" a="1"/>
  <c r="L1191" i="1" s="1"/>
  <c r="I1191" i="1" a="1"/>
  <c r="I1191" i="1"/>
  <c r="G1190" i="1" a="1"/>
  <c r="G1190" i="1"/>
  <c r="J1188" i="1" a="1"/>
  <c r="J1188" i="1"/>
  <c r="J1189" i="1" a="1"/>
  <c r="J1189" i="1"/>
  <c r="M1189" i="1" a="1"/>
  <c r="M1189" i="1" s="1"/>
  <c r="L1189" i="1" a="1"/>
  <c r="L1189" i="1" s="1"/>
  <c r="P1187" i="1" a="1"/>
  <c r="P1187" i="1" s="1"/>
  <c r="L1187" i="1" a="1"/>
  <c r="L1187" i="1"/>
  <c r="O1188" i="1" a="1"/>
  <c r="O1188" i="1"/>
  <c r="L1190" i="1" a="1"/>
  <c r="L1190" i="1"/>
  <c r="K1190" i="1" a="1"/>
  <c r="K1190" i="1" s="1"/>
  <c r="F1188" i="1" a="1"/>
  <c r="F1188" i="1" s="1"/>
  <c r="I1188" i="1" a="1"/>
  <c r="I1188" i="1" s="1"/>
  <c r="J1190" i="1" a="1"/>
  <c r="J1190" i="1" s="1"/>
  <c r="G1188" i="1" a="1"/>
  <c r="G1188" i="1" s="1"/>
  <c r="O1192" i="1" a="1"/>
  <c r="O1192" i="1"/>
  <c r="O1190" i="1" a="1"/>
  <c r="O1190" i="1" s="1"/>
  <c r="J1192" i="1" a="1"/>
  <c r="J1192" i="1" s="1"/>
  <c r="K1191" i="1" a="1"/>
  <c r="K1191" i="1" s="1"/>
  <c r="N1191" i="1" a="1"/>
  <c r="N1191" i="1" s="1"/>
  <c r="N1192" i="1" a="1"/>
  <c r="N1192" i="1"/>
  <c r="Q1187" i="1" a="1"/>
  <c r="Q1187" i="1"/>
  <c r="M1192" i="1" a="1"/>
  <c r="M1192" i="1"/>
  <c r="G1192" i="1" a="1"/>
  <c r="G1192" i="1" s="1"/>
  <c r="I1192" i="1" a="1"/>
  <c r="I1192" i="1" s="1"/>
  <c r="L1192" i="1" a="1"/>
  <c r="L1192" i="1"/>
  <c r="F1192" i="1" a="1"/>
  <c r="F1192" i="1" s="1"/>
  <c r="O1189" i="1" a="1"/>
  <c r="O1189" i="1" s="1"/>
  <c r="J1191" i="1" a="1"/>
  <c r="J1191" i="1" s="1"/>
  <c r="G1191" i="1" a="1"/>
  <c r="G1191" i="1"/>
  <c r="Q1189" i="1" a="1"/>
  <c r="Q1189" i="1" s="1"/>
  <c r="K1189" i="1" a="1"/>
  <c r="K1189" i="1"/>
  <c r="F1189" i="1" a="1"/>
  <c r="F1189" i="1" s="1"/>
  <c r="P1188" i="1" a="1"/>
  <c r="P1188" i="1" s="1"/>
  <c r="N1187" i="1" a="1"/>
  <c r="N1187" i="1" s="1"/>
  <c r="I1189" i="1" a="1"/>
  <c r="I1189" i="1"/>
  <c r="Q1188" i="1" a="1"/>
  <c r="Q1188" i="1"/>
  <c r="K1188" i="1" a="1"/>
  <c r="K1188" i="1"/>
  <c r="N1190" i="1" a="1"/>
  <c r="N1190" i="1" s="1"/>
  <c r="P1190" i="1" a="1"/>
  <c r="P1190" i="1" s="1"/>
  <c r="F1190" i="1" a="1"/>
  <c r="F1190" i="1" s="1"/>
  <c r="H1192" i="1" a="1"/>
  <c r="H1192" i="1" s="1"/>
  <c r="G1189" i="1" a="1"/>
  <c r="G1189" i="1" s="1"/>
  <c r="P1191" i="1" a="1"/>
  <c r="P1191" i="1"/>
  <c r="P1189" i="1" a="1"/>
  <c r="P1189" i="1"/>
  <c r="K1192" i="1" a="1"/>
  <c r="K1192" i="1" s="1"/>
  <c r="Q1191" i="1" a="1"/>
  <c r="Q1191" i="1" s="1"/>
  <c r="Q1190" i="1" a="1"/>
  <c r="Q1190" i="1" s="1"/>
  <c r="O1191" i="1" a="1"/>
  <c r="O1191" i="1"/>
  <c r="H1191" i="1" a="1"/>
  <c r="H1191" i="1"/>
  <c r="F1191" i="1" a="1"/>
  <c r="F1191" i="1"/>
  <c r="N1188" i="1" a="1"/>
  <c r="N1188" i="1"/>
  <c r="Q1107" i="1"/>
  <c r="O1107" i="1"/>
  <c r="N1107" i="1"/>
  <c r="I1107" i="1"/>
  <c r="O1106" i="1"/>
  <c r="N1106" i="1"/>
  <c r="M1106" i="1"/>
  <c r="L1106" i="1"/>
  <c r="K1106" i="1"/>
  <c r="J1106" i="1"/>
  <c r="F1106" i="1"/>
  <c r="P1104" i="1"/>
  <c r="N1104" i="1"/>
  <c r="M1104" i="1"/>
  <c r="L1104" i="1"/>
  <c r="I1104" i="1"/>
  <c r="Q1102" i="1"/>
  <c r="N1102" i="1"/>
  <c r="F1102" i="1"/>
  <c r="O1100" i="1"/>
  <c r="N1100" i="1"/>
  <c r="L1100" i="1"/>
  <c r="J1100" i="1"/>
  <c r="I1100" i="1"/>
  <c r="H1100" i="1"/>
  <c r="G1100" i="1"/>
  <c r="F1100" i="1"/>
  <c r="Q1094" i="1"/>
  <c r="M1094" i="1"/>
  <c r="G1094" i="1"/>
  <c r="F1094" i="1"/>
  <c r="P1090" i="1"/>
  <c r="O1090" i="1"/>
  <c r="N1090" i="1"/>
  <c r="M1090" i="1"/>
  <c r="K1090" i="1"/>
  <c r="J1090" i="1"/>
  <c r="G1090" i="1"/>
  <c r="Q1089" i="1"/>
  <c r="P1089" i="1"/>
  <c r="O1089" i="1"/>
  <c r="N1089" i="1"/>
  <c r="M1089" i="1"/>
  <c r="L1089" i="1"/>
  <c r="K1089" i="1"/>
  <c r="J1089" i="1"/>
  <c r="I1089" i="1"/>
  <c r="H1089" i="1"/>
  <c r="G1089" i="1"/>
  <c r="J1087" i="1"/>
  <c r="I1087" i="1"/>
  <c r="H1087" i="1"/>
  <c r="F1087" i="1"/>
  <c r="N1085" i="1"/>
  <c r="L1085" i="1"/>
  <c r="K1085" i="1"/>
  <c r="J1085" i="1"/>
  <c r="H1085" i="1"/>
  <c r="F1085" i="1"/>
  <c r="Q1084" i="1"/>
  <c r="P1084" i="1"/>
  <c r="O1084" i="1"/>
  <c r="L1084" i="1"/>
  <c r="J1084" i="1"/>
  <c r="I1084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Q1081" i="1"/>
  <c r="P1081" i="1"/>
  <c r="P1107" i="1" s="1"/>
  <c r="O1081" i="1"/>
  <c r="N1081" i="1"/>
  <c r="M1081" i="1"/>
  <c r="M1107" i="1" s="1"/>
  <c r="L1081" i="1"/>
  <c r="L1107" i="1" s="1"/>
  <c r="K1081" i="1"/>
  <c r="K1107" i="1" s="1"/>
  <c r="J1081" i="1"/>
  <c r="J1107" i="1" s="1"/>
  <c r="I1081" i="1"/>
  <c r="H1081" i="1"/>
  <c r="H1107" i="1" s="1"/>
  <c r="G1081" i="1"/>
  <c r="G1107" i="1" s="1"/>
  <c r="F1081" i="1"/>
  <c r="F1107" i="1" s="1"/>
  <c r="Q1080" i="1"/>
  <c r="Q1106" i="1" s="1"/>
  <c r="P1080" i="1"/>
  <c r="P1106" i="1" s="1"/>
  <c r="O1080" i="1"/>
  <c r="N1080" i="1"/>
  <c r="M1080" i="1"/>
  <c r="L1080" i="1"/>
  <c r="K1080" i="1"/>
  <c r="J1080" i="1"/>
  <c r="I1080" i="1"/>
  <c r="I1106" i="1" s="1"/>
  <c r="H1080" i="1"/>
  <c r="H1106" i="1" s="1"/>
  <c r="G1080" i="1"/>
  <c r="G1106" i="1" s="1"/>
  <c r="F1080" i="1"/>
  <c r="Q1078" i="1"/>
  <c r="Q1104" i="1" s="1"/>
  <c r="P1078" i="1"/>
  <c r="O1078" i="1"/>
  <c r="O1104" i="1" s="1"/>
  <c r="N1078" i="1"/>
  <c r="M1078" i="1"/>
  <c r="L1078" i="1"/>
  <c r="K1078" i="1"/>
  <c r="K1104" i="1" s="1"/>
  <c r="J1078" i="1"/>
  <c r="J1104" i="1" s="1"/>
  <c r="I1078" i="1"/>
  <c r="H1078" i="1"/>
  <c r="H1104" i="1" s="1"/>
  <c r="G1078" i="1"/>
  <c r="G1104" i="1" s="1"/>
  <c r="F1078" i="1"/>
  <c r="F1104" i="1" s="1"/>
  <c r="Q1076" i="1"/>
  <c r="P1076" i="1"/>
  <c r="P1102" i="1" s="1"/>
  <c r="O1076" i="1"/>
  <c r="O1102" i="1" s="1"/>
  <c r="N1076" i="1"/>
  <c r="M1076" i="1"/>
  <c r="M1102" i="1" s="1"/>
  <c r="L1076" i="1"/>
  <c r="L1102" i="1" s="1"/>
  <c r="K1076" i="1"/>
  <c r="K1102" i="1" s="1"/>
  <c r="J1076" i="1"/>
  <c r="J1102" i="1" s="1"/>
  <c r="I1076" i="1"/>
  <c r="I1102" i="1" s="1"/>
  <c r="H1076" i="1"/>
  <c r="H1102" i="1" s="1"/>
  <c r="G1076" i="1"/>
  <c r="G1102" i="1" s="1"/>
  <c r="F1076" i="1"/>
  <c r="Q1074" i="1"/>
  <c r="Q1100" i="1" s="1"/>
  <c r="P1074" i="1"/>
  <c r="P1100" i="1" s="1"/>
  <c r="O1074" i="1"/>
  <c r="N1074" i="1"/>
  <c r="M1074" i="1"/>
  <c r="M1100" i="1" s="1"/>
  <c r="L1074" i="1"/>
  <c r="K1074" i="1"/>
  <c r="K1100" i="1" s="1"/>
  <c r="J1074" i="1"/>
  <c r="I1074" i="1"/>
  <c r="H1074" i="1"/>
  <c r="G1074" i="1"/>
  <c r="F1074" i="1"/>
  <c r="Q1068" i="1"/>
  <c r="P1068" i="1"/>
  <c r="P1094" i="1" s="1"/>
  <c r="O1068" i="1"/>
  <c r="O1094" i="1" s="1"/>
  <c r="N1068" i="1"/>
  <c r="N1094" i="1" s="1"/>
  <c r="M1068" i="1"/>
  <c r="L1068" i="1"/>
  <c r="L1094" i="1" s="1"/>
  <c r="K1068" i="1"/>
  <c r="K1094" i="1" s="1"/>
  <c r="J1068" i="1"/>
  <c r="J1094" i="1" s="1"/>
  <c r="I1068" i="1"/>
  <c r="I1094" i="1" s="1"/>
  <c r="H1068" i="1"/>
  <c r="H1094" i="1" s="1"/>
  <c r="G1068" i="1"/>
  <c r="F1068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Q1064" i="1"/>
  <c r="Q1090" i="1" s="1"/>
  <c r="P1064" i="1"/>
  <c r="O1064" i="1"/>
  <c r="N1064" i="1"/>
  <c r="M1064" i="1"/>
  <c r="L1064" i="1"/>
  <c r="L1090" i="1" s="1"/>
  <c r="K1064" i="1"/>
  <c r="J1064" i="1"/>
  <c r="I1064" i="1"/>
  <c r="I1090" i="1" s="1"/>
  <c r="H1064" i="1"/>
  <c r="H1090" i="1" s="1"/>
  <c r="G1064" i="1"/>
  <c r="F1064" i="1"/>
  <c r="F1090" i="1" s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F1089" i="1" s="1"/>
  <c r="Q1061" i="1"/>
  <c r="Q1087" i="1" s="1"/>
  <c r="P1061" i="1"/>
  <c r="P1087" i="1" s="1"/>
  <c r="O1061" i="1"/>
  <c r="O1087" i="1" s="1"/>
  <c r="N1061" i="1"/>
  <c r="N1087" i="1" s="1"/>
  <c r="M1061" i="1"/>
  <c r="M1087" i="1" s="1"/>
  <c r="L1061" i="1"/>
  <c r="L1087" i="1" s="1"/>
  <c r="K1061" i="1"/>
  <c r="K1087" i="1" s="1"/>
  <c r="J1061" i="1"/>
  <c r="I1061" i="1"/>
  <c r="H1061" i="1"/>
  <c r="G1061" i="1"/>
  <c r="G1087" i="1" s="1"/>
  <c r="F1061" i="1"/>
  <c r="Q1059" i="1"/>
  <c r="Q1085" i="1" s="1"/>
  <c r="P1059" i="1"/>
  <c r="P1085" i="1" s="1"/>
  <c r="O1059" i="1"/>
  <c r="O1085" i="1" s="1"/>
  <c r="N1059" i="1"/>
  <c r="M1059" i="1"/>
  <c r="M1085" i="1" s="1"/>
  <c r="L1059" i="1"/>
  <c r="K1059" i="1"/>
  <c r="J1059" i="1"/>
  <c r="I1059" i="1"/>
  <c r="I1085" i="1" s="1"/>
  <c r="H1059" i="1"/>
  <c r="G1059" i="1"/>
  <c r="G1085" i="1" s="1"/>
  <c r="F1059" i="1"/>
  <c r="Q1058" i="1"/>
  <c r="P1058" i="1"/>
  <c r="O1058" i="1"/>
  <c r="N1058" i="1"/>
  <c r="N1084" i="1" s="1"/>
  <c r="M1058" i="1"/>
  <c r="M1084" i="1" s="1"/>
  <c r="L1058" i="1"/>
  <c r="K1058" i="1"/>
  <c r="K1084" i="1" s="1"/>
  <c r="J1058" i="1"/>
  <c r="I1058" i="1"/>
  <c r="H1058" i="1"/>
  <c r="H1084" i="1" s="1"/>
  <c r="G1058" i="1"/>
  <c r="G1084" i="1" s="1"/>
  <c r="F1058" i="1"/>
  <c r="F1084" i="1" s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Q904" i="1"/>
  <c r="P904" i="1"/>
  <c r="P901" i="1" s="1"/>
  <c r="O904" i="1"/>
  <c r="O901" i="1" s="1"/>
  <c r="N904" i="1"/>
  <c r="N901" i="1" s="1"/>
  <c r="M904" i="1"/>
  <c r="M901" i="1" s="1"/>
  <c r="L904" i="1"/>
  <c r="L901" i="1" s="1"/>
  <c r="K904" i="1"/>
  <c r="K901" i="1" s="1"/>
  <c r="J904" i="1"/>
  <c r="J901" i="1" s="1"/>
  <c r="I904" i="1"/>
  <c r="H904" i="1"/>
  <c r="H901" i="1" s="1"/>
  <c r="G904" i="1"/>
  <c r="F904" i="1"/>
  <c r="Q901" i="1"/>
  <c r="I901" i="1"/>
  <c r="G901" i="1"/>
  <c r="F901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Q895" i="1"/>
  <c r="P895" i="1"/>
  <c r="O895" i="1"/>
  <c r="N895" i="1"/>
  <c r="M895" i="1"/>
  <c r="L895" i="1"/>
  <c r="K895" i="1"/>
  <c r="J895" i="1"/>
  <c r="I895" i="1"/>
  <c r="H895" i="1"/>
  <c r="G895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L2308" i="1" a="1"/>
  <c r="L2308" i="1" s="1"/>
  <c r="H2310" i="1" a="1"/>
  <c r="H2310" i="1" s="1"/>
  <c r="K2312" i="1" a="1"/>
  <c r="K2312" i="1" s="1"/>
  <c r="I2310" i="1" a="1"/>
  <c r="I2310" i="1"/>
  <c r="N2312" i="1" a="1"/>
  <c r="N2312" i="1" s="1"/>
  <c r="P2312" i="1" a="1"/>
  <c r="P2312" i="1"/>
  <c r="G2312" i="1" a="1"/>
  <c r="G2312" i="1"/>
  <c r="N2308" i="1" a="1"/>
  <c r="N2308" i="1" s="1"/>
  <c r="Q2310" i="1" a="1"/>
  <c r="Q2310" i="1" s="1"/>
  <c r="K2310" i="1" a="1"/>
  <c r="K2310" i="1"/>
  <c r="M2308" i="1" a="1"/>
  <c r="M2308" i="1"/>
  <c r="Q2312" i="1" a="1"/>
  <c r="Q2312" i="1"/>
  <c r="M2312" i="1" a="1"/>
  <c r="M2312" i="1" s="1"/>
  <c r="J2312" i="1" a="1"/>
  <c r="J2312" i="1" s="1"/>
  <c r="O2308" i="1" a="1"/>
  <c r="O2308" i="1" s="1"/>
  <c r="F2312" i="1" a="1"/>
  <c r="F2312" i="1"/>
  <c r="G2310" i="1" a="1"/>
  <c r="G2310" i="1" s="1"/>
  <c r="P2310" i="1" a="1"/>
  <c r="P2310" i="1"/>
  <c r="L2310" i="1" a="1"/>
  <c r="L2310" i="1" s="1"/>
  <c r="I2312" i="1" a="1"/>
  <c r="I2312" i="1"/>
  <c r="M2310" i="1" a="1"/>
  <c r="M2310" i="1"/>
  <c r="O2312" i="1" a="1"/>
  <c r="O2312" i="1"/>
  <c r="J2310" i="1" a="1"/>
  <c r="J2310" i="1"/>
  <c r="O2310" i="1" a="1"/>
  <c r="O2310" i="1"/>
  <c r="F2310" i="1" a="1"/>
  <c r="F2310" i="1" s="1"/>
  <c r="J2308" i="1" a="1"/>
  <c r="J2308" i="1" s="1"/>
  <c r="Q2308" i="1" a="1"/>
  <c r="Q2308" i="1" s="1"/>
  <c r="P2308" i="1" a="1"/>
  <c r="P2308" i="1"/>
  <c r="H2312" i="1" a="1"/>
  <c r="H2312" i="1"/>
  <c r="L2312" i="1" a="1"/>
  <c r="L2312" i="1"/>
  <c r="K2308" i="1" a="1"/>
  <c r="K2308" i="1" s="1"/>
  <c r="N2310" i="1" a="1"/>
  <c r="N2310" i="1"/>
  <c r="G2306" i="1" a="1"/>
  <c r="G2306" i="1" s="1"/>
  <c r="L2303" i="1" a="1"/>
  <c r="L2303" i="1"/>
  <c r="G2303" i="1" a="1"/>
  <c r="G2303" i="1"/>
  <c r="F2303" i="1" a="1"/>
  <c r="F2303" i="1" s="1"/>
  <c r="K2302" i="1" a="1"/>
  <c r="K2302" i="1" s="1"/>
  <c r="I2303" i="1" a="1"/>
  <c r="I2303" i="1" s="1"/>
  <c r="L2302" i="1" a="1"/>
  <c r="L2302" i="1"/>
  <c r="I2302" i="1" a="1"/>
  <c r="I2302" i="1" s="1"/>
  <c r="I2308" i="1" a="1"/>
  <c r="I2308" i="1" s="1"/>
  <c r="G2308" i="1" a="1"/>
  <c r="G2308" i="1" s="1"/>
  <c r="O2302" i="1" a="1"/>
  <c r="O2302" i="1" s="1"/>
  <c r="I2306" i="1" a="1"/>
  <c r="I2306" i="1"/>
  <c r="Q2303" i="1" a="1"/>
  <c r="Q2303" i="1"/>
  <c r="F2304" i="1" a="1"/>
  <c r="F2304" i="1"/>
  <c r="F2308" i="1" a="1"/>
  <c r="F2308" i="1" s="1"/>
  <c r="J2304" i="1" a="1"/>
  <c r="J2304" i="1"/>
  <c r="H2303" i="1" a="1"/>
  <c r="H2303" i="1"/>
  <c r="Q2302" i="1" a="1"/>
  <c r="Q2302" i="1"/>
  <c r="Q2306" i="1" a="1"/>
  <c r="Q2306" i="1"/>
  <c r="P2306" i="1" a="1"/>
  <c r="P2306" i="1"/>
  <c r="F2302" i="1" a="1"/>
  <c r="F2302" i="1"/>
  <c r="J2300" i="1" a="1"/>
  <c r="J2300" i="1"/>
  <c r="J2302" i="1" a="1"/>
  <c r="J2302" i="1"/>
  <c r="K2306" i="1" a="1"/>
  <c r="K2306" i="1"/>
  <c r="Q2304" i="1" a="1"/>
  <c r="Q2304" i="1"/>
  <c r="O2306" i="1" a="1"/>
  <c r="O2306" i="1" s="1"/>
  <c r="M2306" i="1" a="1"/>
  <c r="M2306" i="1" s="1"/>
  <c r="K2300" i="1" a="1"/>
  <c r="K2300" i="1"/>
  <c r="J2303" i="1" a="1"/>
  <c r="J2303" i="1" s="1"/>
  <c r="O2304" i="1" a="1"/>
  <c r="O2304" i="1"/>
  <c r="M2304" i="1" a="1"/>
  <c r="M2304" i="1"/>
  <c r="N2303" i="1" a="1"/>
  <c r="N2303" i="1" s="1"/>
  <c r="L2304" i="1" a="1"/>
  <c r="L2304" i="1" s="1"/>
  <c r="K2304" i="1" a="1"/>
  <c r="K2304" i="1" s="1"/>
  <c r="N2302" i="1" a="1"/>
  <c r="N2302" i="1" s="1"/>
  <c r="M2303" i="1" a="1"/>
  <c r="M2303" i="1" s="1"/>
  <c r="H2304" i="1" a="1"/>
  <c r="H2304" i="1" s="1"/>
  <c r="P2303" i="1" a="1"/>
  <c r="P2303" i="1"/>
  <c r="G2304" i="1" a="1"/>
  <c r="G2304" i="1" s="1"/>
  <c r="Q2300" i="1" a="1"/>
  <c r="Q2300" i="1" s="1"/>
  <c r="P2300" i="1" a="1"/>
  <c r="P2300" i="1" s="1"/>
  <c r="P2302" i="1" a="1"/>
  <c r="P2302" i="1"/>
  <c r="G2302" i="1" a="1"/>
  <c r="G2302" i="1" s="1"/>
  <c r="M2300" i="1" a="1"/>
  <c r="M2300" i="1"/>
  <c r="F2306" i="1" a="1"/>
  <c r="F2306" i="1"/>
  <c r="K2303" i="1" a="1"/>
  <c r="K2303" i="1" s="1"/>
  <c r="P2304" i="1" a="1"/>
  <c r="P2304" i="1"/>
  <c r="N2304" i="1" a="1"/>
  <c r="N2304" i="1"/>
  <c r="J2306" i="1" a="1"/>
  <c r="J2306" i="1"/>
  <c r="L2300" i="1" a="1"/>
  <c r="L2300" i="1"/>
  <c r="H2306" i="1" a="1"/>
  <c r="H2306" i="1" s="1"/>
  <c r="O2303" i="1" a="1"/>
  <c r="O2303" i="1"/>
  <c r="N2306" i="1" a="1"/>
  <c r="N2306" i="1"/>
  <c r="L2306" i="1" a="1"/>
  <c r="L2306" i="1"/>
  <c r="M2302" i="1" a="1"/>
  <c r="M2302" i="1"/>
  <c r="H2302" i="1" a="1"/>
  <c r="H2302" i="1"/>
  <c r="O2300" i="1" a="1"/>
  <c r="O2300" i="1" s="1"/>
  <c r="I2304" i="1" a="1"/>
  <c r="I2304" i="1"/>
  <c r="N2300" i="1" a="1"/>
  <c r="N2300" i="1"/>
  <c r="H2308" i="1" a="1"/>
  <c r="H2308" i="1"/>
  <c r="Q2297" i="1" a="1"/>
  <c r="Q2297" i="1" s="1"/>
  <c r="G2292" i="1" a="1"/>
  <c r="G2292" i="1" s="1"/>
  <c r="F2300" i="1" a="1"/>
  <c r="F2300" i="1" s="1"/>
  <c r="K2294" i="1" a="1"/>
  <c r="K2294" i="1" s="1"/>
  <c r="P2298" i="1" a="1"/>
  <c r="P2298" i="1" s="1"/>
  <c r="O2298" i="1" a="1"/>
  <c r="O2298" i="1" s="1"/>
  <c r="I2292" i="1" a="1"/>
  <c r="I2292" i="1" s="1"/>
  <c r="G2297" i="1" a="1"/>
  <c r="G2297" i="1" s="1"/>
  <c r="H2297" i="1" a="1"/>
  <c r="H2297" i="1"/>
  <c r="I2294" i="1" a="1"/>
  <c r="I2294" i="1"/>
  <c r="F2294" i="1" a="1"/>
  <c r="F2294" i="1" s="1"/>
  <c r="O2292" i="1" a="1"/>
  <c r="O2292" i="1"/>
  <c r="L2292" i="1" a="1"/>
  <c r="L2292" i="1"/>
  <c r="I2298" i="1" a="1"/>
  <c r="I2298" i="1" s="1"/>
  <c r="M2298" i="1" a="1"/>
  <c r="M2298" i="1" s="1"/>
  <c r="I2297" i="1" a="1"/>
  <c r="I2297" i="1"/>
  <c r="P2292" i="1" a="1"/>
  <c r="P2292" i="1"/>
  <c r="J2298" i="1" a="1"/>
  <c r="J2298" i="1"/>
  <c r="F2298" i="1" a="1"/>
  <c r="F2298" i="1"/>
  <c r="L2297" i="1" a="1"/>
  <c r="L2297" i="1" s="1"/>
  <c r="H2298" i="1" a="1"/>
  <c r="H2298" i="1"/>
  <c r="M2297" i="1" a="1"/>
  <c r="M2297" i="1" s="1"/>
  <c r="F2297" i="1" a="1"/>
  <c r="F2297" i="1"/>
  <c r="N2294" i="1" a="1"/>
  <c r="N2294" i="1"/>
  <c r="H2294" i="1" a="1"/>
  <c r="H2294" i="1" s="1"/>
  <c r="G2294" i="1" a="1"/>
  <c r="G2294" i="1"/>
  <c r="N2292" i="1" a="1"/>
  <c r="N2292" i="1"/>
  <c r="H2292" i="1" a="1"/>
  <c r="H2292" i="1" s="1"/>
  <c r="M2292" i="1" a="1"/>
  <c r="M2292" i="1"/>
  <c r="P2294" i="1" a="1"/>
  <c r="P2294" i="1" s="1"/>
  <c r="I2300" i="1" a="1"/>
  <c r="I2300" i="1" s="1"/>
  <c r="H2300" i="1" a="1"/>
  <c r="H2300" i="1" s="1"/>
  <c r="G2300" i="1" a="1"/>
  <c r="G2300" i="1" s="1"/>
  <c r="K2298" i="1" a="1"/>
  <c r="K2298" i="1" s="1"/>
  <c r="L2294" i="1" a="1"/>
  <c r="L2294" i="1" s="1"/>
  <c r="N2297" i="1" a="1"/>
  <c r="N2297" i="1" s="1"/>
  <c r="K2292" i="1" a="1"/>
  <c r="K2292" i="1" s="1"/>
  <c r="J2297" i="1" a="1"/>
  <c r="J2297" i="1"/>
  <c r="O2294" i="1" a="1"/>
  <c r="O2294" i="1" s="1"/>
  <c r="Q2292" i="1" a="1"/>
  <c r="Q2292" i="1"/>
  <c r="J2294" i="1" a="1"/>
  <c r="J2294" i="1"/>
  <c r="Q2298" i="1" a="1"/>
  <c r="Q2298" i="1"/>
  <c r="Q2294" i="1" a="1"/>
  <c r="Q2294" i="1"/>
  <c r="J2292" i="1" a="1"/>
  <c r="J2292" i="1"/>
  <c r="N2298" i="1" a="1"/>
  <c r="N2298" i="1"/>
  <c r="L2298" i="1" a="1"/>
  <c r="L2298" i="1"/>
  <c r="P2297" i="1" a="1"/>
  <c r="P2297" i="1"/>
  <c r="O2297" i="1" a="1"/>
  <c r="O2297" i="1"/>
  <c r="K2297" i="1" a="1"/>
  <c r="K2297" i="1" s="1"/>
  <c r="M2294" i="1" a="1"/>
  <c r="M2294" i="1" s="1"/>
  <c r="G2298" i="1" a="1"/>
  <c r="G2298" i="1"/>
  <c r="L2288" i="1" a="1"/>
  <c r="L2288" i="1"/>
  <c r="K2286" i="1" a="1"/>
  <c r="K2286" i="1" s="1"/>
  <c r="I2282" i="1" a="1"/>
  <c r="I2282" i="1"/>
  <c r="O2290" i="1" a="1"/>
  <c r="O2290" i="1"/>
  <c r="M2290" i="1" a="1"/>
  <c r="M2290" i="1" s="1"/>
  <c r="L2284" i="1" a="1"/>
  <c r="L2284" i="1" s="1"/>
  <c r="I2288" i="1" a="1"/>
  <c r="I2288" i="1" s="1"/>
  <c r="O2284" i="1" a="1"/>
  <c r="O2284" i="1" s="1"/>
  <c r="J2284" i="1" a="1"/>
  <c r="J2284" i="1" s="1"/>
  <c r="P2288" i="1" a="1"/>
  <c r="P2288" i="1" s="1"/>
  <c r="F2284" i="1" a="1"/>
  <c r="F2284" i="1" s="1"/>
  <c r="L2290" i="1" a="1"/>
  <c r="L2290" i="1"/>
  <c r="K2290" i="1" a="1"/>
  <c r="K2290" i="1"/>
  <c r="J2290" i="1" a="1"/>
  <c r="J2290" i="1"/>
  <c r="G2290" i="1" a="1"/>
  <c r="G2290" i="1"/>
  <c r="N2288" i="1" a="1"/>
  <c r="N2288" i="1" s="1"/>
  <c r="M2284" i="1" a="1"/>
  <c r="M2284" i="1" s="1"/>
  <c r="H2286" i="1" a="1"/>
  <c r="H2286" i="1"/>
  <c r="M2288" i="1" a="1"/>
  <c r="M2288" i="1" s="1"/>
  <c r="H2288" i="1" a="1"/>
  <c r="H2288" i="1" s="1"/>
  <c r="P2286" i="1" a="1"/>
  <c r="P2286" i="1"/>
  <c r="G2284" i="1" a="1"/>
  <c r="G2284" i="1"/>
  <c r="K2284" i="1" a="1"/>
  <c r="K2284" i="1"/>
  <c r="J2286" i="1" a="1"/>
  <c r="J2286" i="1"/>
  <c r="P2282" i="1" a="1"/>
  <c r="P2282" i="1"/>
  <c r="H2290" i="1" a="1"/>
  <c r="H2290" i="1"/>
  <c r="F2290" i="1" a="1"/>
  <c r="F2290" i="1" s="1"/>
  <c r="Q2286" i="1" a="1"/>
  <c r="Q2286" i="1" s="1"/>
  <c r="O2288" i="1" a="1"/>
  <c r="O2288" i="1"/>
  <c r="G2288" i="1" a="1"/>
  <c r="G2288" i="1" s="1"/>
  <c r="L2282" i="1" a="1"/>
  <c r="L2282" i="1" s="1"/>
  <c r="I2286" i="1" a="1"/>
  <c r="I2286" i="1"/>
  <c r="N2284" i="1" a="1"/>
  <c r="N2284" i="1" s="1"/>
  <c r="I2290" i="1" a="1"/>
  <c r="I2290" i="1" s="1"/>
  <c r="J2288" i="1" a="1"/>
  <c r="J2288" i="1"/>
  <c r="G2286" i="1" a="1"/>
  <c r="G2286" i="1" s="1"/>
  <c r="K2282" i="1" a="1"/>
  <c r="K2282" i="1" s="1"/>
  <c r="F2288" i="1" a="1"/>
  <c r="F2288" i="1" s="1"/>
  <c r="M2286" i="1" a="1"/>
  <c r="M2286" i="1" s="1"/>
  <c r="Q2282" i="1" a="1"/>
  <c r="Q2282" i="1" s="1"/>
  <c r="N2282" i="1" a="1"/>
  <c r="N2282" i="1" s="1"/>
  <c r="J2282" i="1" a="1"/>
  <c r="J2282" i="1"/>
  <c r="H2284" i="1" a="1"/>
  <c r="H2284" i="1"/>
  <c r="Q2284" i="1" a="1"/>
  <c r="Q2284" i="1" s="1"/>
  <c r="F2292" i="1" a="1"/>
  <c r="F2292" i="1" s="1"/>
  <c r="O2282" i="1" a="1"/>
  <c r="O2282" i="1" s="1"/>
  <c r="M2282" i="1" a="1"/>
  <c r="M2282" i="1" s="1"/>
  <c r="K2288" i="1" a="1"/>
  <c r="K2288" i="1"/>
  <c r="H2282" i="1" a="1"/>
  <c r="H2282" i="1" s="1"/>
  <c r="F2286" i="1" a="1"/>
  <c r="F2286" i="1" s="1"/>
  <c r="N2286" i="1" a="1"/>
  <c r="N2286" i="1" s="1"/>
  <c r="P2284" i="1" a="1"/>
  <c r="P2284" i="1"/>
  <c r="L2286" i="1" a="1"/>
  <c r="L2286" i="1"/>
  <c r="I2284" i="1" a="1"/>
  <c r="I2284" i="1"/>
  <c r="N2290" i="1" a="1"/>
  <c r="N2290" i="1"/>
  <c r="Q2288" i="1" a="1"/>
  <c r="Q2288" i="1" s="1"/>
  <c r="O2286" i="1" a="1"/>
  <c r="O2286" i="1" s="1"/>
  <c r="Q2290" i="1" a="1"/>
  <c r="Q2290" i="1" s="1"/>
  <c r="P2290" i="1" a="1"/>
  <c r="P2290" i="1"/>
  <c r="H2278" i="1" a="1"/>
  <c r="H2278" i="1"/>
  <c r="G2277" i="1" a="1"/>
  <c r="G2277" i="1"/>
  <c r="F2282" i="1" a="1"/>
  <c r="F2282" i="1" s="1"/>
  <c r="Q2281" i="1" a="1"/>
  <c r="Q2281" i="1" s="1"/>
  <c r="L2281" i="1" a="1"/>
  <c r="L2281" i="1" s="1"/>
  <c r="O2281" i="1" a="1"/>
  <c r="O2281" i="1" s="1"/>
  <c r="H2280" i="1" a="1"/>
  <c r="H2280" i="1" s="1"/>
  <c r="O2278" i="1" a="1"/>
  <c r="O2278" i="1" s="1"/>
  <c r="N2275" i="1" a="1"/>
  <c r="N2275" i="1" s="1"/>
  <c r="O2277" i="1" a="1"/>
  <c r="O2277" i="1" s="1"/>
  <c r="F2281" i="1" a="1"/>
  <c r="F2281" i="1" s="1"/>
  <c r="L2277" i="1" a="1"/>
  <c r="L2277" i="1" s="1"/>
  <c r="I2275" i="1" a="1"/>
  <c r="I2275" i="1" s="1"/>
  <c r="M2277" i="1" a="1"/>
  <c r="M2277" i="1" s="1"/>
  <c r="M2280" i="1" a="1"/>
  <c r="M2280" i="1" s="1"/>
  <c r="G2278" i="1" a="1"/>
  <c r="G2278" i="1" s="1"/>
  <c r="Q2280" i="1" a="1"/>
  <c r="Q2280" i="1"/>
  <c r="Q2278" i="1" a="1"/>
  <c r="Q2278" i="1" s="1"/>
  <c r="N2280" i="1" a="1"/>
  <c r="N2280" i="1"/>
  <c r="I2277" i="1" a="1"/>
  <c r="I2277" i="1" s="1"/>
  <c r="O2275" i="1" a="1"/>
  <c r="O2275" i="1" s="1"/>
  <c r="J2280" i="1" a="1"/>
  <c r="J2280" i="1"/>
  <c r="M2278" i="1" a="1"/>
  <c r="M2278" i="1"/>
  <c r="K2275" i="1" a="1"/>
  <c r="K2275" i="1"/>
  <c r="Q2277" i="1" a="1"/>
  <c r="Q2277" i="1"/>
  <c r="P2281" i="1" a="1"/>
  <c r="P2281" i="1"/>
  <c r="N2281" i="1" a="1"/>
  <c r="N2281" i="1" s="1"/>
  <c r="F2277" i="1" a="1"/>
  <c r="F2277" i="1" s="1"/>
  <c r="J2281" i="1" a="1"/>
  <c r="J2281" i="1"/>
  <c r="H2281" i="1" a="1"/>
  <c r="H2281" i="1"/>
  <c r="P2278" i="1" a="1"/>
  <c r="P2278" i="1"/>
  <c r="G2281" i="1" a="1"/>
  <c r="G2281" i="1" s="1"/>
  <c r="I2280" i="1" a="1"/>
  <c r="I2280" i="1" s="1"/>
  <c r="G2280" i="1" a="1"/>
  <c r="G2280" i="1"/>
  <c r="J2277" i="1" a="1"/>
  <c r="J2277" i="1" s="1"/>
  <c r="F2280" i="1" a="1"/>
  <c r="F2280" i="1" s="1"/>
  <c r="K2277" i="1" a="1"/>
  <c r="K2277" i="1" s="1"/>
  <c r="J2278" i="1" a="1"/>
  <c r="J2278" i="1" s="1"/>
  <c r="M2275" i="1" a="1"/>
  <c r="M2275" i="1" s="1"/>
  <c r="I2278" i="1" a="1"/>
  <c r="I2278" i="1"/>
  <c r="P2275" i="1" a="1"/>
  <c r="P2275" i="1" s="1"/>
  <c r="M2281" i="1" a="1"/>
  <c r="M2281" i="1"/>
  <c r="K2280" i="1" a="1"/>
  <c r="K2280" i="1"/>
  <c r="F2278" i="1" a="1"/>
  <c r="F2278" i="1"/>
  <c r="P2277" i="1" a="1"/>
  <c r="P2277" i="1" s="1"/>
  <c r="I2281" i="1" a="1"/>
  <c r="I2281" i="1" s="1"/>
  <c r="O2280" i="1" a="1"/>
  <c r="O2280" i="1" s="1"/>
  <c r="L2278" i="1" a="1"/>
  <c r="L2278" i="1"/>
  <c r="K2278" i="1" a="1"/>
  <c r="K2278" i="1" s="1"/>
  <c r="J2275" i="1" a="1"/>
  <c r="J2275" i="1"/>
  <c r="H2275" i="1" a="1"/>
  <c r="H2275" i="1"/>
  <c r="K2281" i="1" a="1"/>
  <c r="K2281" i="1"/>
  <c r="L2280" i="1" a="1"/>
  <c r="L2280" i="1"/>
  <c r="H2277" i="1" a="1"/>
  <c r="H2277" i="1"/>
  <c r="N2277" i="1" a="1"/>
  <c r="N2277" i="1" s="1"/>
  <c r="Q2275" i="1" a="1"/>
  <c r="Q2275" i="1" s="1"/>
  <c r="P2280" i="1" a="1"/>
  <c r="P2280" i="1" s="1"/>
  <c r="L2275" i="1" a="1"/>
  <c r="L2275" i="1" s="1"/>
  <c r="N2278" i="1" a="1"/>
  <c r="N2278" i="1" s="1"/>
  <c r="G2282" i="1" a="1"/>
  <c r="G2282" i="1"/>
  <c r="P2269" i="1" a="1"/>
  <c r="P2269" i="1" s="1"/>
  <c r="I2269" i="1" a="1"/>
  <c r="I2269" i="1"/>
  <c r="N2265" i="1" a="1"/>
  <c r="N2265" i="1" s="1"/>
  <c r="F2269" i="1" a="1"/>
  <c r="F2269" i="1" s="1"/>
  <c r="J2267" i="1" a="1"/>
  <c r="J2267" i="1" s="1"/>
  <c r="Q2274" i="1" a="1"/>
  <c r="Q2274" i="1" s="1"/>
  <c r="K2274" i="1" a="1"/>
  <c r="K2274" i="1" s="1"/>
  <c r="Q2267" i="1" a="1"/>
  <c r="Q2267" i="1" s="1"/>
  <c r="Q2265" i="1" a="1"/>
  <c r="Q2265" i="1" s="1"/>
  <c r="N2274" i="1" a="1"/>
  <c r="N2274" i="1" s="1"/>
  <c r="N2271" i="1" a="1"/>
  <c r="N2271" i="1"/>
  <c r="P2265" i="1" a="1"/>
  <c r="P2265" i="1"/>
  <c r="L2274" i="1" a="1"/>
  <c r="L2274" i="1"/>
  <c r="M2269" i="1" a="1"/>
  <c r="M2269" i="1"/>
  <c r="J2274" i="1" a="1"/>
  <c r="J2274" i="1"/>
  <c r="H2274" i="1" a="1"/>
  <c r="H2274" i="1" s="1"/>
  <c r="M2271" i="1" a="1"/>
  <c r="M2271" i="1" s="1"/>
  <c r="K2271" i="1" a="1"/>
  <c r="K2271" i="1" s="1"/>
  <c r="O2269" i="1" a="1"/>
  <c r="O2269" i="1" s="1"/>
  <c r="M2267" i="1" a="1"/>
  <c r="M2267" i="1"/>
  <c r="N2269" i="1" a="1"/>
  <c r="N2269" i="1"/>
  <c r="H2271" i="1" a="1"/>
  <c r="H2271" i="1"/>
  <c r="K2269" i="1" a="1"/>
  <c r="K2269" i="1" s="1"/>
  <c r="G2269" i="1" a="1"/>
  <c r="G2269" i="1" s="1"/>
  <c r="L2267" i="1" a="1"/>
  <c r="L2267" i="1" s="1"/>
  <c r="G2267" i="1" a="1"/>
  <c r="G2267" i="1"/>
  <c r="N2267" i="1" a="1"/>
  <c r="N2267" i="1" s="1"/>
  <c r="H2267" i="1" a="1"/>
  <c r="H2267" i="1" s="1"/>
  <c r="G2275" i="1" a="1"/>
  <c r="G2275" i="1" s="1"/>
  <c r="I2274" i="1" a="1"/>
  <c r="I2274" i="1" s="1"/>
  <c r="F2275" i="1" a="1"/>
  <c r="F2275" i="1"/>
  <c r="P2274" i="1" a="1"/>
  <c r="P2274" i="1" s="1"/>
  <c r="O2274" i="1" a="1"/>
  <c r="O2274" i="1"/>
  <c r="M2274" i="1" a="1"/>
  <c r="M2274" i="1" s="1"/>
  <c r="G2274" i="1" a="1"/>
  <c r="G2274" i="1" s="1"/>
  <c r="F2274" i="1" a="1"/>
  <c r="F2274" i="1" s="1"/>
  <c r="J2271" i="1" a="1"/>
  <c r="J2271" i="1" s="1"/>
  <c r="F2271" i="1" a="1"/>
  <c r="F2271" i="1"/>
  <c r="J2269" i="1" a="1"/>
  <c r="J2269" i="1" s="1"/>
  <c r="O2265" i="1" a="1"/>
  <c r="O2265" i="1" s="1"/>
  <c r="O2267" i="1" a="1"/>
  <c r="O2267" i="1" s="1"/>
  <c r="K2267" i="1" a="1"/>
  <c r="K2267" i="1"/>
  <c r="F2267" i="1" a="1"/>
  <c r="F2267" i="1" s="1"/>
  <c r="Q2269" i="1" a="1"/>
  <c r="Q2269" i="1" s="1"/>
  <c r="Q2271" i="1" a="1"/>
  <c r="Q2271" i="1" s="1"/>
  <c r="P2267" i="1" a="1"/>
  <c r="P2267" i="1" s="1"/>
  <c r="P2271" i="1" a="1"/>
  <c r="P2271" i="1"/>
  <c r="L2271" i="1" a="1"/>
  <c r="L2271" i="1" s="1"/>
  <c r="I2271" i="1" a="1"/>
  <c r="I2271" i="1"/>
  <c r="H2269" i="1" a="1"/>
  <c r="H2269" i="1"/>
  <c r="I2267" i="1" a="1"/>
  <c r="I2267" i="1" s="1"/>
  <c r="L2269" i="1" a="1"/>
  <c r="L2269" i="1" s="1"/>
  <c r="O2271" i="1" a="1"/>
  <c r="O2271" i="1" s="1"/>
  <c r="G2271" i="1" a="1"/>
  <c r="G2271" i="1" s="1"/>
  <c r="M2260" i="1" a="1"/>
  <c r="M2260" i="1"/>
  <c r="P2258" i="1" a="1"/>
  <c r="P2258" i="1" s="1"/>
  <c r="J2265" i="1" a="1"/>
  <c r="J2265" i="1"/>
  <c r="P2260" i="1" a="1"/>
  <c r="P2260" i="1" s="1"/>
  <c r="Q2263" i="1" a="1"/>
  <c r="Q2263" i="1" s="1"/>
  <c r="M2263" i="1" a="1"/>
  <c r="M2263" i="1" s="1"/>
  <c r="M2261" i="1" a="1"/>
  <c r="M2261" i="1" s="1"/>
  <c r="M2258" i="1" a="1"/>
  <c r="M2258" i="1"/>
  <c r="N2260" i="1" a="1"/>
  <c r="N2260" i="1" s="1"/>
  <c r="P2263" i="1" a="1"/>
  <c r="P2263" i="1" s="1"/>
  <c r="F2261" i="1" a="1"/>
  <c r="F2261" i="1" s="1"/>
  <c r="N2263" i="1" a="1"/>
  <c r="N2263" i="1"/>
  <c r="P2261" i="1" a="1"/>
  <c r="P2261" i="1"/>
  <c r="Q2260" i="1" a="1"/>
  <c r="Q2260" i="1"/>
  <c r="L2260" i="1" a="1"/>
  <c r="L2260" i="1"/>
  <c r="F2260" i="1" a="1"/>
  <c r="F2260" i="1" s="1"/>
  <c r="F2263" i="1" a="1"/>
  <c r="F2263" i="1" s="1"/>
  <c r="J2261" i="1" a="1"/>
  <c r="J2261" i="1"/>
  <c r="H2261" i="1" a="1"/>
  <c r="H2261" i="1"/>
  <c r="O2263" i="1" a="1"/>
  <c r="O2263" i="1"/>
  <c r="H2260" i="1" a="1"/>
  <c r="H2260" i="1"/>
  <c r="O2256" i="1" a="1"/>
  <c r="O2256" i="1"/>
  <c r="G2258" i="1" a="1"/>
  <c r="G2258" i="1" s="1"/>
  <c r="F2265" i="1" a="1"/>
  <c r="F2265" i="1"/>
  <c r="K2261" i="1" a="1"/>
  <c r="K2261" i="1" s="1"/>
  <c r="Q2261" i="1" a="1"/>
  <c r="Q2261" i="1" s="1"/>
  <c r="H2258" i="1" a="1"/>
  <c r="H2258" i="1" s="1"/>
  <c r="Q2258" i="1" a="1"/>
  <c r="Q2258" i="1" s="1"/>
  <c r="L2261" i="1" a="1"/>
  <c r="L2261" i="1"/>
  <c r="O2258" i="1" a="1"/>
  <c r="O2258" i="1" s="1"/>
  <c r="G2263" i="1" a="1"/>
  <c r="G2263" i="1" s="1"/>
  <c r="H2265" i="1" a="1"/>
  <c r="H2265" i="1"/>
  <c r="L2263" i="1" a="1"/>
  <c r="L2263" i="1" s="1"/>
  <c r="K2263" i="1" a="1"/>
  <c r="K2263" i="1"/>
  <c r="J2263" i="1" a="1"/>
  <c r="J2263" i="1" s="1"/>
  <c r="O2260" i="1" a="1"/>
  <c r="O2260" i="1" s="1"/>
  <c r="I2260" i="1" a="1"/>
  <c r="I2260" i="1" s="1"/>
  <c r="L2258" i="1" a="1"/>
  <c r="L2258" i="1" s="1"/>
  <c r="I2261" i="1" a="1"/>
  <c r="I2261" i="1" s="1"/>
  <c r="G2261" i="1" a="1"/>
  <c r="G2261" i="1"/>
  <c r="Q2256" i="1" a="1"/>
  <c r="Q2256" i="1"/>
  <c r="I2263" i="1" a="1"/>
  <c r="I2263" i="1"/>
  <c r="O2261" i="1" a="1"/>
  <c r="O2261" i="1" s="1"/>
  <c r="K2260" i="1" a="1"/>
  <c r="K2260" i="1" s="1"/>
  <c r="M2265" i="1" a="1"/>
  <c r="M2265" i="1" s="1"/>
  <c r="G2265" i="1" a="1"/>
  <c r="G2265" i="1" s="1"/>
  <c r="G2260" i="1" a="1"/>
  <c r="G2260" i="1" s="1"/>
  <c r="J2260" i="1" a="1"/>
  <c r="J2260" i="1" s="1"/>
  <c r="I2265" i="1" a="1"/>
  <c r="I2265" i="1"/>
  <c r="H2263" i="1" a="1"/>
  <c r="H2263" i="1" s="1"/>
  <c r="P2256" i="1" a="1"/>
  <c r="P2256" i="1" s="1"/>
  <c r="K2258" i="1" a="1"/>
  <c r="K2258" i="1" s="1"/>
  <c r="N2261" i="1" a="1"/>
  <c r="N2261" i="1" s="1"/>
  <c r="N2258" i="1" a="1"/>
  <c r="N2258" i="1" s="1"/>
  <c r="J2258" i="1" a="1"/>
  <c r="J2258" i="1" s="1"/>
  <c r="I2258" i="1" a="1"/>
  <c r="I2258" i="1" s="1"/>
  <c r="F2258" i="1" a="1"/>
  <c r="F2258" i="1" s="1"/>
  <c r="L2265" i="1" a="1"/>
  <c r="L2265" i="1"/>
  <c r="K2265" i="1" a="1"/>
  <c r="K2265" i="1" s="1"/>
  <c r="H2252" i="1" a="1"/>
  <c r="H2252" i="1" s="1"/>
  <c r="P2248" i="1" a="1"/>
  <c r="P2248" i="1" s="1"/>
  <c r="N2248" i="1" a="1"/>
  <c r="N2248" i="1" s="1"/>
  <c r="O2248" i="1" a="1"/>
  <c r="O2248" i="1" s="1"/>
  <c r="G2250" i="1" a="1"/>
  <c r="G2250" i="1" s="1"/>
  <c r="P2250" i="1" a="1"/>
  <c r="P2250" i="1"/>
  <c r="L2248" i="1" a="1"/>
  <c r="L2248" i="1" s="1"/>
  <c r="K2250" i="1" a="1"/>
  <c r="K2250" i="1" s="1"/>
  <c r="I2252" i="1" a="1"/>
  <c r="I2252" i="1"/>
  <c r="N2256" i="1" a="1"/>
  <c r="N2256" i="1"/>
  <c r="M2256" i="1" a="1"/>
  <c r="M2256" i="1"/>
  <c r="K2256" i="1" a="1"/>
  <c r="K2256" i="1"/>
  <c r="J2256" i="1" a="1"/>
  <c r="J2256" i="1"/>
  <c r="I2256" i="1" a="1"/>
  <c r="I2256" i="1"/>
  <c r="O2255" i="1" a="1"/>
  <c r="O2255" i="1"/>
  <c r="M2248" i="1" a="1"/>
  <c r="M2248" i="1" s="1"/>
  <c r="K2252" i="1" a="1"/>
  <c r="K2252" i="1"/>
  <c r="H2248" i="1" a="1"/>
  <c r="H2248" i="1" s="1"/>
  <c r="I2255" i="1" a="1"/>
  <c r="I2255" i="1" s="1"/>
  <c r="F2252" i="1" a="1"/>
  <c r="F2252" i="1"/>
  <c r="J2250" i="1" a="1"/>
  <c r="J2250" i="1"/>
  <c r="M2250" i="1" a="1"/>
  <c r="M2250" i="1" s="1"/>
  <c r="Q2250" i="1" a="1"/>
  <c r="Q2250" i="1" s="1"/>
  <c r="F2255" i="1" a="1"/>
  <c r="F2255" i="1" s="1"/>
  <c r="H2256" i="1" a="1"/>
  <c r="H2256" i="1" s="1"/>
  <c r="P2255" i="1" a="1"/>
  <c r="P2255" i="1" s="1"/>
  <c r="I2250" i="1" a="1"/>
  <c r="I2250" i="1" s="1"/>
  <c r="N2255" i="1" a="1"/>
  <c r="N2255" i="1"/>
  <c r="L2255" i="1" a="1"/>
  <c r="L2255" i="1" s="1"/>
  <c r="K2255" i="1" a="1"/>
  <c r="K2255" i="1"/>
  <c r="H2255" i="1" a="1"/>
  <c r="H2255" i="1" s="1"/>
  <c r="P2252" i="1" a="1"/>
  <c r="P2252" i="1" s="1"/>
  <c r="M2252" i="1" a="1"/>
  <c r="M2252" i="1"/>
  <c r="G2252" i="1" a="1"/>
  <c r="G2252" i="1" s="1"/>
  <c r="L2252" i="1" a="1"/>
  <c r="L2252" i="1" s="1"/>
  <c r="I2248" i="1" a="1"/>
  <c r="I2248" i="1" s="1"/>
  <c r="J2252" i="1" a="1"/>
  <c r="J2252" i="1"/>
  <c r="J2248" i="1" a="1"/>
  <c r="J2248" i="1"/>
  <c r="F2248" i="1" a="1"/>
  <c r="F2248" i="1"/>
  <c r="L2250" i="1" a="1"/>
  <c r="L2250" i="1"/>
  <c r="G2248" i="1" a="1"/>
  <c r="G2248" i="1"/>
  <c r="N2250" i="1" a="1"/>
  <c r="N2250" i="1" s="1"/>
  <c r="Q2248" i="1" a="1"/>
  <c r="Q2248" i="1"/>
  <c r="N2252" i="1" a="1"/>
  <c r="N2252" i="1" s="1"/>
  <c r="H2250" i="1" a="1"/>
  <c r="H2250" i="1"/>
  <c r="K2248" i="1" a="1"/>
  <c r="K2248" i="1" s="1"/>
  <c r="L2256" i="1" a="1"/>
  <c r="L2256" i="1" s="1"/>
  <c r="G2256" i="1" a="1"/>
  <c r="G2256" i="1"/>
  <c r="F2256" i="1" a="1"/>
  <c r="F2256" i="1" s="1"/>
  <c r="Q2255" i="1" a="1"/>
  <c r="Q2255" i="1" s="1"/>
  <c r="J2255" i="1" a="1"/>
  <c r="J2255" i="1" s="1"/>
  <c r="G2255" i="1" a="1"/>
  <c r="G2255" i="1" s="1"/>
  <c r="O2250" i="1" a="1"/>
  <c r="O2250" i="1" s="1"/>
  <c r="F2250" i="1" a="1"/>
  <c r="F2250" i="1" s="1"/>
  <c r="O2252" i="1" a="1"/>
  <c r="O2252" i="1" s="1"/>
  <c r="M2255" i="1" a="1"/>
  <c r="M2255" i="1" s="1"/>
  <c r="Q2252" i="1" a="1"/>
  <c r="Q2252" i="1" s="1"/>
  <c r="N2246" i="1" a="1"/>
  <c r="N2246" i="1" s="1"/>
  <c r="I2246" i="1" a="1"/>
  <c r="I2246" i="1"/>
  <c r="H2246" i="1" a="1"/>
  <c r="H2246" i="1"/>
  <c r="Q2244" i="1" a="1"/>
  <c r="Q2244" i="1" s="1"/>
  <c r="J2242" i="1" a="1"/>
  <c r="J2242" i="1" s="1"/>
  <c r="J2239" i="1" a="1"/>
  <c r="J2239" i="1" s="1"/>
  <c r="Q2242" i="1" a="1"/>
  <c r="Q2242" i="1" s="1"/>
  <c r="I2244" i="1" a="1"/>
  <c r="I2244" i="1" s="1"/>
  <c r="L2239" i="1" a="1"/>
  <c r="L2239" i="1" s="1"/>
  <c r="K2242" i="1" a="1"/>
  <c r="K2242" i="1"/>
  <c r="M2241" i="1" a="1"/>
  <c r="M2241" i="1"/>
  <c r="O2239" i="1" a="1"/>
  <c r="O2239" i="1"/>
  <c r="M2246" i="1" a="1"/>
  <c r="M2246" i="1"/>
  <c r="F2246" i="1" a="1"/>
  <c r="F2246" i="1"/>
  <c r="P2244" i="1" a="1"/>
  <c r="P2244" i="1"/>
  <c r="O2244" i="1" a="1"/>
  <c r="O2244" i="1" s="1"/>
  <c r="J2244" i="1" a="1"/>
  <c r="J2244" i="1"/>
  <c r="M2242" i="1" a="1"/>
  <c r="M2242" i="1"/>
  <c r="O2241" i="1" a="1"/>
  <c r="O2241" i="1" s="1"/>
  <c r="Q2239" i="1" a="1"/>
  <c r="Q2239" i="1" s="1"/>
  <c r="F2244" i="1" a="1"/>
  <c r="F2244" i="1" s="1"/>
  <c r="J2241" i="1" a="1"/>
  <c r="J2241" i="1"/>
  <c r="I2242" i="1" a="1"/>
  <c r="I2242" i="1" s="1"/>
  <c r="L2241" i="1" a="1"/>
  <c r="L2241" i="1" s="1"/>
  <c r="G2241" i="1" a="1"/>
  <c r="G2241" i="1" s="1"/>
  <c r="G2239" i="1" a="1"/>
  <c r="G2239" i="1" s="1"/>
  <c r="H2242" i="1" a="1"/>
  <c r="H2242" i="1" s="1"/>
  <c r="N2244" i="1" a="1"/>
  <c r="N2244" i="1"/>
  <c r="L2244" i="1" a="1"/>
  <c r="L2244" i="1" s="1"/>
  <c r="K2244" i="1" a="1"/>
  <c r="K2244" i="1"/>
  <c r="H2244" i="1" a="1"/>
  <c r="H2244" i="1" s="1"/>
  <c r="O2242" i="1" a="1"/>
  <c r="O2242" i="1" s="1"/>
  <c r="N2242" i="1" a="1"/>
  <c r="N2242" i="1"/>
  <c r="L2242" i="1" a="1"/>
  <c r="L2242" i="1" s="1"/>
  <c r="Q2241" i="1" a="1"/>
  <c r="Q2241" i="1" s="1"/>
  <c r="N2239" i="1" a="1"/>
  <c r="N2239" i="1" s="1"/>
  <c r="P2241" i="1" a="1"/>
  <c r="P2241" i="1" s="1"/>
  <c r="N2241" i="1" a="1"/>
  <c r="N2241" i="1"/>
  <c r="I2241" i="1" a="1"/>
  <c r="I2241" i="1"/>
  <c r="K2239" i="1" a="1"/>
  <c r="K2239" i="1"/>
  <c r="P2239" i="1" a="1"/>
  <c r="P2239" i="1"/>
  <c r="I2239" i="1" a="1"/>
  <c r="I2239" i="1"/>
  <c r="H2239" i="1" a="1"/>
  <c r="H2239" i="1"/>
  <c r="J2246" i="1" a="1"/>
  <c r="J2246" i="1"/>
  <c r="G2246" i="1" a="1"/>
  <c r="G2246" i="1" s="1"/>
  <c r="Q2246" i="1" a="1"/>
  <c r="Q2246" i="1"/>
  <c r="F2239" i="1" a="1"/>
  <c r="F2239" i="1" s="1"/>
  <c r="P2246" i="1" a="1"/>
  <c r="P2246" i="1"/>
  <c r="P2242" i="1" a="1"/>
  <c r="P2242" i="1" s="1"/>
  <c r="F2242" i="1" a="1"/>
  <c r="F2242" i="1" s="1"/>
  <c r="F2241" i="1" a="1"/>
  <c r="F2241" i="1" s="1"/>
  <c r="L2246" i="1" a="1"/>
  <c r="L2246" i="1"/>
  <c r="K2246" i="1" a="1"/>
  <c r="K2246" i="1" s="1"/>
  <c r="G2242" i="1" a="1"/>
  <c r="G2242" i="1" s="1"/>
  <c r="M2239" i="1" a="1"/>
  <c r="M2239" i="1" s="1"/>
  <c r="K2241" i="1" a="1"/>
  <c r="K2241" i="1" s="1"/>
  <c r="H2241" i="1" a="1"/>
  <c r="H2241" i="1"/>
  <c r="G2244" i="1" a="1"/>
  <c r="G2244" i="1" s="1"/>
  <c r="M2244" i="1" a="1"/>
  <c r="M2244" i="1"/>
  <c r="O2246" i="1" a="1"/>
  <c r="O2246" i="1" s="1"/>
  <c r="Q2237" i="1" a="1"/>
  <c r="Q2237" i="1"/>
  <c r="P2237" i="1" a="1"/>
  <c r="P2237" i="1" s="1"/>
  <c r="K2237" i="1" a="1"/>
  <c r="K2237" i="1" s="1"/>
  <c r="F2237" i="1" a="1"/>
  <c r="F2237" i="1" s="1"/>
  <c r="N2237" i="1" a="1"/>
  <c r="N2237" i="1" s="1"/>
  <c r="L2236" i="1" a="1"/>
  <c r="L2236" i="1"/>
  <c r="J2236" i="1" a="1"/>
  <c r="J2236" i="1"/>
  <c r="G2236" i="1" a="1"/>
  <c r="G2236" i="1"/>
  <c r="Q2236" i="1" a="1"/>
  <c r="Q2236" i="1"/>
  <c r="N2236" i="1" a="1"/>
  <c r="N2236" i="1"/>
  <c r="M2236" i="1" a="1"/>
  <c r="M2236" i="1"/>
  <c r="O2237" i="1" a="1"/>
  <c r="O2237" i="1" s="1"/>
  <c r="M2237" i="1" a="1"/>
  <c r="M2237" i="1"/>
  <c r="L2237" i="1" a="1"/>
  <c r="L2237" i="1"/>
  <c r="J2237" i="1" a="1"/>
  <c r="J2237" i="1"/>
  <c r="F2236" i="1" a="1"/>
  <c r="F2236" i="1" s="1"/>
  <c r="G2237" i="1" a="1"/>
  <c r="G2237" i="1" s="1"/>
  <c r="H2236" i="1" a="1"/>
  <c r="H2236" i="1" s="1"/>
  <c r="I2236" i="1" a="1"/>
  <c r="I2236" i="1"/>
  <c r="I2237" i="1" a="1"/>
  <c r="I2237" i="1" s="1"/>
  <c r="H2237" i="1" a="1"/>
  <c r="H2237" i="1" s="1"/>
  <c r="P2236" i="1" a="1"/>
  <c r="P2236" i="1" s="1"/>
  <c r="O2236" i="1" a="1"/>
  <c r="O2236" i="1" s="1"/>
  <c r="K2236" i="1" a="1"/>
  <c r="K2236" i="1" s="1"/>
  <c r="N1857" i="1" a="1"/>
  <c r="N1857" i="1" s="1"/>
  <c r="M1857" i="1" a="1"/>
  <c r="M1857" i="1" s="1"/>
  <c r="L1857" i="1" a="1"/>
  <c r="L1857" i="1" s="1"/>
  <c r="Q1853" i="1" a="1"/>
  <c r="Q1853" i="1" s="1"/>
  <c r="O1853" i="1" a="1"/>
  <c r="O1853" i="1" s="1"/>
  <c r="M1853" i="1" a="1"/>
  <c r="M1853" i="1"/>
  <c r="H1857" i="1" a="1"/>
  <c r="H1857" i="1" s="1"/>
  <c r="G1857" i="1" a="1"/>
  <c r="G1857" i="1"/>
  <c r="J1855" i="1" a="1"/>
  <c r="J1855" i="1" s="1"/>
  <c r="K1855" i="1" a="1"/>
  <c r="K1855" i="1"/>
  <c r="P1853" i="1" a="1"/>
  <c r="P1853" i="1" s="1"/>
  <c r="I1855" i="1" a="1"/>
  <c r="I1855" i="1" s="1"/>
  <c r="H1853" i="1" a="1"/>
  <c r="H1853" i="1"/>
  <c r="G1855" i="1" a="1"/>
  <c r="G1855" i="1"/>
  <c r="N1853" i="1" a="1"/>
  <c r="N1853" i="1"/>
  <c r="I1857" i="1" a="1"/>
  <c r="I1857" i="1"/>
  <c r="F1855" i="1" a="1"/>
  <c r="F1855" i="1" s="1"/>
  <c r="N1855" i="1" a="1"/>
  <c r="N1855" i="1"/>
  <c r="F1853" i="1" a="1"/>
  <c r="F1853" i="1" s="1"/>
  <c r="L1855" i="1" a="1"/>
  <c r="L1855" i="1"/>
  <c r="I1853" i="1" a="1"/>
  <c r="I1853" i="1" s="1"/>
  <c r="Q1857" i="1" a="1"/>
  <c r="Q1857" i="1" s="1"/>
  <c r="P1857" i="1" a="1"/>
  <c r="P1857" i="1"/>
  <c r="J1857" i="1" a="1"/>
  <c r="J1857" i="1" s="1"/>
  <c r="L1853" i="1" a="1"/>
  <c r="L1853" i="1" s="1"/>
  <c r="Q1855" i="1" a="1"/>
  <c r="Q1855" i="1"/>
  <c r="K1853" i="1" a="1"/>
  <c r="K1853" i="1" s="1"/>
  <c r="O1857" i="1" a="1"/>
  <c r="O1857" i="1" s="1"/>
  <c r="K1857" i="1" a="1"/>
  <c r="K1857" i="1" s="1"/>
  <c r="F1857" i="1" a="1"/>
  <c r="F1857" i="1" s="1"/>
  <c r="J1853" i="1" a="1"/>
  <c r="J1853" i="1" s="1"/>
  <c r="P1855" i="1" a="1"/>
  <c r="P1855" i="1" s="1"/>
  <c r="G1853" i="1" a="1"/>
  <c r="G1853" i="1" s="1"/>
  <c r="H1855" i="1" a="1"/>
  <c r="H1855" i="1" s="1"/>
  <c r="M1855" i="1" a="1"/>
  <c r="M1855" i="1" s="1"/>
  <c r="O1855" i="1" a="1"/>
  <c r="O1855" i="1" s="1"/>
  <c r="K1851" i="1" a="1"/>
  <c r="K1851" i="1"/>
  <c r="G1846" i="1" a="1"/>
  <c r="G1846" i="1"/>
  <c r="K1846" i="1" a="1"/>
  <c r="K1846" i="1"/>
  <c r="M1851" i="1" a="1"/>
  <c r="M1851" i="1"/>
  <c r="L1851" i="1" a="1"/>
  <c r="L1851" i="1"/>
  <c r="G1851" i="1" a="1"/>
  <c r="G1851" i="1"/>
  <c r="J1851" i="1" a="1"/>
  <c r="J1851" i="1"/>
  <c r="H1851" i="1" a="1"/>
  <c r="H1851" i="1"/>
  <c r="I1846" i="1" a="1"/>
  <c r="I1846" i="1"/>
  <c r="H1850" i="1" a="1"/>
  <c r="H1850" i="1" s="1"/>
  <c r="Q1848" i="1" a="1"/>
  <c r="Q1848" i="1" s="1"/>
  <c r="O1850" i="1" a="1"/>
  <c r="O1850" i="1" s="1"/>
  <c r="M1850" i="1" a="1"/>
  <c r="M1850" i="1" s="1"/>
  <c r="L1846" i="1" a="1"/>
  <c r="L1846" i="1"/>
  <c r="J1850" i="1" a="1"/>
  <c r="J1850" i="1" s="1"/>
  <c r="K1848" i="1" a="1"/>
  <c r="K1848" i="1"/>
  <c r="J1846" i="1" a="1"/>
  <c r="J1846" i="1" s="1"/>
  <c r="P1848" i="1" a="1"/>
  <c r="P1848" i="1"/>
  <c r="G1848" i="1" a="1"/>
  <c r="G1848" i="1" s="1"/>
  <c r="M1846" i="1" a="1"/>
  <c r="M1846" i="1" s="1"/>
  <c r="N1848" i="1" a="1"/>
  <c r="N1848" i="1" s="1"/>
  <c r="L1848" i="1" a="1"/>
  <c r="L1848" i="1" s="1"/>
  <c r="N1851" i="1" a="1"/>
  <c r="N1851" i="1" s="1"/>
  <c r="I1851" i="1" a="1"/>
  <c r="I1851" i="1"/>
  <c r="F1851" i="1" a="1"/>
  <c r="F1851" i="1" s="1"/>
  <c r="G1850" i="1" a="1"/>
  <c r="G1850" i="1" s="1"/>
  <c r="F1850" i="1" a="1"/>
  <c r="F1850" i="1" s="1"/>
  <c r="O1848" i="1" a="1"/>
  <c r="O1848" i="1" s="1"/>
  <c r="P1846" i="1" a="1"/>
  <c r="P1846" i="1"/>
  <c r="P1850" i="1" a="1"/>
  <c r="P1850" i="1"/>
  <c r="L1850" i="1" a="1"/>
  <c r="L1850" i="1" s="1"/>
  <c r="I1848" i="1" a="1"/>
  <c r="I1848" i="1"/>
  <c r="J1848" i="1" a="1"/>
  <c r="J1848" i="1"/>
  <c r="Q1846" i="1" a="1"/>
  <c r="Q1846" i="1"/>
  <c r="Q1850" i="1" a="1"/>
  <c r="Q1850" i="1"/>
  <c r="I1850" i="1" a="1"/>
  <c r="I1850" i="1"/>
  <c r="H1846" i="1" a="1"/>
  <c r="H1846" i="1"/>
  <c r="F1848" i="1" a="1"/>
  <c r="F1848" i="1"/>
  <c r="O1846" i="1" a="1"/>
  <c r="O1846" i="1" s="1"/>
  <c r="N1846" i="1" a="1"/>
  <c r="N1846" i="1" s="1"/>
  <c r="Q1851" i="1" a="1"/>
  <c r="Q1851" i="1" s="1"/>
  <c r="N1850" i="1" a="1"/>
  <c r="N1850" i="1"/>
  <c r="K1850" i="1" a="1"/>
  <c r="K1850" i="1" s="1"/>
  <c r="M1848" i="1" a="1"/>
  <c r="M1848" i="1"/>
  <c r="H1848" i="1" a="1"/>
  <c r="H1848" i="1" s="1"/>
  <c r="P1851" i="1" a="1"/>
  <c r="P1851" i="1" s="1"/>
  <c r="O1851" i="1" a="1"/>
  <c r="O1851" i="1"/>
  <c r="O1838" i="1" a="1"/>
  <c r="O1838" i="1" s="1"/>
  <c r="I1845" i="1" a="1"/>
  <c r="I1845" i="1" s="1"/>
  <c r="L1840" i="1" a="1"/>
  <c r="L1840" i="1" s="1"/>
  <c r="Q1842" i="1" a="1"/>
  <c r="Q1842" i="1" s="1"/>
  <c r="L1842" i="1" a="1"/>
  <c r="L1842" i="1" s="1"/>
  <c r="Q1838" i="1" a="1"/>
  <c r="Q1838" i="1" s="1"/>
  <c r="L1845" i="1" a="1"/>
  <c r="L1845" i="1"/>
  <c r="J1840" i="1" a="1"/>
  <c r="J1840" i="1" s="1"/>
  <c r="G1840" i="1" a="1"/>
  <c r="G1840" i="1" s="1"/>
  <c r="I1842" i="1" a="1"/>
  <c r="I1842" i="1" s="1"/>
  <c r="Q1840" i="1" a="1"/>
  <c r="Q1840" i="1"/>
  <c r="P1840" i="1" a="1"/>
  <c r="P1840" i="1"/>
  <c r="N1840" i="1" a="1"/>
  <c r="N1840" i="1"/>
  <c r="M1842" i="1" a="1"/>
  <c r="M1842" i="1" s="1"/>
  <c r="N1842" i="1" a="1"/>
  <c r="N1842" i="1" s="1"/>
  <c r="M1840" i="1" a="1"/>
  <c r="M1840" i="1"/>
  <c r="F1846" i="1" a="1"/>
  <c r="F1846" i="1"/>
  <c r="J1845" i="1" a="1"/>
  <c r="J1845" i="1"/>
  <c r="H1840" i="1" a="1"/>
  <c r="H1840" i="1"/>
  <c r="K1842" i="1" a="1"/>
  <c r="K1842" i="1"/>
  <c r="G1842" i="1" a="1"/>
  <c r="G1842" i="1" s="1"/>
  <c r="O1840" i="1" a="1"/>
  <c r="O1840" i="1" s="1"/>
  <c r="P1838" i="1" a="1"/>
  <c r="P1838" i="1"/>
  <c r="N1838" i="1" a="1"/>
  <c r="N1838" i="1" s="1"/>
  <c r="O1842" i="1" a="1"/>
  <c r="O1842" i="1" s="1"/>
  <c r="J1842" i="1" a="1"/>
  <c r="J1842" i="1" s="1"/>
  <c r="F1842" i="1" a="1"/>
  <c r="F1842" i="1" s="1"/>
  <c r="F1840" i="1" a="1"/>
  <c r="F1840" i="1" s="1"/>
  <c r="M1838" i="1" a="1"/>
  <c r="M1838" i="1"/>
  <c r="Q1845" i="1" a="1"/>
  <c r="Q1845" i="1" s="1"/>
  <c r="P1845" i="1" a="1"/>
  <c r="P1845" i="1" s="1"/>
  <c r="H1845" i="1" a="1"/>
  <c r="H1845" i="1" s="1"/>
  <c r="K1840" i="1" a="1"/>
  <c r="K1840" i="1" s="1"/>
  <c r="G1845" i="1" a="1"/>
  <c r="G1845" i="1" s="1"/>
  <c r="O1845" i="1" a="1"/>
  <c r="O1845" i="1"/>
  <c r="M1845" i="1" a="1"/>
  <c r="M1845" i="1" s="1"/>
  <c r="F1845" i="1" a="1"/>
  <c r="F1845" i="1"/>
  <c r="P1842" i="1" a="1"/>
  <c r="P1842" i="1" s="1"/>
  <c r="N1845" i="1" a="1"/>
  <c r="N1845" i="1"/>
  <c r="K1845" i="1" a="1"/>
  <c r="K1845" i="1" s="1"/>
  <c r="I1840" i="1" a="1"/>
  <c r="I1840" i="1"/>
  <c r="H1842" i="1" a="1"/>
  <c r="H1842" i="1" s="1"/>
  <c r="J1834" i="1" a="1"/>
  <c r="J1834" i="1" s="1"/>
  <c r="G1831" i="1" a="1"/>
  <c r="G1831" i="1"/>
  <c r="O1836" i="1" a="1"/>
  <c r="O1836" i="1"/>
  <c r="I1834" i="1" a="1"/>
  <c r="I1834" i="1"/>
  <c r="F1834" i="1" a="1"/>
  <c r="F1834" i="1"/>
  <c r="J1832" i="1" a="1"/>
  <c r="J1832" i="1"/>
  <c r="F1832" i="1" a="1"/>
  <c r="F1832" i="1"/>
  <c r="N1834" i="1" a="1"/>
  <c r="N1834" i="1" s="1"/>
  <c r="K1838" i="1" a="1"/>
  <c r="K1838" i="1" s="1"/>
  <c r="G1836" i="1" a="1"/>
  <c r="G1836" i="1" s="1"/>
  <c r="I1831" i="1" a="1"/>
  <c r="I1831" i="1"/>
  <c r="J1838" i="1" a="1"/>
  <c r="J1838" i="1"/>
  <c r="I1838" i="1" a="1"/>
  <c r="I1838" i="1" s="1"/>
  <c r="H1838" i="1" a="1"/>
  <c r="H1838" i="1"/>
  <c r="Q1836" i="1" a="1"/>
  <c r="Q1836" i="1" s="1"/>
  <c r="P1836" i="1" a="1"/>
  <c r="P1836" i="1" s="1"/>
  <c r="H1834" i="1" a="1"/>
  <c r="H1834" i="1" s="1"/>
  <c r="L1832" i="1" a="1"/>
  <c r="L1832" i="1" s="1"/>
  <c r="H1836" i="1" a="1"/>
  <c r="H1836" i="1" s="1"/>
  <c r="L1834" i="1" a="1"/>
  <c r="L1834" i="1" s="1"/>
  <c r="K1834" i="1" a="1"/>
  <c r="K1834" i="1" s="1"/>
  <c r="O1831" i="1" a="1"/>
  <c r="O1831" i="1" s="1"/>
  <c r="H1832" i="1" a="1"/>
  <c r="H1832" i="1" s="1"/>
  <c r="L1831" i="1" a="1"/>
  <c r="L1831" i="1"/>
  <c r="K1831" i="1" a="1"/>
  <c r="K1831" i="1" s="1"/>
  <c r="Q1831" i="1" a="1"/>
  <c r="Q1831" i="1" s="1"/>
  <c r="G1838" i="1" a="1"/>
  <c r="G1838" i="1"/>
  <c r="F1838" i="1" a="1"/>
  <c r="F1838" i="1" s="1"/>
  <c r="I1836" i="1" a="1"/>
  <c r="I1836" i="1" s="1"/>
  <c r="K1832" i="1" a="1"/>
  <c r="K1832" i="1"/>
  <c r="G1832" i="1" a="1"/>
  <c r="G1832" i="1" s="1"/>
  <c r="N1836" i="1" a="1"/>
  <c r="N1836" i="1" s="1"/>
  <c r="H1831" i="1" a="1"/>
  <c r="H1831" i="1" s="1"/>
  <c r="M1836" i="1" a="1"/>
  <c r="M1836" i="1"/>
  <c r="J1836" i="1" a="1"/>
  <c r="J1836" i="1"/>
  <c r="P1834" i="1" a="1"/>
  <c r="P1834" i="1"/>
  <c r="K1836" i="1" a="1"/>
  <c r="K1836" i="1" s="1"/>
  <c r="N1831" i="1" a="1"/>
  <c r="N1831" i="1"/>
  <c r="M1834" i="1" a="1"/>
  <c r="M1834" i="1" s="1"/>
  <c r="P1832" i="1" a="1"/>
  <c r="P1832" i="1" s="1"/>
  <c r="F1831" i="1" a="1"/>
  <c r="F1831" i="1"/>
  <c r="Q1832" i="1" a="1"/>
  <c r="Q1832" i="1" s="1"/>
  <c r="F1836" i="1" a="1"/>
  <c r="F1836" i="1"/>
  <c r="G1834" i="1" a="1"/>
  <c r="G1834" i="1"/>
  <c r="J1831" i="1" a="1"/>
  <c r="J1831" i="1"/>
  <c r="Q1834" i="1" a="1"/>
  <c r="Q1834" i="1"/>
  <c r="O1832" i="1" a="1"/>
  <c r="O1832" i="1" s="1"/>
  <c r="M1832" i="1" a="1"/>
  <c r="M1832" i="1"/>
  <c r="O1834" i="1" a="1"/>
  <c r="O1834" i="1"/>
  <c r="N1832" i="1" a="1"/>
  <c r="N1832" i="1"/>
  <c r="M1831" i="1" a="1"/>
  <c r="M1831" i="1" s="1"/>
  <c r="P1831" i="1" a="1"/>
  <c r="P1831" i="1"/>
  <c r="L1836" i="1" a="1"/>
  <c r="L1836" i="1" s="1"/>
  <c r="I1832" i="1" a="1"/>
  <c r="I1832" i="1" s="1"/>
  <c r="L1838" i="1" a="1"/>
  <c r="L1838" i="1"/>
  <c r="M1826" i="1" a="1"/>
  <c r="M1826" i="1"/>
  <c r="M1827" i="1" a="1"/>
  <c r="M1827" i="1" s="1"/>
  <c r="Q1829" i="1" a="1"/>
  <c r="Q1829" i="1"/>
  <c r="P1829" i="1" a="1"/>
  <c r="P1829" i="1" s="1"/>
  <c r="K1829" i="1" a="1"/>
  <c r="K1829" i="1" s="1"/>
  <c r="K1826" i="1" a="1"/>
  <c r="K1826" i="1" s="1"/>
  <c r="H1827" i="1" a="1"/>
  <c r="H1827" i="1" s="1"/>
  <c r="O1829" i="1" a="1"/>
  <c r="O1829" i="1"/>
  <c r="P1827" i="1" a="1"/>
  <c r="P1827" i="1"/>
  <c r="M1829" i="1" a="1"/>
  <c r="M1829" i="1"/>
  <c r="J1826" i="1" a="1"/>
  <c r="J1826" i="1"/>
  <c r="I1827" i="1" a="1"/>
  <c r="I1827" i="1" s="1"/>
  <c r="O1826" i="1" a="1"/>
  <c r="O1826" i="1"/>
  <c r="L1826" i="1" a="1"/>
  <c r="L1826" i="1"/>
  <c r="Q1827" i="1" a="1"/>
  <c r="Q1827" i="1" s="1"/>
  <c r="H1826" i="1" a="1"/>
  <c r="H1826" i="1" s="1"/>
  <c r="N1829" i="1" a="1"/>
  <c r="N1829" i="1" s="1"/>
  <c r="L1829" i="1" a="1"/>
  <c r="L1829" i="1"/>
  <c r="J1829" i="1" a="1"/>
  <c r="J1829" i="1"/>
  <c r="H1829" i="1" a="1"/>
  <c r="H1829" i="1"/>
  <c r="I1826" i="1" a="1"/>
  <c r="I1826" i="1" s="1"/>
  <c r="F1829" i="1" a="1"/>
  <c r="F1829" i="1" s="1"/>
  <c r="K1827" i="1" a="1"/>
  <c r="K1827" i="1"/>
  <c r="O1827" i="1" a="1"/>
  <c r="O1827" i="1"/>
  <c r="N1827" i="1" a="1"/>
  <c r="N1827" i="1" s="1"/>
  <c r="J1827" i="1" a="1"/>
  <c r="J1827" i="1"/>
  <c r="F1826" i="1" a="1"/>
  <c r="F1826" i="1" s="1"/>
  <c r="L1827" i="1" a="1"/>
  <c r="L1827" i="1" s="1"/>
  <c r="G1827" i="1" a="1"/>
  <c r="G1827" i="1"/>
  <c r="N1826" i="1" a="1"/>
  <c r="N1826" i="1"/>
  <c r="F1827" i="1" a="1"/>
  <c r="F1827" i="1" s="1"/>
  <c r="Q1826" i="1" a="1"/>
  <c r="Q1826" i="1" s="1"/>
  <c r="P1826" i="1" a="1"/>
  <c r="P1826" i="1" s="1"/>
  <c r="G1826" i="1" a="1"/>
  <c r="G1826" i="1"/>
  <c r="I1829" i="1" a="1"/>
  <c r="I1829" i="1" s="1"/>
  <c r="G1829" i="1" a="1"/>
  <c r="G1829" i="1"/>
  <c r="P1859" i="1" a="1"/>
  <c r="P1859" i="1" s="1"/>
  <c r="I1859" i="1" a="1"/>
  <c r="I1859" i="1"/>
  <c r="P1865" i="1" a="1"/>
  <c r="P1865" i="1"/>
  <c r="L1861" i="1" a="1"/>
  <c r="L1861" i="1"/>
  <c r="P1861" i="1" a="1"/>
  <c r="P1861" i="1" s="1"/>
  <c r="O1865" i="1" a="1"/>
  <c r="O1865" i="1"/>
  <c r="I1865" i="1" a="1"/>
  <c r="I1865" i="1"/>
  <c r="F1859" i="1" a="1"/>
  <c r="F1859" i="1" s="1"/>
  <c r="L1864" i="1" a="1"/>
  <c r="L1864" i="1"/>
  <c r="F1865" i="1" a="1"/>
  <c r="F1865" i="1" s="1"/>
  <c r="G1861" i="1" a="1"/>
  <c r="G1861" i="1" s="1"/>
  <c r="O1859" i="1" a="1"/>
  <c r="O1859" i="1" s="1"/>
  <c r="O1864" i="1" a="1"/>
  <c r="O1864" i="1" s="1"/>
  <c r="H1861" i="1" a="1"/>
  <c r="H1861" i="1" s="1"/>
  <c r="G1859" i="1" a="1"/>
  <c r="G1859" i="1"/>
  <c r="F1861" i="1" a="1"/>
  <c r="F1861" i="1" s="1"/>
  <c r="I1864" i="1" a="1"/>
  <c r="I1864" i="1"/>
  <c r="N1861" i="1" a="1"/>
  <c r="N1861" i="1" s="1"/>
  <c r="L1859" i="1" a="1"/>
  <c r="L1859" i="1"/>
  <c r="I1861" i="1" a="1"/>
  <c r="I1861" i="1" s="1"/>
  <c r="H1865" i="1" a="1"/>
  <c r="H1865" i="1" s="1"/>
  <c r="N1859" i="1" a="1"/>
  <c r="N1859" i="1"/>
  <c r="N1865" i="1" a="1"/>
  <c r="N1865" i="1"/>
  <c r="M1865" i="1" a="1"/>
  <c r="M1865" i="1"/>
  <c r="L1865" i="1" a="1"/>
  <c r="L1865" i="1"/>
  <c r="P1864" i="1" a="1"/>
  <c r="P1864" i="1"/>
  <c r="K1864" i="1" a="1"/>
  <c r="K1864" i="1" s="1"/>
  <c r="K1865" i="1" a="1"/>
  <c r="K1865" i="1" s="1"/>
  <c r="N1864" i="1" a="1"/>
  <c r="N1864" i="1" s="1"/>
  <c r="F1864" i="1" a="1"/>
  <c r="F1864" i="1" s="1"/>
  <c r="M1864" i="1" a="1"/>
  <c r="M1864" i="1"/>
  <c r="H1864" i="1" a="1"/>
  <c r="H1864" i="1"/>
  <c r="M1861" i="1" a="1"/>
  <c r="M1861" i="1"/>
  <c r="J1861" i="1" a="1"/>
  <c r="J1861" i="1" s="1"/>
  <c r="K1859" i="1" a="1"/>
  <c r="K1859" i="1"/>
  <c r="Q1859" i="1" a="1"/>
  <c r="Q1859" i="1"/>
  <c r="H1859" i="1" a="1"/>
  <c r="H1859" i="1"/>
  <c r="K1861" i="1" a="1"/>
  <c r="K1861" i="1" s="1"/>
  <c r="G1864" i="1" a="1"/>
  <c r="G1864" i="1"/>
  <c r="Q1864" i="1" a="1"/>
  <c r="Q1864" i="1"/>
  <c r="J1865" i="1" a="1"/>
  <c r="J1865" i="1" s="1"/>
  <c r="G1865" i="1" a="1"/>
  <c r="G1865" i="1" s="1"/>
  <c r="J1864" i="1" a="1"/>
  <c r="J1864" i="1" s="1"/>
  <c r="Q1861" i="1" a="1"/>
  <c r="Q1861" i="1" s="1"/>
  <c r="J1859" i="1" a="1"/>
  <c r="J1859" i="1" s="1"/>
  <c r="M1859" i="1" a="1"/>
  <c r="M1859" i="1"/>
  <c r="O1861" i="1" a="1"/>
  <c r="O1861" i="1" s="1"/>
  <c r="M1900" i="1" a="1"/>
  <c r="M1900" i="1"/>
  <c r="L1898" i="1" a="1"/>
  <c r="L1898" i="1" s="1"/>
  <c r="M1902" i="1" a="1"/>
  <c r="M1902" i="1" s="1"/>
  <c r="P1900" i="1" a="1"/>
  <c r="P1900" i="1"/>
  <c r="L1902" i="1" a="1"/>
  <c r="L1902" i="1" s="1"/>
  <c r="O1900" i="1" a="1"/>
  <c r="O1900" i="1" s="1"/>
  <c r="P1898" i="1" a="1"/>
  <c r="P1898" i="1"/>
  <c r="O1902" i="1" a="1"/>
  <c r="O1902" i="1" s="1"/>
  <c r="L1900" i="1" a="1"/>
  <c r="L1900" i="1"/>
  <c r="Q1898" i="1" a="1"/>
  <c r="Q1898" i="1"/>
  <c r="J1902" i="1" a="1"/>
  <c r="J1902" i="1" s="1"/>
  <c r="Q1902" i="1" a="1"/>
  <c r="Q1902" i="1" s="1"/>
  <c r="G1902" i="1" a="1"/>
  <c r="G1902" i="1"/>
  <c r="K1900" i="1" a="1"/>
  <c r="K1900" i="1"/>
  <c r="G1898" i="1" a="1"/>
  <c r="G1898" i="1"/>
  <c r="G1900" i="1" a="1"/>
  <c r="G1900" i="1"/>
  <c r="I1898" i="1" a="1"/>
  <c r="I1898" i="1"/>
  <c r="H1902" i="1" a="1"/>
  <c r="H1902" i="1"/>
  <c r="P1902" i="1" a="1"/>
  <c r="P1902" i="1" s="1"/>
  <c r="K1902" i="1" a="1"/>
  <c r="K1902" i="1"/>
  <c r="N1900" i="1" a="1"/>
  <c r="N1900" i="1" s="1"/>
  <c r="M1898" i="1" a="1"/>
  <c r="M1898" i="1" s="1"/>
  <c r="I1900" i="1" a="1"/>
  <c r="I1900" i="1"/>
  <c r="N1898" i="1" a="1"/>
  <c r="N1898" i="1"/>
  <c r="K1898" i="1" a="1"/>
  <c r="K1898" i="1"/>
  <c r="J1900" i="1" a="1"/>
  <c r="J1900" i="1"/>
  <c r="N1902" i="1" a="1"/>
  <c r="N1902" i="1" s="1"/>
  <c r="Q1900" i="1" a="1"/>
  <c r="Q1900" i="1"/>
  <c r="F1900" i="1" a="1"/>
  <c r="F1900" i="1" s="1"/>
  <c r="J1898" i="1" a="1"/>
  <c r="J1898" i="1"/>
  <c r="I1902" i="1" a="1"/>
  <c r="I1902" i="1" s="1"/>
  <c r="F1902" i="1" a="1"/>
  <c r="F1902" i="1" s="1"/>
  <c r="H1900" i="1" a="1"/>
  <c r="H1900" i="1"/>
  <c r="H1898" i="1" a="1"/>
  <c r="H1898" i="1"/>
  <c r="O1898" i="1" a="1"/>
  <c r="O1898" i="1"/>
  <c r="P1890" i="1" a="1"/>
  <c r="P1890" i="1" s="1"/>
  <c r="P1893" i="1" a="1"/>
  <c r="P1893" i="1"/>
  <c r="F1893" i="1" a="1"/>
  <c r="F1893" i="1" s="1"/>
  <c r="M1892" i="1" a="1"/>
  <c r="M1892" i="1"/>
  <c r="F1892" i="1" a="1"/>
  <c r="F1892" i="1" s="1"/>
  <c r="Q1894" i="1" a="1"/>
  <c r="Q1894" i="1" s="1"/>
  <c r="P1894" i="1" a="1"/>
  <c r="P1894" i="1"/>
  <c r="F1894" i="1" a="1"/>
  <c r="F1894" i="1"/>
  <c r="O1892" i="1" a="1"/>
  <c r="O1892" i="1"/>
  <c r="H1892" i="1" a="1"/>
  <c r="H1892" i="1"/>
  <c r="O1890" i="1" a="1"/>
  <c r="O1890" i="1"/>
  <c r="M1894" i="1" a="1"/>
  <c r="M1894" i="1"/>
  <c r="H1894" i="1" a="1"/>
  <c r="H1894" i="1"/>
  <c r="N1893" i="1" a="1"/>
  <c r="N1893" i="1" s="1"/>
  <c r="K1893" i="1" a="1"/>
  <c r="K1893" i="1" s="1"/>
  <c r="H1893" i="1" a="1"/>
  <c r="H1893" i="1" s="1"/>
  <c r="Q1892" i="1" a="1"/>
  <c r="Q1892" i="1" s="1"/>
  <c r="L1892" i="1" a="1"/>
  <c r="L1892" i="1" s="1"/>
  <c r="J1892" i="1" a="1"/>
  <c r="J1892" i="1"/>
  <c r="F1898" i="1" a="1"/>
  <c r="F1898" i="1" s="1"/>
  <c r="K1896" i="1" a="1"/>
  <c r="K1896" i="1" s="1"/>
  <c r="G1893" i="1" a="1"/>
  <c r="G1893" i="1"/>
  <c r="Q1896" i="1" a="1"/>
  <c r="Q1896" i="1" s="1"/>
  <c r="P1896" i="1" a="1"/>
  <c r="P1896" i="1"/>
  <c r="O1896" i="1" a="1"/>
  <c r="O1896" i="1" s="1"/>
  <c r="I1894" i="1" a="1"/>
  <c r="I1894" i="1"/>
  <c r="G1894" i="1" a="1"/>
  <c r="G1894" i="1"/>
  <c r="L1893" i="1" a="1"/>
  <c r="L1893" i="1" s="1"/>
  <c r="H1896" i="1" a="1"/>
  <c r="H1896" i="1" s="1"/>
  <c r="N1894" i="1" a="1"/>
  <c r="N1894" i="1"/>
  <c r="L1894" i="1" a="1"/>
  <c r="L1894" i="1"/>
  <c r="I1893" i="1" a="1"/>
  <c r="I1893" i="1" s="1"/>
  <c r="P1892" i="1" a="1"/>
  <c r="P1892" i="1"/>
  <c r="I1892" i="1" a="1"/>
  <c r="I1892" i="1" s="1"/>
  <c r="Q1890" i="1" a="1"/>
  <c r="Q1890" i="1" s="1"/>
  <c r="K1892" i="1" a="1"/>
  <c r="K1892" i="1"/>
  <c r="I1896" i="1" a="1"/>
  <c r="I1896" i="1"/>
  <c r="J1894" i="1" a="1"/>
  <c r="J1894" i="1"/>
  <c r="J1893" i="1" a="1"/>
  <c r="J1893" i="1" s="1"/>
  <c r="O1893" i="1" a="1"/>
  <c r="O1893" i="1"/>
  <c r="N1892" i="1" a="1"/>
  <c r="N1892" i="1"/>
  <c r="G1892" i="1" a="1"/>
  <c r="G1892" i="1"/>
  <c r="N1896" i="1" a="1"/>
  <c r="N1896" i="1" s="1"/>
  <c r="M1896" i="1" a="1"/>
  <c r="M1896" i="1"/>
  <c r="L1896" i="1" a="1"/>
  <c r="L1896" i="1"/>
  <c r="J1896" i="1" a="1"/>
  <c r="J1896" i="1"/>
  <c r="G1896" i="1" a="1"/>
  <c r="G1896" i="1"/>
  <c r="O1894" i="1" a="1"/>
  <c r="O1894" i="1"/>
  <c r="K1894" i="1" a="1"/>
  <c r="K1894" i="1" s="1"/>
  <c r="Q1893" i="1" a="1"/>
  <c r="Q1893" i="1" s="1"/>
  <c r="M1893" i="1" a="1"/>
  <c r="M1893" i="1"/>
  <c r="F1896" i="1" a="1"/>
  <c r="F1896" i="1" s="1"/>
  <c r="G1888" i="1" a="1"/>
  <c r="G1888" i="1"/>
  <c r="P1882" i="1" a="1"/>
  <c r="P1882" i="1" s="1"/>
  <c r="P1887" i="1" a="1"/>
  <c r="P1887" i="1" s="1"/>
  <c r="Q1887" i="1" a="1"/>
  <c r="Q1887" i="1" s="1"/>
  <c r="O1884" i="1" a="1"/>
  <c r="O1884" i="1" s="1"/>
  <c r="H1890" i="1" a="1"/>
  <c r="H1890" i="1"/>
  <c r="O1888" i="1" a="1"/>
  <c r="O1888" i="1" s="1"/>
  <c r="K1884" i="1" a="1"/>
  <c r="K1884" i="1"/>
  <c r="N1888" i="1" a="1"/>
  <c r="N1888" i="1" s="1"/>
  <c r="K1888" i="1" a="1"/>
  <c r="K1888" i="1"/>
  <c r="L1888" i="1" a="1"/>
  <c r="L1888" i="1"/>
  <c r="N1887" i="1" a="1"/>
  <c r="N1887" i="1" s="1"/>
  <c r="M1887" i="1" a="1"/>
  <c r="M1887" i="1"/>
  <c r="H1887" i="1" a="1"/>
  <c r="H1887" i="1"/>
  <c r="N1882" i="1" a="1"/>
  <c r="N1882" i="1"/>
  <c r="G1887" i="1" a="1"/>
  <c r="G1887" i="1" s="1"/>
  <c r="Q1884" i="1" a="1"/>
  <c r="Q1884" i="1"/>
  <c r="G1884" i="1" a="1"/>
  <c r="G1884" i="1" s="1"/>
  <c r="H1884" i="1" a="1"/>
  <c r="H1884" i="1" s="1"/>
  <c r="F1887" i="1" a="1"/>
  <c r="F1887" i="1"/>
  <c r="L1884" i="1" a="1"/>
  <c r="L1884" i="1"/>
  <c r="M1884" i="1" a="1"/>
  <c r="M1884" i="1" s="1"/>
  <c r="P1884" i="1" a="1"/>
  <c r="P1884" i="1"/>
  <c r="N1884" i="1" a="1"/>
  <c r="N1884" i="1"/>
  <c r="O1887" i="1" a="1"/>
  <c r="O1887" i="1" s="1"/>
  <c r="K1887" i="1" a="1"/>
  <c r="K1887" i="1" s="1"/>
  <c r="I1887" i="1" a="1"/>
  <c r="I1887" i="1" s="1"/>
  <c r="N1890" i="1" a="1"/>
  <c r="N1890" i="1"/>
  <c r="K1890" i="1" a="1"/>
  <c r="K1890" i="1" s="1"/>
  <c r="G1890" i="1" a="1"/>
  <c r="G1890" i="1"/>
  <c r="Q1888" i="1" a="1"/>
  <c r="Q1888" i="1"/>
  <c r="L1887" i="1" a="1"/>
  <c r="L1887" i="1"/>
  <c r="Q1882" i="1" a="1"/>
  <c r="Q1882" i="1" s="1"/>
  <c r="J1884" i="1" a="1"/>
  <c r="J1884" i="1" s="1"/>
  <c r="F1890" i="1" a="1"/>
  <c r="F1890" i="1" s="1"/>
  <c r="F1884" i="1" a="1"/>
  <c r="F1884" i="1" s="1"/>
  <c r="I1884" i="1" a="1"/>
  <c r="I1884" i="1"/>
  <c r="P1888" i="1" a="1"/>
  <c r="P1888" i="1"/>
  <c r="O1882" i="1" a="1"/>
  <c r="O1882" i="1" s="1"/>
  <c r="M1890" i="1" a="1"/>
  <c r="M1890" i="1"/>
  <c r="L1890" i="1" a="1"/>
  <c r="L1890" i="1" s="1"/>
  <c r="J1888" i="1" a="1"/>
  <c r="J1888" i="1"/>
  <c r="I1888" i="1" a="1"/>
  <c r="I1888" i="1"/>
  <c r="J1890" i="1" a="1"/>
  <c r="J1890" i="1"/>
  <c r="I1890" i="1" a="1"/>
  <c r="I1890" i="1"/>
  <c r="H1888" i="1" a="1"/>
  <c r="H1888" i="1"/>
  <c r="J1887" i="1" a="1"/>
  <c r="J1887" i="1" s="1"/>
  <c r="M1888" i="1" a="1"/>
  <c r="M1888" i="1" s="1"/>
  <c r="F1888" i="1" a="1"/>
  <c r="F1888" i="1" s="1"/>
  <c r="G1882" i="1" a="1"/>
  <c r="G1882" i="1" s="1"/>
  <c r="L1880" i="1" a="1"/>
  <c r="L1880" i="1" s="1"/>
  <c r="O1880" i="1" a="1"/>
  <c r="O1880" i="1"/>
  <c r="K1874" i="1" a="1"/>
  <c r="K1874" i="1"/>
  <c r="I1878" i="1" a="1"/>
  <c r="I1878" i="1"/>
  <c r="F1882" i="1" a="1"/>
  <c r="F1882" i="1"/>
  <c r="I1874" i="1" a="1"/>
  <c r="I1874" i="1" s="1"/>
  <c r="K1880" i="1" a="1"/>
  <c r="K1880" i="1"/>
  <c r="K1878" i="1" a="1"/>
  <c r="K1878" i="1" s="1"/>
  <c r="Q1876" i="1" a="1"/>
  <c r="Q1876" i="1" s="1"/>
  <c r="K1876" i="1" a="1"/>
  <c r="K1876" i="1" s="1"/>
  <c r="O1872" i="1" a="1"/>
  <c r="O1872" i="1" s="1"/>
  <c r="H1876" i="1" a="1"/>
  <c r="H1876" i="1"/>
  <c r="P1878" i="1" a="1"/>
  <c r="P1878" i="1"/>
  <c r="O1878" i="1" a="1"/>
  <c r="O1878" i="1"/>
  <c r="F1878" i="1" a="1"/>
  <c r="F1878" i="1"/>
  <c r="M1878" i="1" a="1"/>
  <c r="M1878" i="1"/>
  <c r="M1882" i="1" a="1"/>
  <c r="M1882" i="1"/>
  <c r="J1880" i="1" a="1"/>
  <c r="J1880" i="1" s="1"/>
  <c r="H1874" i="1" a="1"/>
  <c r="H1874" i="1"/>
  <c r="M1880" i="1" a="1"/>
  <c r="M1880" i="1" s="1"/>
  <c r="P1876" i="1" a="1"/>
  <c r="P1876" i="1"/>
  <c r="P1874" i="1" a="1"/>
  <c r="P1874" i="1"/>
  <c r="F1880" i="1" a="1"/>
  <c r="F1880" i="1"/>
  <c r="I1882" i="1" a="1"/>
  <c r="I1882" i="1" s="1"/>
  <c r="J1874" i="1" a="1"/>
  <c r="J1874" i="1" s="1"/>
  <c r="N1876" i="1" a="1"/>
  <c r="N1876" i="1"/>
  <c r="Q1874" i="1" a="1"/>
  <c r="Q1874" i="1"/>
  <c r="L1882" i="1" a="1"/>
  <c r="L1882" i="1"/>
  <c r="H1882" i="1" a="1"/>
  <c r="H1882" i="1"/>
  <c r="I1876" i="1" a="1"/>
  <c r="I1876" i="1"/>
  <c r="I1880" i="1" a="1"/>
  <c r="I1880" i="1"/>
  <c r="H1880" i="1" a="1"/>
  <c r="H1880" i="1"/>
  <c r="Q1878" i="1" a="1"/>
  <c r="Q1878" i="1" s="1"/>
  <c r="N1878" i="1" a="1"/>
  <c r="N1878" i="1"/>
  <c r="O1876" i="1" a="1"/>
  <c r="O1876" i="1" s="1"/>
  <c r="L1878" i="1" a="1"/>
  <c r="L1878" i="1"/>
  <c r="G1878" i="1" a="1"/>
  <c r="G1878" i="1" s="1"/>
  <c r="F1876" i="1" a="1"/>
  <c r="F1876" i="1" s="1"/>
  <c r="F1874" i="1" a="1"/>
  <c r="F1874" i="1" s="1"/>
  <c r="L1874" i="1" a="1"/>
  <c r="L1874" i="1" s="1"/>
  <c r="M1874" i="1" a="1"/>
  <c r="M1874" i="1"/>
  <c r="P1872" i="1" a="1"/>
  <c r="P1872" i="1"/>
  <c r="G1876" i="1" a="1"/>
  <c r="G1876" i="1" s="1"/>
  <c r="G1874" i="1" a="1"/>
  <c r="G1874" i="1" s="1"/>
  <c r="Q1872" i="1" a="1"/>
  <c r="Q1872" i="1"/>
  <c r="J1878" i="1" a="1"/>
  <c r="J1878" i="1" s="1"/>
  <c r="H1878" i="1" a="1"/>
  <c r="H1878" i="1" s="1"/>
  <c r="L1876" i="1" a="1"/>
  <c r="L1876" i="1"/>
  <c r="N1874" i="1" a="1"/>
  <c r="N1874" i="1" s="1"/>
  <c r="Q1880" i="1" a="1"/>
  <c r="Q1880" i="1"/>
  <c r="O1874" i="1" a="1"/>
  <c r="O1874" i="1"/>
  <c r="K1882" i="1" a="1"/>
  <c r="K1882" i="1"/>
  <c r="J1882" i="1" a="1"/>
  <c r="J1882" i="1" s="1"/>
  <c r="P1880" i="1" a="1"/>
  <c r="P1880" i="1" s="1"/>
  <c r="G1880" i="1" a="1"/>
  <c r="G1880" i="1" s="1"/>
  <c r="M1876" i="1" a="1"/>
  <c r="M1876" i="1"/>
  <c r="J1876" i="1" a="1"/>
  <c r="J1876" i="1" s="1"/>
  <c r="N1880" i="1" a="1"/>
  <c r="N1880" i="1" s="1"/>
  <c r="Q1871" i="1" a="1"/>
  <c r="Q1871" i="1"/>
  <c r="M1867" i="1" a="1"/>
  <c r="M1867" i="1"/>
  <c r="P1870" i="1" a="1"/>
  <c r="P1870" i="1" s="1"/>
  <c r="G1870" i="1" a="1"/>
  <c r="G1870" i="1" s="1"/>
  <c r="N1871" i="1" a="1"/>
  <c r="N1871" i="1"/>
  <c r="I1871" i="1" a="1"/>
  <c r="I1871" i="1" s="1"/>
  <c r="N1870" i="1" a="1"/>
  <c r="N1870" i="1"/>
  <c r="O1867" i="1" a="1"/>
  <c r="O1867" i="1" s="1"/>
  <c r="H1868" i="1" a="1"/>
  <c r="H1868" i="1" s="1"/>
  <c r="L1871" i="1" a="1"/>
  <c r="L1871" i="1"/>
  <c r="K1871" i="1" a="1"/>
  <c r="K1871" i="1" s="1"/>
  <c r="Q1870" i="1" a="1"/>
  <c r="Q1870" i="1"/>
  <c r="F1867" i="1" a="1"/>
  <c r="F1867" i="1"/>
  <c r="G1867" i="1" a="1"/>
  <c r="G1867" i="1" s="1"/>
  <c r="Q1865" i="1" a="1"/>
  <c r="Q1865" i="1" s="1"/>
  <c r="J1871" i="1" a="1"/>
  <c r="J1871" i="1"/>
  <c r="F1871" i="1" a="1"/>
  <c r="F1871" i="1"/>
  <c r="K1868" i="1" a="1"/>
  <c r="K1868" i="1" s="1"/>
  <c r="I1868" i="1" a="1"/>
  <c r="I1868" i="1"/>
  <c r="L1867" i="1" a="1"/>
  <c r="L1867" i="1" s="1"/>
  <c r="L1870" i="1" a="1"/>
  <c r="L1870" i="1"/>
  <c r="F1870" i="1" a="1"/>
  <c r="F1870" i="1"/>
  <c r="I1867" i="1" a="1"/>
  <c r="I1867" i="1" s="1"/>
  <c r="O1870" i="1" a="1"/>
  <c r="O1870" i="1" s="1"/>
  <c r="N1868" i="1" a="1"/>
  <c r="N1868" i="1"/>
  <c r="G1868" i="1" a="1"/>
  <c r="G1868" i="1" s="1"/>
  <c r="Q1867" i="1" a="1"/>
  <c r="Q1867" i="1"/>
  <c r="N1867" i="1" a="1"/>
  <c r="N1867" i="1"/>
  <c r="H1867" i="1" a="1"/>
  <c r="H1867" i="1" s="1"/>
  <c r="N1872" i="1" a="1"/>
  <c r="N1872" i="1" s="1"/>
  <c r="L1872" i="1" a="1"/>
  <c r="L1872" i="1"/>
  <c r="P1871" i="1" a="1"/>
  <c r="P1871" i="1"/>
  <c r="H1871" i="1" a="1"/>
  <c r="H1871" i="1" s="1"/>
  <c r="G1871" i="1" a="1"/>
  <c r="G1871" i="1"/>
  <c r="I1870" i="1" a="1"/>
  <c r="I1870" i="1" s="1"/>
  <c r="P1867" i="1" a="1"/>
  <c r="P1867" i="1"/>
  <c r="K1867" i="1" a="1"/>
  <c r="K1867" i="1" s="1"/>
  <c r="H1870" i="1" a="1"/>
  <c r="H1870" i="1"/>
  <c r="P1868" i="1" a="1"/>
  <c r="P1868" i="1" s="1"/>
  <c r="J1867" i="1" a="1"/>
  <c r="J1867" i="1"/>
  <c r="J1872" i="1" a="1"/>
  <c r="J1872" i="1" s="1"/>
  <c r="G1872" i="1" a="1"/>
  <c r="G1872" i="1"/>
  <c r="M1871" i="1" a="1"/>
  <c r="M1871" i="1"/>
  <c r="J1868" i="1" a="1"/>
  <c r="J1868" i="1" s="1"/>
  <c r="O1868" i="1" a="1"/>
  <c r="O1868" i="1" s="1"/>
  <c r="J1870" i="1" a="1"/>
  <c r="J1870" i="1"/>
  <c r="Q1868" i="1" a="1"/>
  <c r="Q1868" i="1"/>
  <c r="M1872" i="1" a="1"/>
  <c r="M1872" i="1" s="1"/>
  <c r="K1870" i="1" a="1"/>
  <c r="K1870" i="1" s="1"/>
  <c r="K1872" i="1" a="1"/>
  <c r="K1872" i="1"/>
  <c r="I1872" i="1" a="1"/>
  <c r="I1872" i="1" s="1"/>
  <c r="H1872" i="1" a="1"/>
  <c r="H1872" i="1" s="1"/>
  <c r="O1871" i="1" a="1"/>
  <c r="O1871" i="1"/>
  <c r="F1868" i="1" a="1"/>
  <c r="F1868" i="1"/>
  <c r="L1868" i="1" a="1"/>
  <c r="L1868" i="1"/>
  <c r="M1868" i="1" a="1"/>
  <c r="M1868" i="1" s="1"/>
  <c r="M1870" i="1" a="1"/>
  <c r="M1870" i="1"/>
  <c r="F1872" i="1" a="1"/>
  <c r="F1872" i="1" s="1"/>
  <c r="J1054" i="1"/>
  <c r="F1054" i="1"/>
  <c r="M1053" i="1"/>
  <c r="M1054" i="1" a="1"/>
  <c r="M1054" i="1" s="1"/>
  <c r="H1054" i="1" a="1"/>
  <c r="H1054" i="1"/>
  <c r="G1053" i="1" a="1"/>
  <c r="G1053" i="1" s="1"/>
  <c r="J1039" i="1" a="1"/>
  <c r="J1039" i="1" s="1"/>
  <c r="P1039" i="1" a="1"/>
  <c r="P1039" i="1"/>
  <c r="J1032" i="1" a="1"/>
  <c r="J1032" i="1"/>
  <c r="P1041" i="1" a="1"/>
  <c r="P1041" i="1" s="1"/>
  <c r="M1041" i="1" a="1"/>
  <c r="M1041" i="1"/>
  <c r="P1032" i="1" a="1"/>
  <c r="P1032" i="1"/>
  <c r="O1041" i="1" a="1"/>
  <c r="O1041" i="1" s="1"/>
  <c r="N1041" i="1" a="1"/>
  <c r="N1041" i="1"/>
  <c r="H1041" i="1" a="1"/>
  <c r="H1041" i="1"/>
  <c r="G1041" i="1" a="1"/>
  <c r="G1041" i="1"/>
  <c r="L1039" i="1" a="1"/>
  <c r="L1039" i="1"/>
  <c r="Q1032" i="1" a="1"/>
  <c r="Q1032" i="1" s="1"/>
  <c r="O1039" i="1" a="1"/>
  <c r="O1039" i="1"/>
  <c r="K1039" i="1" a="1"/>
  <c r="K1039" i="1" s="1"/>
  <c r="F1041" i="1" a="1"/>
  <c r="F1041" i="1"/>
  <c r="Q1041" i="1" a="1"/>
  <c r="Q1041" i="1"/>
  <c r="L1041" i="1" a="1"/>
  <c r="L1041" i="1"/>
  <c r="I1041" i="1" a="1"/>
  <c r="I1041" i="1" s="1"/>
  <c r="J1041" i="1" a="1"/>
  <c r="J1041" i="1" s="1"/>
  <c r="G1039" i="1" a="1"/>
  <c r="G1039" i="1" s="1"/>
  <c r="F1039" i="1" a="1"/>
  <c r="F1039" i="1"/>
  <c r="M1039" i="1" a="1"/>
  <c r="M1039" i="1" s="1"/>
  <c r="O1032" i="1" a="1"/>
  <c r="O1032" i="1"/>
  <c r="M1032" i="1" a="1"/>
  <c r="M1032" i="1"/>
  <c r="N1039" i="1" a="1"/>
  <c r="N1039" i="1" s="1"/>
  <c r="N1051" i="1" a="1"/>
  <c r="N1051" i="1" s="1"/>
  <c r="M1051" i="1" a="1"/>
  <c r="M1051" i="1" s="1"/>
  <c r="H1039" i="1" a="1"/>
  <c r="H1039" i="1" s="1"/>
  <c r="J1051" i="1" a="1"/>
  <c r="J1051" i="1" s="1"/>
  <c r="I1051" i="1" a="1"/>
  <c r="I1051" i="1"/>
  <c r="Q1039" i="1" a="1"/>
  <c r="Q1039" i="1" s="1"/>
  <c r="I1039" i="1" a="1"/>
  <c r="I1039" i="1" s="1"/>
  <c r="L1032" i="1" a="1"/>
  <c r="L1032" i="1"/>
  <c r="K1032" i="1" a="1"/>
  <c r="K1032" i="1"/>
  <c r="K1041" i="1" a="1"/>
  <c r="K1041" i="1"/>
  <c r="N1032" i="1" a="1"/>
  <c r="N1032" i="1"/>
  <c r="P1024" i="1" a="1"/>
  <c r="P1024" i="1" s="1"/>
  <c r="F1024" i="1" a="1"/>
  <c r="F1024" i="1"/>
  <c r="K1024" i="1" a="1"/>
  <c r="K1024" i="1" s="1"/>
  <c r="N1024" i="1" a="1"/>
  <c r="N1024" i="1" s="1"/>
  <c r="M1027" i="1" a="1"/>
  <c r="M1027" i="1" s="1"/>
  <c r="J1029" i="1" a="1"/>
  <c r="J1029" i="1"/>
  <c r="I1032" i="1" a="1"/>
  <c r="I1032" i="1"/>
  <c r="H1032" i="1" a="1"/>
  <c r="H1032" i="1"/>
  <c r="G1032" i="1" a="1"/>
  <c r="G1032" i="1" s="1"/>
  <c r="F1032" i="1" a="1"/>
  <c r="F1032" i="1" s="1"/>
  <c r="I1024" i="1" a="1"/>
  <c r="I1024" i="1" s="1"/>
  <c r="H1029" i="1" a="1"/>
  <c r="H1029" i="1"/>
  <c r="M1024" i="1" a="1"/>
  <c r="M1024" i="1" s="1"/>
  <c r="Q1027" i="1" a="1"/>
  <c r="Q1027" i="1" s="1"/>
  <c r="Q1029" i="1" a="1"/>
  <c r="Q1029" i="1" s="1"/>
  <c r="P1029" i="1" a="1"/>
  <c r="P1029" i="1" s="1"/>
  <c r="G1029" i="1" a="1"/>
  <c r="G1029" i="1" s="1"/>
  <c r="G1027" i="1" a="1"/>
  <c r="G1027" i="1"/>
  <c r="J1024" i="1" a="1"/>
  <c r="J1024" i="1"/>
  <c r="Q1024" i="1" a="1"/>
  <c r="Q1024" i="1"/>
  <c r="H1027" i="1" a="1"/>
  <c r="H1027" i="1"/>
  <c r="O1029" i="1" a="1"/>
  <c r="O1029" i="1" s="1"/>
  <c r="L1024" i="1" a="1"/>
  <c r="L1024" i="1" s="1"/>
  <c r="N1029" i="1" a="1"/>
  <c r="N1029" i="1" s="1"/>
  <c r="M1029" i="1" a="1"/>
  <c r="M1029" i="1" s="1"/>
  <c r="O1027" i="1" a="1"/>
  <c r="O1027" i="1"/>
  <c r="H1024" i="1" a="1"/>
  <c r="H1024" i="1"/>
  <c r="N1027" i="1" a="1"/>
  <c r="N1027" i="1"/>
  <c r="K1027" i="1" a="1"/>
  <c r="K1027" i="1" s="1"/>
  <c r="G1024" i="1" a="1"/>
  <c r="G1024" i="1"/>
  <c r="K1029" i="1" a="1"/>
  <c r="K1029" i="1"/>
  <c r="I1029" i="1" a="1"/>
  <c r="I1029" i="1"/>
  <c r="F1029" i="1" a="1"/>
  <c r="F1029" i="1" s="1"/>
  <c r="L1027" i="1" a="1"/>
  <c r="L1027" i="1"/>
  <c r="L1029" i="1" a="1"/>
  <c r="L1029" i="1" s="1"/>
  <c r="P1027" i="1" a="1"/>
  <c r="P1027" i="1"/>
  <c r="I1027" i="1" a="1"/>
  <c r="I1027" i="1" s="1"/>
  <c r="O1024" i="1" a="1"/>
  <c r="O1024" i="1"/>
  <c r="J1027" i="1" a="1"/>
  <c r="J1027" i="1" s="1"/>
  <c r="F1027" i="1" a="1"/>
  <c r="F1027" i="1" s="1"/>
  <c r="N998" i="1" a="1"/>
  <c r="N998" i="1"/>
  <c r="G999" i="1" a="1"/>
  <c r="G999" i="1" s="1"/>
  <c r="G1051" i="1" s="1" a="1"/>
  <c r="G1051" i="1" s="1"/>
  <c r="F998" i="1" a="1"/>
  <c r="F998" i="1"/>
  <c r="H999" i="1" a="1"/>
  <c r="H999" i="1"/>
  <c r="H1051" i="1" s="1" a="1"/>
  <c r="H1051" i="1" s="1"/>
  <c r="K1008" i="1" a="1"/>
  <c r="K1008" i="1" s="1"/>
  <c r="K1054" i="1" s="1" a="1"/>
  <c r="K1054" i="1" s="1"/>
  <c r="G1008" i="1" a="1"/>
  <c r="G1008" i="1"/>
  <c r="G1054" i="1" s="1" a="1"/>
  <c r="G1054" i="1" s="1"/>
  <c r="O999" i="1" a="1"/>
  <c r="O999" i="1"/>
  <c r="O1051" i="1" s="1" a="1"/>
  <c r="O1051" i="1" s="1"/>
  <c r="I999" i="1" a="1"/>
  <c r="I999" i="1"/>
  <c r="K999" i="1" a="1"/>
  <c r="K999" i="1" s="1"/>
  <c r="K1051" i="1" s="1" a="1"/>
  <c r="K1051" i="1" s="1"/>
  <c r="N1008" i="1" a="1"/>
  <c r="N1008" i="1" s="1"/>
  <c r="N1054" i="1" s="1" a="1"/>
  <c r="N1054" i="1" s="1"/>
  <c r="Q999" i="1" a="1"/>
  <c r="Q999" i="1" s="1"/>
  <c r="Q1051" i="1" s="1" a="1"/>
  <c r="Q1051" i="1" s="1"/>
  <c r="H1008" i="1" a="1"/>
  <c r="H1008" i="1"/>
  <c r="Q998" i="1" a="1"/>
  <c r="Q998" i="1" s="1"/>
  <c r="M999" i="1" a="1"/>
  <c r="M999" i="1" s="1"/>
  <c r="O998" i="1" a="1"/>
  <c r="O998" i="1"/>
  <c r="J1008" i="1" a="1"/>
  <c r="J1008" i="1"/>
  <c r="J1054" i="1" s="1" a="1"/>
  <c r="N999" i="1" a="1"/>
  <c r="N999" i="1"/>
  <c r="K998" i="1" a="1"/>
  <c r="K998" i="1" s="1"/>
  <c r="J998" i="1" a="1"/>
  <c r="J998" i="1"/>
  <c r="F1008" i="1" a="1"/>
  <c r="F1008" i="1"/>
  <c r="F1054" i="1" s="1" a="1"/>
  <c r="P999" i="1" a="1"/>
  <c r="P999" i="1" s="1"/>
  <c r="P1051" i="1" s="1" a="1"/>
  <c r="P1051" i="1" s="1"/>
  <c r="P998" i="1" a="1"/>
  <c r="P998" i="1"/>
  <c r="L999" i="1" a="1"/>
  <c r="L999" i="1"/>
  <c r="L1051" i="1" s="1" a="1"/>
  <c r="L1051" i="1" s="1"/>
  <c r="Q1008" i="1" a="1"/>
  <c r="Q1008" i="1"/>
  <c r="Q1054" i="1" s="1" a="1"/>
  <c r="Q1054" i="1" s="1"/>
  <c r="M998" i="1" a="1"/>
  <c r="M998" i="1" s="1"/>
  <c r="P1008" i="1" a="1"/>
  <c r="P1008" i="1"/>
  <c r="P1054" i="1" s="1" a="1"/>
  <c r="P1054" i="1" s="1"/>
  <c r="L998" i="1" a="1"/>
  <c r="L998" i="1"/>
  <c r="H998" i="1" a="1"/>
  <c r="H998" i="1" s="1"/>
  <c r="O1008" i="1" a="1"/>
  <c r="O1008" i="1" s="1"/>
  <c r="O1054" i="1" s="1" a="1"/>
  <c r="O1054" i="1" s="1"/>
  <c r="M1008" i="1" a="1"/>
  <c r="M1008" i="1"/>
  <c r="J999" i="1" a="1"/>
  <c r="J999" i="1" s="1"/>
  <c r="F999" i="1" a="1"/>
  <c r="F999" i="1" s="1"/>
  <c r="F1051" i="1" s="1" a="1"/>
  <c r="F1051" i="1" s="1"/>
  <c r="G998" i="1" a="1"/>
  <c r="G998" i="1"/>
  <c r="I998" i="1" a="1"/>
  <c r="I998" i="1"/>
  <c r="L1008" i="1" a="1"/>
  <c r="L1008" i="1"/>
  <c r="L1054" i="1" s="1" a="1"/>
  <c r="L1054" i="1" s="1"/>
  <c r="I1008" i="1" a="1"/>
  <c r="I1008" i="1" s="1"/>
  <c r="I1054" i="1" s="1" a="1"/>
  <c r="I1054" i="1" s="1"/>
  <c r="H979" i="1" a="1"/>
  <c r="H979" i="1" s="1"/>
  <c r="H1053" i="1" s="1" a="1"/>
  <c r="H1053" i="1" s="1"/>
  <c r="O991" i="1" a="1"/>
  <c r="O991" i="1"/>
  <c r="M991" i="1" a="1"/>
  <c r="M991" i="1" s="1"/>
  <c r="K985" i="1" a="1"/>
  <c r="K985" i="1" s="1"/>
  <c r="Q979" i="1" a="1"/>
  <c r="Q979" i="1" s="1"/>
  <c r="Q1053" i="1" s="1" a="1"/>
  <c r="Q1053" i="1" s="1"/>
  <c r="N979" i="1" a="1"/>
  <c r="N979" i="1" s="1"/>
  <c r="N1053" i="1" s="1" a="1"/>
  <c r="N1053" i="1" s="1"/>
  <c r="M979" i="1" a="1"/>
  <c r="M979" i="1" s="1"/>
  <c r="M1053" i="1" s="1" a="1"/>
  <c r="Q978" i="1" a="1"/>
  <c r="Q978" i="1"/>
  <c r="L979" i="1" a="1"/>
  <c r="L979" i="1"/>
  <c r="L1053" i="1" s="1" a="1"/>
  <c r="L1053" i="1" s="1"/>
  <c r="H978" i="1" a="1"/>
  <c r="H978" i="1"/>
  <c r="Q991" i="1" a="1"/>
  <c r="Q991" i="1" s="1"/>
  <c r="P991" i="1" a="1"/>
  <c r="P991" i="1"/>
  <c r="N991" i="1" a="1"/>
  <c r="N991" i="1"/>
  <c r="J991" i="1" a="1"/>
  <c r="J991" i="1"/>
  <c r="P978" i="1" a="1"/>
  <c r="P978" i="1" s="1"/>
  <c r="F979" i="1" a="1"/>
  <c r="F979" i="1" s="1"/>
  <c r="F1053" i="1" s="1" a="1"/>
  <c r="F1053" i="1" s="1"/>
  <c r="J985" i="1" a="1"/>
  <c r="J985" i="1" s="1"/>
  <c r="L991" i="1" a="1"/>
  <c r="L991" i="1"/>
  <c r="N985" i="1" a="1"/>
  <c r="N985" i="1"/>
  <c r="O985" i="1" a="1"/>
  <c r="O985" i="1" s="1"/>
  <c r="K991" i="1" a="1"/>
  <c r="K991" i="1" s="1"/>
  <c r="I978" i="1" a="1"/>
  <c r="I978" i="1" s="1"/>
  <c r="H991" i="1" a="1"/>
  <c r="H991" i="1"/>
  <c r="G991" i="1" a="1"/>
  <c r="G991" i="1" s="1"/>
  <c r="F991" i="1" a="1"/>
  <c r="F991" i="1"/>
  <c r="Q985" i="1" a="1"/>
  <c r="Q985" i="1" s="1"/>
  <c r="G979" i="1" a="1"/>
  <c r="G979" i="1"/>
  <c r="L978" i="1" a="1"/>
  <c r="L978" i="1"/>
  <c r="J978" i="1" a="1"/>
  <c r="J978" i="1" s="1"/>
  <c r="P985" i="1" a="1"/>
  <c r="P985" i="1"/>
  <c r="M978" i="1" a="1"/>
  <c r="M978" i="1" s="1"/>
  <c r="P979" i="1" a="1"/>
  <c r="P979" i="1" s="1"/>
  <c r="P1053" i="1" s="1" a="1"/>
  <c r="P1053" i="1" s="1"/>
  <c r="O979" i="1" a="1"/>
  <c r="O979" i="1" s="1"/>
  <c r="O1053" i="1" s="1" a="1"/>
  <c r="O1053" i="1" s="1"/>
  <c r="I985" i="1" a="1"/>
  <c r="I985" i="1" s="1"/>
  <c r="N978" i="1" a="1"/>
  <c r="N978" i="1"/>
  <c r="L985" i="1" a="1"/>
  <c r="L985" i="1" s="1"/>
  <c r="H985" i="1" a="1"/>
  <c r="H985" i="1"/>
  <c r="K978" i="1" a="1"/>
  <c r="K978" i="1"/>
  <c r="G985" i="1" a="1"/>
  <c r="G985" i="1"/>
  <c r="M985" i="1" a="1"/>
  <c r="M985" i="1"/>
  <c r="F985" i="1" a="1"/>
  <c r="F985" i="1" s="1"/>
  <c r="K979" i="1" a="1"/>
  <c r="K979" i="1"/>
  <c r="K1053" i="1" s="1" a="1"/>
  <c r="K1053" i="1" s="1"/>
  <c r="I979" i="1" a="1"/>
  <c r="I979" i="1"/>
  <c r="I1053" i="1" s="1" a="1"/>
  <c r="I1053" i="1" s="1"/>
  <c r="J979" i="1" a="1"/>
  <c r="J979" i="1" s="1"/>
  <c r="J1053" i="1" s="1" a="1"/>
  <c r="J1053" i="1" s="1"/>
  <c r="O978" i="1" a="1"/>
  <c r="O978" i="1" s="1"/>
  <c r="I991" i="1" a="1"/>
  <c r="I991" i="1"/>
  <c r="L976" i="1" a="1"/>
  <c r="L976" i="1" s="1"/>
  <c r="M976" i="1" a="1"/>
  <c r="M976" i="1" s="1"/>
  <c r="K976" i="1" a="1"/>
  <c r="K976" i="1" s="1"/>
  <c r="J976" i="1" a="1"/>
  <c r="J976" i="1" s="1"/>
  <c r="M975" i="1" a="1"/>
  <c r="M975" i="1" s="1"/>
  <c r="Q975" i="1" a="1"/>
  <c r="Q975" i="1"/>
  <c r="O975" i="1" a="1"/>
  <c r="O975" i="1" s="1"/>
  <c r="J975" i="1" a="1"/>
  <c r="J975" i="1" s="1"/>
  <c r="N975" i="1" a="1"/>
  <c r="N975" i="1"/>
  <c r="F976" i="1" a="1"/>
  <c r="F976" i="1"/>
  <c r="K975" i="1" a="1"/>
  <c r="K975" i="1" s="1"/>
  <c r="G978" i="1" a="1"/>
  <c r="G978" i="1"/>
  <c r="F978" i="1" a="1"/>
  <c r="F978" i="1" s="1"/>
  <c r="P975" i="1" a="1"/>
  <c r="P975" i="1"/>
  <c r="F975" i="1" a="1"/>
  <c r="F975" i="1"/>
  <c r="I975" i="1" a="1"/>
  <c r="I975" i="1" s="1"/>
  <c r="G975" i="1" a="1"/>
  <c r="G975" i="1"/>
  <c r="I976" i="1" a="1"/>
  <c r="I976" i="1" s="1"/>
  <c r="L975" i="1" a="1"/>
  <c r="L975" i="1" s="1"/>
  <c r="P976" i="1" a="1"/>
  <c r="P976" i="1"/>
  <c r="Q976" i="1" a="1"/>
  <c r="Q976" i="1"/>
  <c r="G976" i="1" a="1"/>
  <c r="G976" i="1"/>
  <c r="O976" i="1" a="1"/>
  <c r="O976" i="1" s="1"/>
  <c r="N976" i="1" a="1"/>
  <c r="N976" i="1"/>
  <c r="H976" i="1" a="1"/>
  <c r="H976" i="1"/>
  <c r="H975" i="1" a="1"/>
  <c r="H975" i="1"/>
  <c r="L928" i="1" a="1"/>
  <c r="L928" i="1" s="1"/>
  <c r="I928" i="1" a="1"/>
  <c r="I928" i="1"/>
  <c r="M916" i="1" a="1"/>
  <c r="M916" i="1" s="1"/>
  <c r="G916" i="1" a="1"/>
  <c r="G916" i="1" s="1"/>
  <c r="O914" i="1" a="1"/>
  <c r="O914" i="1"/>
  <c r="Q916" i="1" a="1"/>
  <c r="Q916" i="1" s="1"/>
  <c r="K914" i="1" a="1"/>
  <c r="K914" i="1"/>
  <c r="F928" i="1" a="1"/>
  <c r="F928" i="1" s="1"/>
  <c r="G928" i="1" a="1"/>
  <c r="G928" i="1"/>
  <c r="J914" i="1" a="1"/>
  <c r="J914" i="1" s="1"/>
  <c r="O928" i="1" a="1"/>
  <c r="O928" i="1" s="1"/>
  <c r="J916" i="1" a="1"/>
  <c r="J916" i="1"/>
  <c r="F916" i="1" a="1"/>
  <c r="F916" i="1"/>
  <c r="I916" i="1" a="1"/>
  <c r="I916" i="1" s="1"/>
  <c r="P928" i="1" a="1"/>
  <c r="P928" i="1" s="1"/>
  <c r="L914" i="1" a="1"/>
  <c r="L914" i="1"/>
  <c r="M914" i="1" a="1"/>
  <c r="M914" i="1" s="1"/>
  <c r="H916" i="1" a="1"/>
  <c r="H916" i="1"/>
  <c r="N916" i="1" a="1"/>
  <c r="N916" i="1" s="1"/>
  <c r="L916" i="1" a="1"/>
  <c r="L916" i="1" s="1"/>
  <c r="P914" i="1" a="1"/>
  <c r="P914" i="1" s="1"/>
  <c r="N914" i="1" a="1"/>
  <c r="N914" i="1" s="1"/>
  <c r="K916" i="1" a="1"/>
  <c r="K916" i="1"/>
  <c r="J928" i="1" a="1"/>
  <c r="J928" i="1"/>
  <c r="H928" i="1" a="1"/>
  <c r="H928" i="1"/>
  <c r="P916" i="1" a="1"/>
  <c r="P916" i="1" s="1"/>
  <c r="O916" i="1" a="1"/>
  <c r="O916" i="1"/>
  <c r="Q914" i="1" a="1"/>
  <c r="Q914" i="1"/>
  <c r="K928" i="1" a="1"/>
  <c r="K928" i="1" s="1"/>
  <c r="Q928" i="1" a="1"/>
  <c r="Q928" i="1" s="1"/>
  <c r="N928" i="1" a="1"/>
  <c r="N928" i="1"/>
  <c r="M928" i="1" a="1"/>
  <c r="M928" i="1"/>
  <c r="F914" i="1" a="1"/>
  <c r="F914" i="1"/>
  <c r="J885" i="1" a="1"/>
  <c r="J885" i="1"/>
  <c r="O885" i="1" a="1"/>
  <c r="O885" i="1" s="1"/>
  <c r="H896" i="1" a="1"/>
  <c r="H896" i="1" s="1"/>
  <c r="L896" i="1" a="1"/>
  <c r="L896" i="1" s="1"/>
  <c r="Q885" i="1" a="1"/>
  <c r="Q885" i="1"/>
  <c r="P896" i="1" a="1"/>
  <c r="P896" i="1" s="1"/>
  <c r="Q896" i="1" a="1"/>
  <c r="Q896" i="1" s="1"/>
  <c r="F896" i="1" a="1"/>
  <c r="F896" i="1"/>
  <c r="N885" i="1" a="1"/>
  <c r="N885" i="1"/>
  <c r="K885" i="1" a="1"/>
  <c r="K885" i="1" s="1"/>
  <c r="M885" i="1" a="1"/>
  <c r="M885" i="1"/>
  <c r="I896" i="1" a="1"/>
  <c r="I896" i="1"/>
  <c r="G896" i="1" a="1"/>
  <c r="G896" i="1"/>
  <c r="O896" i="1" a="1"/>
  <c r="O896" i="1"/>
  <c r="N896" i="1" a="1"/>
  <c r="N896" i="1" s="1"/>
  <c r="M896" i="1" a="1"/>
  <c r="M896" i="1"/>
  <c r="K896" i="1" a="1"/>
  <c r="K896" i="1"/>
  <c r="J896" i="1" a="1"/>
  <c r="J896" i="1" s="1"/>
  <c r="L885" i="1" a="1"/>
  <c r="L885" i="1"/>
  <c r="P885" i="1" a="1"/>
  <c r="P885" i="1" s="1"/>
  <c r="I914" i="1" a="1"/>
  <c r="I914" i="1"/>
  <c r="H914" i="1" a="1"/>
  <c r="H914" i="1" s="1"/>
  <c r="G914" i="1" a="1"/>
  <c r="G914" i="1" s="1"/>
  <c r="K884" i="1" a="1"/>
  <c r="K884" i="1" s="1"/>
  <c r="Q884" i="1" a="1"/>
  <c r="Q884" i="1" s="1"/>
  <c r="F884" i="1" a="1"/>
  <c r="F884" i="1"/>
  <c r="N884" i="1" a="1"/>
  <c r="N884" i="1" s="1"/>
  <c r="M884" i="1" a="1"/>
  <c r="M884" i="1"/>
  <c r="I885" i="1" a="1"/>
  <c r="I885" i="1"/>
  <c r="H885" i="1" a="1"/>
  <c r="H885" i="1"/>
  <c r="G885" i="1" a="1"/>
  <c r="G885" i="1" s="1"/>
  <c r="F885" i="1" a="1"/>
  <c r="F885" i="1"/>
  <c r="P884" i="1" a="1"/>
  <c r="P884" i="1" s="1"/>
  <c r="J884" i="1" a="1"/>
  <c r="J884" i="1"/>
  <c r="H884" i="1" a="1"/>
  <c r="H884" i="1" s="1"/>
  <c r="G884" i="1" a="1"/>
  <c r="G884" i="1" s="1"/>
  <c r="O884" i="1" a="1"/>
  <c r="O884" i="1" s="1"/>
  <c r="L884" i="1" a="1"/>
  <c r="L884" i="1" s="1"/>
  <c r="I884" i="1" a="1"/>
  <c r="I884" i="1" s="1"/>
  <c r="O806" i="1" a="1"/>
  <c r="O806" i="1"/>
  <c r="P806" i="1" a="1"/>
  <c r="P806" i="1"/>
  <c r="Q806" i="1" a="1"/>
  <c r="Q806" i="1"/>
  <c r="N806" i="1" a="1"/>
  <c r="N806" i="1"/>
  <c r="G816" i="1" a="1"/>
  <c r="G816" i="1"/>
  <c r="K806" i="1" a="1"/>
  <c r="K806" i="1" s="1"/>
  <c r="J806" i="1" a="1"/>
  <c r="J806" i="1"/>
  <c r="F804" i="1" a="1"/>
  <c r="F804" i="1" s="1"/>
  <c r="I806" i="1" a="1"/>
  <c r="I806" i="1"/>
  <c r="H806" i="1" a="1"/>
  <c r="H806" i="1"/>
  <c r="G806" i="1" a="1"/>
  <c r="G806" i="1"/>
  <c r="P804" i="1" a="1"/>
  <c r="P804" i="1" s="1"/>
  <c r="F806" i="1" a="1"/>
  <c r="F806" i="1"/>
  <c r="Q802" i="1" a="1"/>
  <c r="Q802" i="1" s="1"/>
  <c r="P802" i="1" a="1"/>
  <c r="P802" i="1"/>
  <c r="O804" i="1" a="1"/>
  <c r="O804" i="1" s="1"/>
  <c r="O802" i="1" a="1"/>
  <c r="O802" i="1"/>
  <c r="I804" i="1" a="1"/>
  <c r="I804" i="1" s="1"/>
  <c r="K802" i="1" a="1"/>
  <c r="K802" i="1" s="1"/>
  <c r="G802" i="1" a="1"/>
  <c r="G802" i="1" s="1"/>
  <c r="Q804" i="1" a="1"/>
  <c r="Q804" i="1"/>
  <c r="N804" i="1" a="1"/>
  <c r="N804" i="1"/>
  <c r="K804" i="1" a="1"/>
  <c r="K804" i="1"/>
  <c r="M804" i="1" a="1"/>
  <c r="M804" i="1"/>
  <c r="H804" i="1" a="1"/>
  <c r="H804" i="1"/>
  <c r="J804" i="1" a="1"/>
  <c r="J804" i="1" s="1"/>
  <c r="G804" i="1" a="1"/>
  <c r="G804" i="1"/>
  <c r="F802" i="1" a="1"/>
  <c r="F802" i="1"/>
  <c r="N802" i="1" a="1"/>
  <c r="N802" i="1"/>
  <c r="M802" i="1" a="1"/>
  <c r="M802" i="1" s="1"/>
  <c r="L802" i="1" a="1"/>
  <c r="L802" i="1"/>
  <c r="I802" i="1" a="1"/>
  <c r="I802" i="1"/>
  <c r="J802" i="1" a="1"/>
  <c r="J802" i="1"/>
  <c r="H802" i="1" a="1"/>
  <c r="H802" i="1"/>
  <c r="M806" i="1" a="1"/>
  <c r="M806" i="1"/>
  <c r="L804" i="1" a="1"/>
  <c r="L804" i="1" s="1"/>
  <c r="L806" i="1" a="1"/>
  <c r="L806" i="1"/>
  <c r="J766" i="1" a="1"/>
  <c r="J766" i="1" s="1"/>
  <c r="J816" i="1" s="1" a="1"/>
  <c r="J816" i="1" s="1"/>
  <c r="N766" i="1" a="1"/>
  <c r="N766" i="1"/>
  <c r="N816" i="1" s="1" a="1"/>
  <c r="N816" i="1" s="1"/>
  <c r="M766" i="1" a="1"/>
  <c r="M766" i="1"/>
  <c r="M816" i="1" s="1" a="1"/>
  <c r="M816" i="1" s="1"/>
  <c r="F766" i="1" a="1"/>
  <c r="F766" i="1" s="1"/>
  <c r="F816" i="1" s="1" a="1"/>
  <c r="F816" i="1" s="1"/>
  <c r="P780" i="1" a="1"/>
  <c r="P780" i="1"/>
  <c r="P779" i="1" s="1"/>
  <c r="G780" i="1" a="1"/>
  <c r="G780" i="1" s="1"/>
  <c r="Q766" i="1" a="1"/>
  <c r="Q766" i="1" s="1"/>
  <c r="Q816" i="1" s="1" a="1"/>
  <c r="Q816" i="1" s="1"/>
  <c r="I766" i="1" a="1"/>
  <c r="I766" i="1" s="1"/>
  <c r="I816" i="1" s="1" a="1"/>
  <c r="I816" i="1" s="1"/>
  <c r="I780" i="1" a="1"/>
  <c r="I780" i="1"/>
  <c r="O766" i="1" a="1"/>
  <c r="O766" i="1"/>
  <c r="O816" i="1" s="1" a="1"/>
  <c r="O816" i="1" s="1"/>
  <c r="G766" i="1" a="1"/>
  <c r="G766" i="1"/>
  <c r="O780" i="1" a="1"/>
  <c r="O780" i="1" s="1"/>
  <c r="L780" i="1" a="1"/>
  <c r="L780" i="1" s="1"/>
  <c r="L779" i="1" s="1"/>
  <c r="P766" i="1" a="1"/>
  <c r="P766" i="1"/>
  <c r="P816" i="1" s="1" a="1"/>
  <c r="P816" i="1" s="1"/>
  <c r="M780" i="1" a="1"/>
  <c r="M780" i="1"/>
  <c r="Q780" i="1" a="1"/>
  <c r="Q780" i="1"/>
  <c r="Q779" i="1" s="1"/>
  <c r="K766" i="1" a="1"/>
  <c r="K766" i="1"/>
  <c r="K816" i="1" s="1" a="1"/>
  <c r="K816" i="1" s="1"/>
  <c r="H766" i="1" a="1"/>
  <c r="H766" i="1"/>
  <c r="H816" i="1" s="1" a="1"/>
  <c r="H816" i="1" s="1"/>
  <c r="N780" i="1" a="1"/>
  <c r="N780" i="1"/>
  <c r="K780" i="1" a="1"/>
  <c r="K780" i="1" s="1"/>
  <c r="K779" i="1" s="1"/>
  <c r="J780" i="1" a="1"/>
  <c r="J780" i="1" s="1"/>
  <c r="L766" i="1" a="1"/>
  <c r="L766" i="1" s="1"/>
  <c r="L816" i="1" s="1" a="1"/>
  <c r="L816" i="1" s="1"/>
  <c r="H780" i="1" a="1"/>
  <c r="H780" i="1" s="1"/>
  <c r="H779" i="1" s="1"/>
  <c r="F780" i="1" a="1"/>
  <c r="F780" i="1"/>
  <c r="Q856" i="1"/>
  <c r="P856" i="1"/>
  <c r="O856" i="1"/>
  <c r="N856" i="1"/>
  <c r="M856" i="1"/>
  <c r="L856" i="1"/>
  <c r="L855" i="1" s="1"/>
  <c r="K856" i="1"/>
  <c r="J856" i="1"/>
  <c r="J855" i="1" s="1"/>
  <c r="I856" i="1"/>
  <c r="H856" i="1"/>
  <c r="H855" i="1" s="1"/>
  <c r="G856" i="1"/>
  <c r="G855" i="1" s="1"/>
  <c r="F856" i="1"/>
  <c r="Q855" i="1"/>
  <c r="P855" i="1"/>
  <c r="O855" i="1"/>
  <c r="N855" i="1"/>
  <c r="M855" i="1"/>
  <c r="K855" i="1"/>
  <c r="I855" i="1"/>
  <c r="F855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I786" i="1"/>
  <c r="I787" i="1" s="1"/>
  <c r="G786" i="1"/>
  <c r="G787" i="1" s="1"/>
  <c r="O783" i="1"/>
  <c r="N783" i="1"/>
  <c r="M783" i="1"/>
  <c r="J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O779" i="1"/>
  <c r="O786" i="1" s="1"/>
  <c r="O787" i="1" s="1"/>
  <c r="N779" i="1"/>
  <c r="N786" i="1" s="1"/>
  <c r="N787" i="1" s="1"/>
  <c r="M779" i="1"/>
  <c r="M786" i="1" s="1"/>
  <c r="M787" i="1" s="1"/>
  <c r="J779" i="1"/>
  <c r="J786" i="1" s="1"/>
  <c r="J787" i="1" s="1"/>
  <c r="I779" i="1"/>
  <c r="I783" i="1" s="1"/>
  <c r="G779" i="1"/>
  <c r="G783" i="1" s="1"/>
  <c r="F779" i="1"/>
  <c r="F783" i="1" s="1"/>
  <c r="Q778" i="1"/>
  <c r="P778" i="1"/>
  <c r="O778" i="1"/>
  <c r="N778" i="1"/>
  <c r="M778" i="1"/>
  <c r="L778" i="1"/>
  <c r="K778" i="1"/>
  <c r="J778" i="1"/>
  <c r="I778" i="1"/>
  <c r="H778" i="1"/>
  <c r="G778" i="1"/>
  <c r="F778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Q675" i="1"/>
  <c r="P675" i="1"/>
  <c r="O675" i="1"/>
  <c r="N675" i="1"/>
  <c r="M675" i="1"/>
  <c r="K675" i="1"/>
  <c r="G674" i="1"/>
  <c r="F674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Q669" i="1"/>
  <c r="P669" i="1"/>
  <c r="O669" i="1"/>
  <c r="N669" i="1"/>
  <c r="M669" i="1"/>
  <c r="L669" i="1"/>
  <c r="L675" i="1" s="1"/>
  <c r="K669" i="1"/>
  <c r="J669" i="1"/>
  <c r="J675" i="1" s="1"/>
  <c r="I669" i="1"/>
  <c r="I675" i="1" s="1"/>
  <c r="H669" i="1"/>
  <c r="H675" i="1" s="1"/>
  <c r="G669" i="1"/>
  <c r="G675" i="1" s="1"/>
  <c r="F669" i="1"/>
  <c r="F675" i="1" s="1"/>
  <c r="Q668" i="1"/>
  <c r="Q674" i="1" s="1"/>
  <c r="P668" i="1"/>
  <c r="P674" i="1" s="1"/>
  <c r="O668" i="1"/>
  <c r="O674" i="1" s="1"/>
  <c r="N668" i="1"/>
  <c r="N674" i="1" s="1"/>
  <c r="M668" i="1"/>
  <c r="M674" i="1" s="1"/>
  <c r="L668" i="1"/>
  <c r="L674" i="1" s="1"/>
  <c r="K668" i="1"/>
  <c r="K674" i="1" s="1"/>
  <c r="J668" i="1"/>
  <c r="J674" i="1" s="1"/>
  <c r="I668" i="1"/>
  <c r="I674" i="1" s="1"/>
  <c r="H668" i="1"/>
  <c r="H674" i="1" s="1"/>
  <c r="G668" i="1"/>
  <c r="F668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Q520" i="1"/>
  <c r="M520" i="1"/>
  <c r="L519" i="1"/>
  <c r="O517" i="1"/>
  <c r="M515" i="1"/>
  <c r="L515" i="1"/>
  <c r="K515" i="1"/>
  <c r="J515" i="1"/>
  <c r="I515" i="1"/>
  <c r="L514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P480" i="1"/>
  <c r="M480" i="1"/>
  <c r="J480" i="1"/>
  <c r="Q479" i="1"/>
  <c r="I478" i="1"/>
  <c r="F478" i="1"/>
  <c r="Q477" i="1"/>
  <c r="N477" i="1"/>
  <c r="M477" i="1"/>
  <c r="L477" i="1"/>
  <c r="Q475" i="1"/>
  <c r="I475" i="1"/>
  <c r="F473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O439" i="1"/>
  <c r="G437" i="1"/>
  <c r="I429" i="1"/>
  <c r="P419" i="1"/>
  <c r="O419" i="1"/>
  <c r="K419" i="1"/>
  <c r="O413" i="1"/>
  <c r="N413" i="1"/>
  <c r="M413" i="1"/>
  <c r="K413" i="1"/>
  <c r="J413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Q400" i="1"/>
  <c r="L400" i="1"/>
  <c r="L520" i="1" s="1"/>
  <c r="K400" i="1"/>
  <c r="K520" i="1" s="1"/>
  <c r="I400" i="1"/>
  <c r="I520" i="1" s="1"/>
  <c r="H400" i="1"/>
  <c r="H520" i="1" s="1"/>
  <c r="G400" i="1"/>
  <c r="G520" i="1" s="1"/>
  <c r="Q399" i="1"/>
  <c r="Q519" i="1" s="1"/>
  <c r="N399" i="1"/>
  <c r="N519" i="1" s="1"/>
  <c r="J399" i="1"/>
  <c r="J519" i="1" s="1"/>
  <c r="G399" i="1"/>
  <c r="G519" i="1" s="1"/>
  <c r="Q398" i="1"/>
  <c r="Q439" i="1" s="1"/>
  <c r="M398" i="1"/>
  <c r="M439" i="1" s="1"/>
  <c r="Q396" i="1"/>
  <c r="P396" i="1"/>
  <c r="O396" i="1"/>
  <c r="N396" i="1"/>
  <c r="M396" i="1"/>
  <c r="L396" i="1"/>
  <c r="K396" i="1"/>
  <c r="J396" i="1"/>
  <c r="I396" i="1"/>
  <c r="H396" i="1"/>
  <c r="G396" i="1"/>
  <c r="F396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M386" i="1"/>
  <c r="M517" i="1" s="1"/>
  <c r="L386" i="1"/>
  <c r="L517" i="1" s="1"/>
  <c r="I386" i="1"/>
  <c r="I517" i="1" s="1"/>
  <c r="H386" i="1"/>
  <c r="H517" i="1" s="1"/>
  <c r="F386" i="1"/>
  <c r="F517" i="1" s="1"/>
  <c r="Q385" i="1"/>
  <c r="Q516" i="1" s="1"/>
  <c r="P385" i="1"/>
  <c r="P516" i="1" s="1"/>
  <c r="O385" i="1"/>
  <c r="O516" i="1" s="1"/>
  <c r="N385" i="1"/>
  <c r="N516" i="1" s="1"/>
  <c r="M385" i="1"/>
  <c r="M516" i="1" s="1"/>
  <c r="L385" i="1"/>
  <c r="L516" i="1" s="1"/>
  <c r="J385" i="1"/>
  <c r="J516" i="1" s="1"/>
  <c r="I385" i="1"/>
  <c r="I516" i="1" s="1"/>
  <c r="G385" i="1"/>
  <c r="G516" i="1" s="1"/>
  <c r="F385" i="1"/>
  <c r="F516" i="1" s="1"/>
  <c r="O384" i="1"/>
  <c r="O515" i="1" s="1"/>
  <c r="L384" i="1"/>
  <c r="M383" i="1"/>
  <c r="M514" i="1" s="1"/>
  <c r="L383" i="1"/>
  <c r="K383" i="1"/>
  <c r="K514" i="1" s="1"/>
  <c r="L382" i="1"/>
  <c r="L513" i="1" s="1"/>
  <c r="Q381" i="1"/>
  <c r="P381" i="1"/>
  <c r="O381" i="1"/>
  <c r="N381" i="1"/>
  <c r="M381" i="1"/>
  <c r="L381" i="1"/>
  <c r="K381" i="1"/>
  <c r="J381" i="1"/>
  <c r="I381" i="1"/>
  <c r="H381" i="1"/>
  <c r="G381" i="1"/>
  <c r="F381" i="1"/>
  <c r="J380" i="1"/>
  <c r="J437" i="1" s="1"/>
  <c r="I380" i="1"/>
  <c r="I437" i="1" s="1"/>
  <c r="H380" i="1"/>
  <c r="H437" i="1" s="1"/>
  <c r="G380" i="1"/>
  <c r="F380" i="1"/>
  <c r="F437" i="1" s="1"/>
  <c r="I363" i="1"/>
  <c r="I504" i="1" s="1"/>
  <c r="G363" i="1"/>
  <c r="G504" i="1" s="1"/>
  <c r="Q362" i="1"/>
  <c r="Q429" i="1" s="1"/>
  <c r="P362" i="1"/>
  <c r="P429" i="1" s="1"/>
  <c r="O362" i="1"/>
  <c r="O429" i="1" s="1"/>
  <c r="N362" i="1"/>
  <c r="N429" i="1" s="1"/>
  <c r="J362" i="1"/>
  <c r="J429" i="1" s="1"/>
  <c r="I362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M325" i="1"/>
  <c r="J325" i="1"/>
  <c r="I325" i="1"/>
  <c r="I480" i="1" s="1"/>
  <c r="G325" i="1"/>
  <c r="G480" i="1" s="1"/>
  <c r="F325" i="1"/>
  <c r="F480" i="1" s="1"/>
  <c r="Q324" i="1"/>
  <c r="O324" i="1"/>
  <c r="O479" i="1" s="1"/>
  <c r="L324" i="1"/>
  <c r="L479" i="1" s="1"/>
  <c r="I324" i="1"/>
  <c r="I479" i="1" s="1"/>
  <c r="H324" i="1"/>
  <c r="H479" i="1" s="1"/>
  <c r="G324" i="1"/>
  <c r="G479" i="1" s="1"/>
  <c r="Q323" i="1"/>
  <c r="Q478" i="1" s="1"/>
  <c r="K323" i="1"/>
  <c r="K478" i="1" s="1"/>
  <c r="I323" i="1"/>
  <c r="F323" i="1"/>
  <c r="N322" i="1"/>
  <c r="M322" i="1"/>
  <c r="L322" i="1"/>
  <c r="K322" i="1"/>
  <c r="K477" i="1" s="1"/>
  <c r="I322" i="1"/>
  <c r="I477" i="1" s="1"/>
  <c r="F321" i="1"/>
  <c r="F476" i="1" s="1"/>
  <c r="N320" i="1"/>
  <c r="N475" i="1" s="1"/>
  <c r="M320" i="1"/>
  <c r="M475" i="1" s="1"/>
  <c r="J320" i="1"/>
  <c r="J475" i="1" s="1"/>
  <c r="P319" i="1"/>
  <c r="P474" i="1" s="1"/>
  <c r="N319" i="1"/>
  <c r="N474" i="1" s="1"/>
  <c r="M319" i="1"/>
  <c r="M474" i="1" s="1"/>
  <c r="L319" i="1"/>
  <c r="L474" i="1" s="1"/>
  <c r="K319" i="1"/>
  <c r="K474" i="1" s="1"/>
  <c r="J319" i="1"/>
  <c r="J474" i="1" s="1"/>
  <c r="I319" i="1"/>
  <c r="I474" i="1" s="1"/>
  <c r="G319" i="1"/>
  <c r="G474" i="1" s="1"/>
  <c r="J318" i="1"/>
  <c r="J473" i="1" s="1"/>
  <c r="G318" i="1"/>
  <c r="G473" i="1" s="1"/>
  <c r="F318" i="1"/>
  <c r="Q317" i="1"/>
  <c r="Q472" i="1" s="1"/>
  <c r="G317" i="1"/>
  <c r="G472" i="1" s="1"/>
  <c r="P315" i="1"/>
  <c r="P420" i="1" s="1"/>
  <c r="M315" i="1"/>
  <c r="M420" i="1" s="1"/>
  <c r="L315" i="1"/>
  <c r="L420" i="1" s="1"/>
  <c r="K315" i="1"/>
  <c r="K420" i="1" s="1"/>
  <c r="J315" i="1"/>
  <c r="J420" i="1" s="1"/>
  <c r="H315" i="1"/>
  <c r="H420" i="1" s="1"/>
  <c r="I314" i="1"/>
  <c r="I419" i="1" s="1"/>
  <c r="H314" i="1"/>
  <c r="H419" i="1" s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K301" i="1"/>
  <c r="K465" i="1" s="1"/>
  <c r="H301" i="1"/>
  <c r="H465" i="1" s="1"/>
  <c r="I300" i="1"/>
  <c r="I413" i="1" s="1"/>
  <c r="G300" i="1"/>
  <c r="G413" i="1" s="1"/>
  <c r="F300" i="1"/>
  <c r="F413" i="1" s="1"/>
  <c r="Q299" i="1"/>
  <c r="P299" i="1"/>
  <c r="O299" i="1"/>
  <c r="N299" i="1"/>
  <c r="M299" i="1"/>
  <c r="L299" i="1"/>
  <c r="K299" i="1"/>
  <c r="J299" i="1"/>
  <c r="I299" i="1"/>
  <c r="H299" i="1"/>
  <c r="G299" i="1"/>
  <c r="F299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I241" i="1"/>
  <c r="I316" i="1" s="1"/>
  <c r="I471" i="1" s="1"/>
  <c r="G241" i="1"/>
  <c r="P129" i="1"/>
  <c r="O129" i="1"/>
  <c r="M129" i="1"/>
  <c r="L129" i="1"/>
  <c r="K129" i="1"/>
  <c r="J129" i="1"/>
  <c r="I129" i="1"/>
  <c r="H129" i="1"/>
  <c r="G129" i="1"/>
  <c r="F129" i="1"/>
  <c r="Q128" i="1"/>
  <c r="P128" i="1"/>
  <c r="H128" i="1"/>
  <c r="F128" i="1"/>
  <c r="Q126" i="1"/>
  <c r="P126" i="1"/>
  <c r="O126" i="1"/>
  <c r="M126" i="1"/>
  <c r="L126" i="1"/>
  <c r="I126" i="1"/>
  <c r="H126" i="1"/>
  <c r="Q125" i="1"/>
  <c r="P125" i="1"/>
  <c r="O125" i="1"/>
  <c r="N125" i="1"/>
  <c r="K125" i="1"/>
  <c r="J125" i="1"/>
  <c r="Q124" i="1"/>
  <c r="P124" i="1"/>
  <c r="M124" i="1"/>
  <c r="L124" i="1"/>
  <c r="K124" i="1"/>
  <c r="J124" i="1"/>
  <c r="I124" i="1"/>
  <c r="H124" i="1"/>
  <c r="N123" i="1"/>
  <c r="L123" i="1"/>
  <c r="J123" i="1"/>
  <c r="H123" i="1"/>
  <c r="F123" i="1"/>
  <c r="Q122" i="1"/>
  <c r="O122" i="1"/>
  <c r="L122" i="1"/>
  <c r="K122" i="1"/>
  <c r="I122" i="1"/>
  <c r="F122" i="1"/>
  <c r="Q121" i="1"/>
  <c r="N121" i="1"/>
  <c r="M121" i="1"/>
  <c r="H121" i="1"/>
  <c r="G121" i="1"/>
  <c r="F121" i="1"/>
  <c r="P120" i="1"/>
  <c r="K120" i="1"/>
  <c r="H120" i="1"/>
  <c r="F120" i="1"/>
  <c r="Q119" i="1"/>
  <c r="O119" i="1"/>
  <c r="N119" i="1"/>
  <c r="M119" i="1"/>
  <c r="P118" i="1"/>
  <c r="O118" i="1"/>
  <c r="M118" i="1"/>
  <c r="L118" i="1"/>
  <c r="K118" i="1"/>
  <c r="J118" i="1"/>
  <c r="G118" i="1"/>
  <c r="F118" i="1"/>
  <c r="Q117" i="1"/>
  <c r="P117" i="1"/>
  <c r="O117" i="1"/>
  <c r="N117" i="1"/>
  <c r="M117" i="1"/>
  <c r="L117" i="1"/>
  <c r="K117" i="1"/>
  <c r="J117" i="1"/>
  <c r="I117" i="1"/>
  <c r="G117" i="1"/>
  <c r="F116" i="1"/>
  <c r="M115" i="1"/>
  <c r="L115" i="1"/>
  <c r="J115" i="1"/>
  <c r="I115" i="1"/>
  <c r="H115" i="1"/>
  <c r="G115" i="1"/>
  <c r="F11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Q290" i="1"/>
  <c r="P290" i="1"/>
  <c r="O290" i="1"/>
  <c r="N290" i="1"/>
  <c r="N400" i="1" s="1"/>
  <c r="N520" i="1" s="1"/>
  <c r="M290" i="1"/>
  <c r="L290" i="1"/>
  <c r="K290" i="1"/>
  <c r="J290" i="1"/>
  <c r="I290" i="1"/>
  <c r="H290" i="1"/>
  <c r="G290" i="1"/>
  <c r="F290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F399" i="1" s="1"/>
  <c r="F519" i="1" s="1"/>
  <c r="Q287" i="1"/>
  <c r="Q386" i="1" s="1"/>
  <c r="Q517" i="1" s="1"/>
  <c r="P287" i="1"/>
  <c r="O287" i="1"/>
  <c r="N287" i="1"/>
  <c r="M287" i="1"/>
  <c r="L287" i="1"/>
  <c r="K287" i="1"/>
  <c r="J287" i="1"/>
  <c r="I287" i="1"/>
  <c r="H287" i="1"/>
  <c r="G287" i="1"/>
  <c r="F287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Q285" i="1"/>
  <c r="Q384" i="1" s="1"/>
  <c r="Q515" i="1" s="1"/>
  <c r="P285" i="1"/>
  <c r="P384" i="1" s="1"/>
  <c r="P515" i="1" s="1"/>
  <c r="O285" i="1"/>
  <c r="N285" i="1"/>
  <c r="N384" i="1" s="1"/>
  <c r="N515" i="1" s="1"/>
  <c r="M285" i="1"/>
  <c r="M384" i="1" s="1"/>
  <c r="L285" i="1"/>
  <c r="K285" i="1"/>
  <c r="J285" i="1"/>
  <c r="I285" i="1"/>
  <c r="H285" i="1"/>
  <c r="G285" i="1"/>
  <c r="F285" i="1"/>
  <c r="L283" i="1"/>
  <c r="K283" i="1"/>
  <c r="K382" i="1" s="1"/>
  <c r="K513" i="1" s="1"/>
  <c r="I274" i="1"/>
  <c r="Q250" i="1"/>
  <c r="P250" i="1"/>
  <c r="O250" i="1"/>
  <c r="N250" i="1"/>
  <c r="M250" i="1"/>
  <c r="L250" i="1"/>
  <c r="K250" i="1"/>
  <c r="J250" i="1"/>
  <c r="I250" i="1"/>
  <c r="H250" i="1"/>
  <c r="H325" i="1" s="1"/>
  <c r="H480" i="1" s="1"/>
  <c r="G250" i="1"/>
  <c r="F250" i="1"/>
  <c r="Q249" i="1"/>
  <c r="P249" i="1"/>
  <c r="P324" i="1" s="1"/>
  <c r="P479" i="1" s="1"/>
  <c r="O249" i="1"/>
  <c r="N249" i="1"/>
  <c r="M249" i="1"/>
  <c r="M324" i="1" s="1"/>
  <c r="M479" i="1" s="1"/>
  <c r="L249" i="1"/>
  <c r="K249" i="1"/>
  <c r="J249" i="1"/>
  <c r="I249" i="1"/>
  <c r="H249" i="1"/>
  <c r="G249" i="1"/>
  <c r="F249" i="1"/>
  <c r="Q248" i="1"/>
  <c r="P248" i="1"/>
  <c r="O248" i="1"/>
  <c r="N248" i="1"/>
  <c r="M248" i="1"/>
  <c r="M323" i="1" s="1"/>
  <c r="M478" i="1" s="1"/>
  <c r="L248" i="1"/>
  <c r="K248" i="1"/>
  <c r="J248" i="1"/>
  <c r="I248" i="1"/>
  <c r="H248" i="1"/>
  <c r="G248" i="1"/>
  <c r="F248" i="1"/>
  <c r="Q247" i="1"/>
  <c r="Q322" i="1" s="1"/>
  <c r="P247" i="1"/>
  <c r="O247" i="1"/>
  <c r="N247" i="1"/>
  <c r="M247" i="1"/>
  <c r="L247" i="1"/>
  <c r="K247" i="1"/>
  <c r="J247" i="1"/>
  <c r="I247" i="1"/>
  <c r="H247" i="1"/>
  <c r="G247" i="1"/>
  <c r="F247" i="1"/>
  <c r="Q246" i="1"/>
  <c r="P246" i="1"/>
  <c r="O246" i="1"/>
  <c r="O321" i="1" s="1"/>
  <c r="O476" i="1" s="1"/>
  <c r="N246" i="1"/>
  <c r="N321" i="1" s="1"/>
  <c r="N476" i="1" s="1"/>
  <c r="M246" i="1"/>
  <c r="L246" i="1"/>
  <c r="K246" i="1"/>
  <c r="J246" i="1"/>
  <c r="J321" i="1" s="1"/>
  <c r="J476" i="1" s="1"/>
  <c r="I246" i="1"/>
  <c r="H246" i="1"/>
  <c r="G246" i="1"/>
  <c r="F246" i="1"/>
  <c r="Q245" i="1"/>
  <c r="P245" i="1"/>
  <c r="O245" i="1"/>
  <c r="N245" i="1"/>
  <c r="M245" i="1"/>
  <c r="L245" i="1"/>
  <c r="K245" i="1"/>
  <c r="J245" i="1"/>
  <c r="I245" i="1"/>
  <c r="I320" i="1" s="1"/>
  <c r="H245" i="1"/>
  <c r="H320" i="1" s="1"/>
  <c r="H475" i="1" s="1"/>
  <c r="G245" i="1"/>
  <c r="F245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F319" i="1" s="1"/>
  <c r="F474" i="1" s="1"/>
  <c r="Q243" i="1"/>
  <c r="Q318" i="1" s="1"/>
  <c r="Q473" i="1" s="1"/>
  <c r="P243" i="1"/>
  <c r="O243" i="1"/>
  <c r="N243" i="1"/>
  <c r="M243" i="1"/>
  <c r="L243" i="1"/>
  <c r="K243" i="1"/>
  <c r="J243" i="1"/>
  <c r="I243" i="1"/>
  <c r="I318" i="1" s="1"/>
  <c r="I473" i="1" s="1"/>
  <c r="H243" i="1"/>
  <c r="H318" i="1" s="1"/>
  <c r="H473" i="1" s="1"/>
  <c r="G243" i="1"/>
  <c r="F243" i="1"/>
  <c r="Q241" i="1"/>
  <c r="K241" i="1"/>
  <c r="Q235" i="1"/>
  <c r="Q301" i="1" s="1"/>
  <c r="Q465" i="1" s="1"/>
  <c r="P235" i="1"/>
  <c r="O235" i="1"/>
  <c r="O301" i="1" s="1"/>
  <c r="O465" i="1" s="1"/>
  <c r="N235" i="1"/>
  <c r="N301" i="1" s="1"/>
  <c r="N465" i="1" s="1"/>
  <c r="M235" i="1"/>
  <c r="M301" i="1" s="1"/>
  <c r="M465" i="1" s="1"/>
  <c r="L235" i="1"/>
  <c r="L301" i="1" s="1"/>
  <c r="L465" i="1" s="1"/>
  <c r="K235" i="1"/>
  <c r="J235" i="1"/>
  <c r="I235" i="1"/>
  <c r="I301" i="1" s="1"/>
  <c r="I465" i="1" s="1"/>
  <c r="H235" i="1"/>
  <c r="G235" i="1"/>
  <c r="F235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6" i="1"/>
  <c r="Q212" i="1" s="1"/>
  <c r="P216" i="1"/>
  <c r="P212" i="1" s="1"/>
  <c r="O216" i="1"/>
  <c r="O212" i="1" s="1"/>
  <c r="N216" i="1"/>
  <c r="N212" i="1" s="1"/>
  <c r="M216" i="1"/>
  <c r="M212" i="1" s="1"/>
  <c r="L216" i="1"/>
  <c r="L212" i="1" s="1"/>
  <c r="K216" i="1"/>
  <c r="J216" i="1"/>
  <c r="J212" i="1" s="1"/>
  <c r="I216" i="1"/>
  <c r="I212" i="1" s="1"/>
  <c r="H216" i="1"/>
  <c r="G216" i="1"/>
  <c r="F216" i="1"/>
  <c r="K212" i="1"/>
  <c r="H212" i="1"/>
  <c r="G212" i="1"/>
  <c r="F212" i="1"/>
  <c r="Q209" i="1"/>
  <c r="P209" i="1"/>
  <c r="O209" i="1"/>
  <c r="N209" i="1"/>
  <c r="M209" i="1"/>
  <c r="L209" i="1"/>
  <c r="K209" i="1"/>
  <c r="J209" i="1"/>
  <c r="J398" i="1" s="1"/>
  <c r="J439" i="1" s="1"/>
  <c r="I209" i="1"/>
  <c r="I398" i="1" s="1"/>
  <c r="I439" i="1" s="1"/>
  <c r="H209" i="1"/>
  <c r="H398" i="1" s="1"/>
  <c r="H439" i="1" s="1"/>
  <c r="G209" i="1"/>
  <c r="G398" i="1" s="1"/>
  <c r="G439" i="1" s="1"/>
  <c r="F209" i="1"/>
  <c r="Q207" i="1"/>
  <c r="Q380" i="1" s="1"/>
  <c r="Q437" i="1" s="1"/>
  <c r="P207" i="1"/>
  <c r="O207" i="1"/>
  <c r="N207" i="1"/>
  <c r="M207" i="1"/>
  <c r="M380" i="1" s="1"/>
  <c r="M437" i="1" s="1"/>
  <c r="L207" i="1"/>
  <c r="K207" i="1"/>
  <c r="J207" i="1"/>
  <c r="I207" i="1"/>
  <c r="H207" i="1"/>
  <c r="G207" i="1"/>
  <c r="F207" i="1"/>
  <c r="N198" i="1"/>
  <c r="K198" i="1"/>
  <c r="J198" i="1"/>
  <c r="I198" i="1"/>
  <c r="Q190" i="1"/>
  <c r="P190" i="1"/>
  <c r="O190" i="1"/>
  <c r="O315" i="1" s="1"/>
  <c r="O420" i="1" s="1"/>
  <c r="N190" i="1"/>
  <c r="M190" i="1"/>
  <c r="L190" i="1"/>
  <c r="K190" i="1"/>
  <c r="J190" i="1"/>
  <c r="I190" i="1"/>
  <c r="H190" i="1"/>
  <c r="G190" i="1"/>
  <c r="F190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2" i="1"/>
  <c r="P172" i="1"/>
  <c r="P400" i="1" s="1"/>
  <c r="P520" i="1" s="1"/>
  <c r="O172" i="1"/>
  <c r="O400" i="1" s="1"/>
  <c r="O520" i="1" s="1"/>
  <c r="N172" i="1"/>
  <c r="M172" i="1"/>
  <c r="M400" i="1" s="1"/>
  <c r="L172" i="1"/>
  <c r="K172" i="1"/>
  <c r="J172" i="1"/>
  <c r="I172" i="1"/>
  <c r="H172" i="1"/>
  <c r="G172" i="1"/>
  <c r="F172" i="1"/>
  <c r="F400" i="1" s="1"/>
  <c r="F520" i="1" s="1"/>
  <c r="Q171" i="1"/>
  <c r="P171" i="1"/>
  <c r="O171" i="1"/>
  <c r="O399" i="1" s="1"/>
  <c r="O519" i="1" s="1"/>
  <c r="N171" i="1"/>
  <c r="M171" i="1"/>
  <c r="M399" i="1" s="1"/>
  <c r="M519" i="1" s="1"/>
  <c r="L171" i="1"/>
  <c r="L399" i="1" s="1"/>
  <c r="K171" i="1"/>
  <c r="K399" i="1" s="1"/>
  <c r="K519" i="1" s="1"/>
  <c r="J171" i="1"/>
  <c r="I171" i="1"/>
  <c r="I399" i="1" s="1"/>
  <c r="I519" i="1" s="1"/>
  <c r="H171" i="1"/>
  <c r="G171" i="1"/>
  <c r="F171" i="1"/>
  <c r="Q170" i="1"/>
  <c r="P170" i="1"/>
  <c r="P398" i="1" s="1"/>
  <c r="P439" i="1" s="1"/>
  <c r="O170" i="1"/>
  <c r="O398" i="1" s="1"/>
  <c r="N170" i="1"/>
  <c r="N398" i="1" s="1"/>
  <c r="N439" i="1" s="1"/>
  <c r="M170" i="1"/>
  <c r="L170" i="1"/>
  <c r="L398" i="1" s="1"/>
  <c r="L439" i="1" s="1"/>
  <c r="K170" i="1"/>
  <c r="K398" i="1" s="1"/>
  <c r="K439" i="1" s="1"/>
  <c r="J170" i="1"/>
  <c r="I170" i="1"/>
  <c r="H170" i="1"/>
  <c r="G170" i="1"/>
  <c r="F170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8" i="1"/>
  <c r="P158" i="1"/>
  <c r="P386" i="1" s="1"/>
  <c r="P517" i="1" s="1"/>
  <c r="O158" i="1"/>
  <c r="O386" i="1" s="1"/>
  <c r="N158" i="1"/>
  <c r="N386" i="1" s="1"/>
  <c r="N517" i="1" s="1"/>
  <c r="M158" i="1"/>
  <c r="L158" i="1"/>
  <c r="K158" i="1"/>
  <c r="K386" i="1" s="1"/>
  <c r="K517" i="1" s="1"/>
  <c r="J158" i="1"/>
  <c r="J386" i="1" s="1"/>
  <c r="J517" i="1" s="1"/>
  <c r="I158" i="1"/>
  <c r="H158" i="1"/>
  <c r="G158" i="1"/>
  <c r="G386" i="1" s="1"/>
  <c r="G517" i="1" s="1"/>
  <c r="F158" i="1"/>
  <c r="Q157" i="1"/>
  <c r="P157" i="1"/>
  <c r="O157" i="1"/>
  <c r="N157" i="1"/>
  <c r="M157" i="1"/>
  <c r="L157" i="1"/>
  <c r="K157" i="1"/>
  <c r="J157" i="1"/>
  <c r="I157" i="1"/>
  <c r="H157" i="1"/>
  <c r="H385" i="1" s="1"/>
  <c r="H516" i="1" s="1"/>
  <c r="G157" i="1"/>
  <c r="F157" i="1"/>
  <c r="Q156" i="1"/>
  <c r="P156" i="1"/>
  <c r="O156" i="1"/>
  <c r="N156" i="1"/>
  <c r="M156" i="1"/>
  <c r="L156" i="1"/>
  <c r="K156" i="1"/>
  <c r="K384" i="1" s="1"/>
  <c r="J156" i="1"/>
  <c r="J384" i="1" s="1"/>
  <c r="I156" i="1"/>
  <c r="I384" i="1" s="1"/>
  <c r="H156" i="1"/>
  <c r="H384" i="1" s="1"/>
  <c r="H515" i="1" s="1"/>
  <c r="G156" i="1"/>
  <c r="G384" i="1" s="1"/>
  <c r="G515" i="1" s="1"/>
  <c r="F156" i="1"/>
  <c r="F384" i="1" s="1"/>
  <c r="F515" i="1" s="1"/>
  <c r="Q155" i="1"/>
  <c r="P155" i="1"/>
  <c r="O155" i="1"/>
  <c r="O383" i="1" s="1"/>
  <c r="O514" i="1" s="1"/>
  <c r="N155" i="1"/>
  <c r="M155" i="1"/>
  <c r="L155" i="1"/>
  <c r="K155" i="1"/>
  <c r="J155" i="1"/>
  <c r="I155" i="1"/>
  <c r="H155" i="1"/>
  <c r="H383" i="1" s="1"/>
  <c r="H514" i="1" s="1"/>
  <c r="G155" i="1"/>
  <c r="F155" i="1"/>
  <c r="F383" i="1" s="1"/>
  <c r="F514" i="1" s="1"/>
  <c r="Q154" i="1"/>
  <c r="P154" i="1"/>
  <c r="O154" i="1"/>
  <c r="O382" i="1" s="1"/>
  <c r="O513" i="1" s="1"/>
  <c r="N154" i="1"/>
  <c r="M154" i="1"/>
  <c r="L154" i="1"/>
  <c r="K154" i="1"/>
  <c r="J154" i="1"/>
  <c r="I154" i="1"/>
  <c r="H154" i="1"/>
  <c r="G154" i="1"/>
  <c r="F154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Q152" i="1"/>
  <c r="P152" i="1"/>
  <c r="P380" i="1" s="1"/>
  <c r="P437" i="1" s="1"/>
  <c r="O152" i="1"/>
  <c r="O380" i="1" s="1"/>
  <c r="O437" i="1" s="1"/>
  <c r="N152" i="1"/>
  <c r="N380" i="1" s="1"/>
  <c r="N437" i="1" s="1"/>
  <c r="M152" i="1"/>
  <c r="L152" i="1"/>
  <c r="L380" i="1" s="1"/>
  <c r="L437" i="1" s="1"/>
  <c r="K152" i="1"/>
  <c r="K380" i="1" s="1"/>
  <c r="K437" i="1" s="1"/>
  <c r="J152" i="1"/>
  <c r="I152" i="1"/>
  <c r="H152" i="1"/>
  <c r="G152" i="1"/>
  <c r="F152" i="1"/>
  <c r="Q136" i="1"/>
  <c r="P136" i="1"/>
  <c r="O136" i="1"/>
  <c r="N136" i="1"/>
  <c r="N364" i="1" s="1"/>
  <c r="M136" i="1"/>
  <c r="L136" i="1"/>
  <c r="K136" i="1"/>
  <c r="J136" i="1"/>
  <c r="I136" i="1"/>
  <c r="I364" i="1" s="1"/>
  <c r="H136" i="1"/>
  <c r="G136" i="1"/>
  <c r="F136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Q134" i="1"/>
  <c r="P134" i="1"/>
  <c r="O134" i="1"/>
  <c r="N134" i="1"/>
  <c r="M134" i="1"/>
  <c r="L134" i="1"/>
  <c r="K134" i="1"/>
  <c r="J134" i="1"/>
  <c r="I134" i="1"/>
  <c r="I141" i="1" s="1" a="1"/>
  <c r="I141" i="1" s="1"/>
  <c r="H134" i="1"/>
  <c r="G134" i="1"/>
  <c r="G141" i="1" s="1" a="1"/>
  <c r="G141" i="1" s="1"/>
  <c r="F134" i="1"/>
  <c r="F141" i="1" s="1" a="1"/>
  <c r="F141" i="1" s="1"/>
  <c r="Q133" i="1"/>
  <c r="Q361" i="1" s="1"/>
  <c r="Q428" i="1" s="1"/>
  <c r="P133" i="1"/>
  <c r="O133" i="1"/>
  <c r="N133" i="1"/>
  <c r="N140" i="1" s="1" a="1"/>
  <c r="M133" i="1"/>
  <c r="L133" i="1"/>
  <c r="K133" i="1"/>
  <c r="J133" i="1"/>
  <c r="J361" i="1" s="1"/>
  <c r="J428" i="1" s="1"/>
  <c r="I133" i="1"/>
  <c r="H133" i="1"/>
  <c r="G133" i="1"/>
  <c r="F133" i="1"/>
  <c r="Q132" i="1"/>
  <c r="P132" i="1"/>
  <c r="O132" i="1"/>
  <c r="O139" i="1" s="1" a="1"/>
  <c r="O139" i="1" s="1"/>
  <c r="N132" i="1"/>
  <c r="M132" i="1"/>
  <c r="L132" i="1"/>
  <c r="K132" i="1"/>
  <c r="J132" i="1"/>
  <c r="I132" i="1"/>
  <c r="H132" i="1"/>
  <c r="H139" i="1" s="1" a="1"/>
  <c r="H139" i="1" s="1"/>
  <c r="G132" i="1"/>
  <c r="F132" i="1"/>
  <c r="F139" i="1" s="1" a="1"/>
  <c r="F139" i="1" s="1"/>
  <c r="Q131" i="1"/>
  <c r="P131" i="1"/>
  <c r="P130" i="1" s="1"/>
  <c r="O131" i="1"/>
  <c r="O138" i="1" s="1" a="1"/>
  <c r="O138" i="1" s="1"/>
  <c r="N131" i="1"/>
  <c r="M131" i="1"/>
  <c r="M138" i="1" s="1" a="1"/>
  <c r="M138" i="1" s="1"/>
  <c r="L131" i="1"/>
  <c r="K131" i="1"/>
  <c r="J131" i="1"/>
  <c r="I131" i="1"/>
  <c r="H131" i="1"/>
  <c r="G131" i="1"/>
  <c r="F131" i="1"/>
  <c r="Q97" i="1"/>
  <c r="P97" i="1"/>
  <c r="P325" i="1" s="1"/>
  <c r="O97" i="1"/>
  <c r="O325" i="1" s="1"/>
  <c r="O480" i="1" s="1"/>
  <c r="N97" i="1"/>
  <c r="M97" i="1"/>
  <c r="L97" i="1"/>
  <c r="L325" i="1" s="1"/>
  <c r="L480" i="1" s="1"/>
  <c r="K97" i="1"/>
  <c r="K325" i="1" s="1"/>
  <c r="K480" i="1" s="1"/>
  <c r="J97" i="1"/>
  <c r="I97" i="1"/>
  <c r="H97" i="1"/>
  <c r="G97" i="1"/>
  <c r="F97" i="1"/>
  <c r="Q96" i="1"/>
  <c r="P96" i="1"/>
  <c r="O96" i="1"/>
  <c r="O128" i="1" s="1"/>
  <c r="N96" i="1"/>
  <c r="N128" i="1" s="1"/>
  <c r="M96" i="1"/>
  <c r="M128" i="1" s="1"/>
  <c r="L96" i="1"/>
  <c r="L128" i="1" s="1"/>
  <c r="K96" i="1"/>
  <c r="K128" i="1" s="1"/>
  <c r="J96" i="1"/>
  <c r="I96" i="1"/>
  <c r="I128" i="1" s="1"/>
  <c r="H96" i="1"/>
  <c r="G96" i="1"/>
  <c r="G128" i="1" s="1"/>
  <c r="F96" i="1"/>
  <c r="Q95" i="1"/>
  <c r="P95" i="1"/>
  <c r="O95" i="1"/>
  <c r="O323" i="1" s="1"/>
  <c r="O478" i="1" s="1"/>
  <c r="N95" i="1"/>
  <c r="M95" i="1"/>
  <c r="L95" i="1"/>
  <c r="L323" i="1" s="1"/>
  <c r="L478" i="1" s="1"/>
  <c r="K95" i="1"/>
  <c r="J95" i="1"/>
  <c r="J323" i="1" s="1"/>
  <c r="J478" i="1" s="1"/>
  <c r="I95" i="1"/>
  <c r="H95" i="1"/>
  <c r="H323" i="1" s="1"/>
  <c r="H478" i="1" s="1"/>
  <c r="G95" i="1"/>
  <c r="G323" i="1" s="1"/>
  <c r="G478" i="1" s="1"/>
  <c r="F95" i="1"/>
  <c r="Q94" i="1"/>
  <c r="P94" i="1"/>
  <c r="P322" i="1" s="1"/>
  <c r="P477" i="1" s="1"/>
  <c r="O94" i="1"/>
  <c r="O322" i="1" s="1"/>
  <c r="O477" i="1" s="1"/>
  <c r="N94" i="1"/>
  <c r="N126" i="1" s="1"/>
  <c r="M94" i="1"/>
  <c r="L94" i="1"/>
  <c r="K94" i="1"/>
  <c r="K126" i="1" s="1"/>
  <c r="J94" i="1"/>
  <c r="J322" i="1" s="1"/>
  <c r="J477" i="1" s="1"/>
  <c r="I94" i="1"/>
  <c r="H94" i="1"/>
  <c r="H322" i="1" s="1"/>
  <c r="H477" i="1" s="1"/>
  <c r="G94" i="1"/>
  <c r="G322" i="1" s="1"/>
  <c r="G477" i="1" s="1"/>
  <c r="F94" i="1"/>
  <c r="F126" i="1" s="1"/>
  <c r="Q93" i="1"/>
  <c r="Q321" i="1" s="1"/>
  <c r="Q476" i="1" s="1"/>
  <c r="P93" i="1"/>
  <c r="P321" i="1" s="1"/>
  <c r="P476" i="1" s="1"/>
  <c r="O93" i="1"/>
  <c r="N93" i="1"/>
  <c r="M93" i="1"/>
  <c r="L93" i="1"/>
  <c r="K93" i="1"/>
  <c r="K321" i="1" s="1"/>
  <c r="K476" i="1" s="1"/>
  <c r="J93" i="1"/>
  <c r="I93" i="1"/>
  <c r="H93" i="1"/>
  <c r="G93" i="1"/>
  <c r="G125" i="1" s="1"/>
  <c r="F93" i="1"/>
  <c r="F125" i="1" s="1"/>
  <c r="Q92" i="1"/>
  <c r="Q320" i="1" s="1"/>
  <c r="P92" i="1"/>
  <c r="P320" i="1" s="1"/>
  <c r="P475" i="1" s="1"/>
  <c r="O92" i="1"/>
  <c r="N92" i="1"/>
  <c r="N124" i="1" s="1"/>
  <c r="M92" i="1"/>
  <c r="L92" i="1"/>
  <c r="L320" i="1" s="1"/>
  <c r="L475" i="1" s="1"/>
  <c r="K92" i="1"/>
  <c r="K320" i="1" s="1"/>
  <c r="K475" i="1" s="1"/>
  <c r="J92" i="1"/>
  <c r="I92" i="1"/>
  <c r="H92" i="1"/>
  <c r="G92" i="1"/>
  <c r="G124" i="1" s="1"/>
  <c r="F92" i="1"/>
  <c r="F320" i="1" s="1"/>
  <c r="F475" i="1" s="1"/>
  <c r="Q91" i="1"/>
  <c r="Q123" i="1" s="1"/>
  <c r="P91" i="1"/>
  <c r="P123" i="1" s="1"/>
  <c r="O91" i="1"/>
  <c r="O319" i="1" s="1"/>
  <c r="O474" i="1" s="1"/>
  <c r="N91" i="1"/>
  <c r="M91" i="1"/>
  <c r="M123" i="1" s="1"/>
  <c r="L91" i="1"/>
  <c r="K91" i="1"/>
  <c r="K123" i="1" s="1"/>
  <c r="J91" i="1"/>
  <c r="I91" i="1"/>
  <c r="I123" i="1" s="1"/>
  <c r="H91" i="1"/>
  <c r="G91" i="1"/>
  <c r="G123" i="1" s="1"/>
  <c r="F91" i="1"/>
  <c r="Q90" i="1"/>
  <c r="P90" i="1"/>
  <c r="O90" i="1"/>
  <c r="O318" i="1" s="1"/>
  <c r="O473" i="1" s="1"/>
  <c r="N90" i="1"/>
  <c r="M90" i="1"/>
  <c r="M318" i="1" s="1"/>
  <c r="M473" i="1" s="1"/>
  <c r="L90" i="1"/>
  <c r="L318" i="1" s="1"/>
  <c r="L473" i="1" s="1"/>
  <c r="K90" i="1"/>
  <c r="K318" i="1" s="1"/>
  <c r="K473" i="1" s="1"/>
  <c r="J90" i="1"/>
  <c r="J122" i="1" s="1"/>
  <c r="I90" i="1"/>
  <c r="H90" i="1"/>
  <c r="H122" i="1" s="1"/>
  <c r="G90" i="1"/>
  <c r="G122" i="1" s="1"/>
  <c r="F90" i="1"/>
  <c r="Q89" i="1"/>
  <c r="P89" i="1"/>
  <c r="P121" i="1" s="1"/>
  <c r="O89" i="1"/>
  <c r="O317" i="1" s="1"/>
  <c r="O472" i="1" s="1"/>
  <c r="N89" i="1"/>
  <c r="M89" i="1"/>
  <c r="L89" i="1"/>
  <c r="K89" i="1"/>
  <c r="K317" i="1" s="1"/>
  <c r="K472" i="1" s="1"/>
  <c r="J89" i="1"/>
  <c r="I89" i="1"/>
  <c r="H89" i="1"/>
  <c r="G89" i="1"/>
  <c r="F89" i="1"/>
  <c r="Q88" i="1"/>
  <c r="Q120" i="1" s="1"/>
  <c r="P88" i="1"/>
  <c r="O88" i="1"/>
  <c r="N88" i="1"/>
  <c r="N120" i="1" s="1"/>
  <c r="M88" i="1"/>
  <c r="M120" i="1" s="1"/>
  <c r="L88" i="1"/>
  <c r="L120" i="1" s="1"/>
  <c r="K88" i="1"/>
  <c r="J88" i="1"/>
  <c r="J120" i="1" s="1"/>
  <c r="I88" i="1"/>
  <c r="I120" i="1" s="1"/>
  <c r="H88" i="1"/>
  <c r="G88" i="1"/>
  <c r="G120" i="1" s="1"/>
  <c r="F88" i="1"/>
  <c r="Q87" i="1"/>
  <c r="P87" i="1"/>
  <c r="P119" i="1" s="1"/>
  <c r="O87" i="1"/>
  <c r="N87" i="1"/>
  <c r="M87" i="1"/>
  <c r="L87" i="1"/>
  <c r="L119" i="1" s="1"/>
  <c r="K87" i="1"/>
  <c r="K119" i="1" s="1"/>
  <c r="J87" i="1"/>
  <c r="J119" i="1" s="1"/>
  <c r="I87" i="1"/>
  <c r="H87" i="1"/>
  <c r="H119" i="1" s="1"/>
  <c r="G87" i="1"/>
  <c r="G119" i="1" s="1"/>
  <c r="F87" i="1"/>
  <c r="Q86" i="1"/>
  <c r="P86" i="1"/>
  <c r="P314" i="1" s="1"/>
  <c r="O86" i="1"/>
  <c r="O314" i="1" s="1"/>
  <c r="N86" i="1"/>
  <c r="M86" i="1"/>
  <c r="M314" i="1" s="1"/>
  <c r="M419" i="1" s="1"/>
  <c r="L86" i="1"/>
  <c r="L314" i="1" s="1"/>
  <c r="L419" i="1" s="1"/>
  <c r="K86" i="1"/>
  <c r="K314" i="1" s="1"/>
  <c r="J86" i="1"/>
  <c r="I86" i="1"/>
  <c r="I118" i="1" s="1"/>
  <c r="H86" i="1"/>
  <c r="H118" i="1" s="1"/>
  <c r="G86" i="1"/>
  <c r="G314" i="1" s="1"/>
  <c r="G419" i="1" s="1"/>
  <c r="F86" i="1"/>
  <c r="F314" i="1" s="1"/>
  <c r="F419" i="1" s="1"/>
  <c r="Q85" i="1"/>
  <c r="P85" i="1"/>
  <c r="O85" i="1"/>
  <c r="N85" i="1"/>
  <c r="M85" i="1"/>
  <c r="L85" i="1"/>
  <c r="K85" i="1"/>
  <c r="J85" i="1"/>
  <c r="I85" i="1"/>
  <c r="H85" i="1"/>
  <c r="H117" i="1" s="1"/>
  <c r="G85" i="1"/>
  <c r="F85" i="1"/>
  <c r="F117" i="1" s="1"/>
  <c r="Q84" i="1"/>
  <c r="Q116" i="1" s="1"/>
  <c r="P84" i="1"/>
  <c r="P116" i="1" s="1"/>
  <c r="O84" i="1"/>
  <c r="O116" i="1" s="1"/>
  <c r="N84" i="1"/>
  <c r="N116" i="1" s="1"/>
  <c r="M84" i="1"/>
  <c r="M116" i="1" s="1"/>
  <c r="L84" i="1"/>
  <c r="L116" i="1" s="1"/>
  <c r="K84" i="1"/>
  <c r="K116" i="1" s="1"/>
  <c r="J84" i="1"/>
  <c r="J116" i="1" s="1"/>
  <c r="I84" i="1"/>
  <c r="I116" i="1" s="1"/>
  <c r="H84" i="1"/>
  <c r="H116" i="1" s="1"/>
  <c r="G84" i="1"/>
  <c r="G116" i="1" s="1"/>
  <c r="F84" i="1"/>
  <c r="Q83" i="1"/>
  <c r="Q115" i="1" s="1"/>
  <c r="P83" i="1"/>
  <c r="P115" i="1" s="1"/>
  <c r="O83" i="1"/>
  <c r="O115" i="1" s="1"/>
  <c r="N83" i="1"/>
  <c r="N115" i="1" s="1"/>
  <c r="M83" i="1"/>
  <c r="L83" i="1"/>
  <c r="K83" i="1"/>
  <c r="K115" i="1" s="1"/>
  <c r="J83" i="1"/>
  <c r="I83" i="1"/>
  <c r="H83" i="1"/>
  <c r="G83" i="1"/>
  <c r="F83" i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3" i="1"/>
  <c r="P73" i="1"/>
  <c r="O73" i="1"/>
  <c r="N73" i="1"/>
  <c r="M73" i="1"/>
  <c r="L73" i="1"/>
  <c r="K73" i="1"/>
  <c r="J73" i="1"/>
  <c r="J301" i="1" s="1"/>
  <c r="J465" i="1" s="1"/>
  <c r="I73" i="1"/>
  <c r="H73" i="1"/>
  <c r="G73" i="1"/>
  <c r="G301" i="1" s="1"/>
  <c r="G465" i="1" s="1"/>
  <c r="F73" i="1"/>
  <c r="F301" i="1" s="1"/>
  <c r="F465" i="1" s="1"/>
  <c r="Q72" i="1"/>
  <c r="Q300" i="1" s="1"/>
  <c r="Q413" i="1" s="1"/>
  <c r="P72" i="1"/>
  <c r="P300" i="1" s="1"/>
  <c r="P413" i="1" s="1"/>
  <c r="O72" i="1"/>
  <c r="O300" i="1" s="1"/>
  <c r="N72" i="1"/>
  <c r="N300" i="1" s="1"/>
  <c r="M72" i="1"/>
  <c r="M300" i="1" s="1"/>
  <c r="L72" i="1"/>
  <c r="L300" i="1" s="1"/>
  <c r="L413" i="1" s="1"/>
  <c r="K72" i="1"/>
  <c r="K300" i="1" s="1"/>
  <c r="J72" i="1"/>
  <c r="J300" i="1" s="1"/>
  <c r="I72" i="1"/>
  <c r="H72" i="1"/>
  <c r="H300" i="1" s="1"/>
  <c r="H413" i="1" s="1"/>
  <c r="G72" i="1"/>
  <c r="F72" i="1"/>
  <c r="Q71" i="1"/>
  <c r="P71" i="1"/>
  <c r="O71" i="1"/>
  <c r="N71" i="1"/>
  <c r="M71" i="1"/>
  <c r="L71" i="1"/>
  <c r="K71" i="1"/>
  <c r="J71" i="1"/>
  <c r="I71" i="1"/>
  <c r="H71" i="1"/>
  <c r="G71" i="1"/>
  <c r="F71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5" i="1"/>
  <c r="P65" i="1"/>
  <c r="O65" i="1"/>
  <c r="N65" i="1"/>
  <c r="M65" i="1"/>
  <c r="L65" i="1"/>
  <c r="K65" i="1"/>
  <c r="J65" i="1"/>
  <c r="I65" i="1"/>
  <c r="H65" i="1"/>
  <c r="G65" i="1"/>
  <c r="F65" i="1"/>
  <c r="Q1618" i="1"/>
  <c r="P1618" i="1"/>
  <c r="O1618" i="1"/>
  <c r="N1618" i="1"/>
  <c r="Q1617" i="1"/>
  <c r="P1617" i="1"/>
  <c r="O1617" i="1"/>
  <c r="N1617" i="1"/>
  <c r="Q1571" i="1"/>
  <c r="P1571" i="1"/>
  <c r="O1571" i="1"/>
  <c r="N1571" i="1"/>
  <c r="Q1570" i="1"/>
  <c r="P1570" i="1"/>
  <c r="O1570" i="1"/>
  <c r="N1570" i="1"/>
  <c r="Q1429" i="1"/>
  <c r="P1429" i="1"/>
  <c r="O1429" i="1"/>
  <c r="N1429" i="1"/>
  <c r="Q1428" i="1"/>
  <c r="P1428" i="1"/>
  <c r="O1428" i="1"/>
  <c r="N1428" i="1"/>
  <c r="Q1345" i="1"/>
  <c r="P1345" i="1"/>
  <c r="O1345" i="1"/>
  <c r="N1345" i="1"/>
  <c r="Q1344" i="1"/>
  <c r="P1344" i="1"/>
  <c r="O1344" i="1"/>
  <c r="N1344" i="1"/>
  <c r="Q1207" i="1"/>
  <c r="P1207" i="1"/>
  <c r="O1207" i="1"/>
  <c r="N1207" i="1"/>
  <c r="Q1206" i="1"/>
  <c r="P1206" i="1"/>
  <c r="O1206" i="1"/>
  <c r="N1206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Q1648" i="1" a="1"/>
  <c r="Q1648" i="1" s="1"/>
  <c r="N1644" i="1" a="1"/>
  <c r="N1644" i="1" s="1"/>
  <c r="M1644" i="1" a="1"/>
  <c r="M1644" i="1"/>
  <c r="G1648" i="1" a="1"/>
  <c r="G1648" i="1"/>
  <c r="J1644" i="1" a="1"/>
  <c r="J1644" i="1" s="1"/>
  <c r="K1644" i="1" a="1"/>
  <c r="K1644" i="1"/>
  <c r="Q1644" i="1" a="1"/>
  <c r="Q1644" i="1"/>
  <c r="H1644" i="1" a="1"/>
  <c r="H1644" i="1"/>
  <c r="O1644" i="1" a="1"/>
  <c r="O1644" i="1" s="1"/>
  <c r="P1648" i="1" a="1"/>
  <c r="P1648" i="1" s="1"/>
  <c r="O1648" i="1" a="1"/>
  <c r="O1648" i="1" s="1"/>
  <c r="F1648" i="1" a="1"/>
  <c r="F1648" i="1" s="1"/>
  <c r="P1644" i="1" a="1"/>
  <c r="P1644" i="1" s="1"/>
  <c r="N1648" i="1" a="1"/>
  <c r="N1648" i="1" s="1"/>
  <c r="M1648" i="1" a="1"/>
  <c r="M1648" i="1"/>
  <c r="L1648" i="1" a="1"/>
  <c r="L1648" i="1"/>
  <c r="I1644" i="1" a="1"/>
  <c r="I1644" i="1"/>
  <c r="G1644" i="1" a="1"/>
  <c r="G1644" i="1"/>
  <c r="F1644" i="1" a="1"/>
  <c r="F1644" i="1"/>
  <c r="H1648" i="1" a="1"/>
  <c r="H1648" i="1" s="1"/>
  <c r="L1644" i="1" a="1"/>
  <c r="L1644" i="1" s="1"/>
  <c r="K1648" i="1" a="1"/>
  <c r="K1648" i="1"/>
  <c r="J1648" i="1" a="1"/>
  <c r="J1648" i="1"/>
  <c r="I1648" i="1" a="1"/>
  <c r="I1648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I36" i="1"/>
  <c r="H36" i="1"/>
  <c r="G36" i="1"/>
  <c r="F36" i="1"/>
  <c r="Q32" i="1"/>
  <c r="P32" i="1"/>
  <c r="P30" i="1" s="1" a="1"/>
  <c r="P30" i="1" s="1"/>
  <c r="O32" i="1"/>
  <c r="N32" i="1"/>
  <c r="N30" i="1" s="1" a="1"/>
  <c r="N30" i="1" s="1"/>
  <c r="M32" i="1"/>
  <c r="L32" i="1"/>
  <c r="K32" i="1"/>
  <c r="J32" i="1"/>
  <c r="J30" i="1" s="1" a="1"/>
  <c r="J30" i="1" s="1"/>
  <c r="I32" i="1"/>
  <c r="H32" i="1"/>
  <c r="H30" i="1" s="1" a="1"/>
  <c r="G32" i="1"/>
  <c r="F32" i="1"/>
  <c r="L637" i="1" a="1"/>
  <c r="L637" i="1" s="1"/>
  <c r="K637" i="1" a="1"/>
  <c r="K637" i="1"/>
  <c r="I637" i="1" a="1"/>
  <c r="I637" i="1" s="1"/>
  <c r="P635" i="1" a="1"/>
  <c r="P635" i="1"/>
  <c r="F637" i="1" a="1"/>
  <c r="F637" i="1"/>
  <c r="H637" i="1" a="1"/>
  <c r="H637" i="1"/>
  <c r="G638" i="1" a="1"/>
  <c r="G638" i="1" s="1"/>
  <c r="Q637" i="1" a="1"/>
  <c r="Q637" i="1" s="1"/>
  <c r="P637" i="1" a="1"/>
  <c r="P637" i="1" s="1"/>
  <c r="J637" i="1" a="1"/>
  <c r="J637" i="1" s="1"/>
  <c r="O637" i="1" a="1"/>
  <c r="O637" i="1" s="1"/>
  <c r="Q635" i="1" a="1"/>
  <c r="Q635" i="1"/>
  <c r="N637" i="1" a="1"/>
  <c r="N637" i="1"/>
  <c r="G637" i="1" a="1"/>
  <c r="G637" i="1"/>
  <c r="I638" i="1" a="1"/>
  <c r="I638" i="1" s="1"/>
  <c r="H638" i="1" a="1"/>
  <c r="H638" i="1" s="1"/>
  <c r="F638" i="1" a="1"/>
  <c r="F638" i="1" s="1"/>
  <c r="M637" i="1" a="1"/>
  <c r="M637" i="1"/>
  <c r="O643" i="1" a="1"/>
  <c r="O643" i="1" s="1"/>
  <c r="J642" i="1" a="1"/>
  <c r="J642" i="1" s="1"/>
  <c r="H642" i="1" a="1"/>
  <c r="H642" i="1" s="1"/>
  <c r="G642" i="1" a="1"/>
  <c r="G642" i="1"/>
  <c r="F642" i="1" a="1"/>
  <c r="F642" i="1"/>
  <c r="I642" i="1" a="1"/>
  <c r="I642" i="1"/>
  <c r="M642" i="1" a="1"/>
  <c r="M642" i="1"/>
  <c r="L642" i="1" a="1"/>
  <c r="L642" i="1" s="1"/>
  <c r="N642" i="1" a="1"/>
  <c r="N642" i="1" s="1"/>
  <c r="P642" i="1" a="1"/>
  <c r="P642" i="1"/>
  <c r="K642" i="1" a="1"/>
  <c r="K642" i="1" s="1"/>
  <c r="O642" i="1" a="1"/>
  <c r="O642" i="1"/>
  <c r="M643" i="1" a="1"/>
  <c r="M643" i="1" s="1"/>
  <c r="L643" i="1" a="1"/>
  <c r="L643" i="1"/>
  <c r="K643" i="1" a="1"/>
  <c r="K643" i="1"/>
  <c r="J643" i="1" a="1"/>
  <c r="J643" i="1"/>
  <c r="N643" i="1" a="1"/>
  <c r="N643" i="1"/>
  <c r="P643" i="1" a="1"/>
  <c r="P643" i="1"/>
  <c r="K2329" i="1" a="1"/>
  <c r="K2329" i="1"/>
  <c r="M2328" i="1" a="1"/>
  <c r="M2328" i="1" s="1"/>
  <c r="L2328" i="1" a="1"/>
  <c r="L2328" i="1" s="1"/>
  <c r="P2328" i="1" a="1"/>
  <c r="P2328" i="1" s="1"/>
  <c r="G2327" i="1" a="1"/>
  <c r="G2327" i="1"/>
  <c r="O2328" i="1" a="1"/>
  <c r="O2328" i="1" s="1"/>
  <c r="L2325" i="1" a="1"/>
  <c r="L2325" i="1" s="1"/>
  <c r="I2328" i="1" a="1"/>
  <c r="I2328" i="1" s="1"/>
  <c r="L2327" i="1" a="1"/>
  <c r="L2327" i="1"/>
  <c r="Q2325" i="1" a="1"/>
  <c r="Q2325" i="1"/>
  <c r="O2327" i="1" a="1"/>
  <c r="O2327" i="1" s="1"/>
  <c r="N2327" i="1" a="1"/>
  <c r="N2327" i="1"/>
  <c r="J2326" i="1" a="1"/>
  <c r="J2326" i="1"/>
  <c r="I2326" i="1" a="1"/>
  <c r="I2326" i="1"/>
  <c r="M2325" i="1" a="1"/>
  <c r="M2325" i="1"/>
  <c r="P2326" i="1" a="1"/>
  <c r="P2326" i="1"/>
  <c r="I2327" i="1" a="1"/>
  <c r="I2327" i="1" s="1"/>
  <c r="L2326" i="1" a="1"/>
  <c r="L2326" i="1" s="1"/>
  <c r="N2326" i="1" a="1"/>
  <c r="N2326" i="1" s="1"/>
  <c r="F2328" i="1" a="1"/>
  <c r="F2328" i="1"/>
  <c r="K2326" i="1" a="1"/>
  <c r="K2326" i="1" s="1"/>
  <c r="M2326" i="1" a="1"/>
  <c r="M2326" i="1" s="1"/>
  <c r="K2325" i="1" a="1"/>
  <c r="K2325" i="1"/>
  <c r="F2325" i="1" a="1"/>
  <c r="F2325" i="1" s="1"/>
  <c r="F2327" i="1" a="1"/>
  <c r="F2327" i="1"/>
  <c r="G2329" i="1" a="1"/>
  <c r="G2329" i="1" s="1"/>
  <c r="J2328" i="1" a="1"/>
  <c r="J2328" i="1" s="1"/>
  <c r="F2329" i="1" a="1"/>
  <c r="F2329" i="1"/>
  <c r="H2328" i="1" a="1"/>
  <c r="H2328" i="1"/>
  <c r="Q2326" i="1" a="1"/>
  <c r="Q2326" i="1" s="1"/>
  <c r="O2329" i="1" a="1"/>
  <c r="O2329" i="1" s="1"/>
  <c r="I2329" i="1" a="1"/>
  <c r="I2329" i="1" s="1"/>
  <c r="O2325" i="1" a="1"/>
  <c r="O2325" i="1"/>
  <c r="N2329" i="1" a="1"/>
  <c r="N2329" i="1"/>
  <c r="H2327" i="1" a="1"/>
  <c r="H2327" i="1" s="1"/>
  <c r="J2329" i="1" a="1"/>
  <c r="J2329" i="1" s="1"/>
  <c r="H2329" i="1" a="1"/>
  <c r="H2329" i="1" s="1"/>
  <c r="K2327" i="1" a="1"/>
  <c r="K2327" i="1" s="1"/>
  <c r="H2325" i="1" a="1"/>
  <c r="H2325" i="1" s="1"/>
  <c r="G2325" i="1" a="1"/>
  <c r="G2325" i="1"/>
  <c r="N2328" i="1" a="1"/>
  <c r="N2328" i="1"/>
  <c r="K2328" i="1" a="1"/>
  <c r="K2328" i="1" s="1"/>
  <c r="P2325" i="1" a="1"/>
  <c r="P2325" i="1"/>
  <c r="Q2328" i="1" a="1"/>
  <c r="Q2328" i="1"/>
  <c r="Q2327" i="1" a="1"/>
  <c r="Q2327" i="1"/>
  <c r="J2327" i="1" a="1"/>
  <c r="J2327" i="1"/>
  <c r="G2326" i="1" a="1"/>
  <c r="G2326" i="1"/>
  <c r="F2326" i="1" a="1"/>
  <c r="F2326" i="1" s="1"/>
  <c r="I2325" i="1" a="1"/>
  <c r="I2325" i="1" s="1"/>
  <c r="J2325" i="1" a="1"/>
  <c r="J2325" i="1" s="1"/>
  <c r="H2326" i="1" a="1"/>
  <c r="H2326" i="1" s="1"/>
  <c r="P2327" i="1" a="1"/>
  <c r="P2327" i="1" s="1"/>
  <c r="O2326" i="1" a="1"/>
  <c r="O2326" i="1" s="1"/>
  <c r="N2325" i="1" a="1"/>
  <c r="N2325" i="1" s="1"/>
  <c r="M2327" i="1" a="1"/>
  <c r="M2327" i="1" s="1"/>
  <c r="M2329" i="1" a="1"/>
  <c r="M2329" i="1"/>
  <c r="L2329" i="1" a="1"/>
  <c r="L2329" i="1"/>
  <c r="G2328" i="1" a="1"/>
  <c r="G2328" i="1"/>
  <c r="N2323" i="1" a="1"/>
  <c r="N2323" i="1"/>
  <c r="N2322" i="1" s="1" a="1"/>
  <c r="N2322" i="1" s="1"/>
  <c r="M2323" i="1" a="1"/>
  <c r="M2323" i="1"/>
  <c r="M2322" i="1" s="1" a="1"/>
  <c r="M2322" i="1" s="1"/>
  <c r="L2323" i="1" a="1"/>
  <c r="L2323" i="1"/>
  <c r="L2322" i="1" s="1" a="1"/>
  <c r="L2322" i="1" s="1"/>
  <c r="H2323" i="1" a="1"/>
  <c r="H2323" i="1"/>
  <c r="H2322" i="1" s="1" a="1"/>
  <c r="J2317" i="1" a="1"/>
  <c r="J2317" i="1" s="1"/>
  <c r="G2320" i="1" a="1"/>
  <c r="G2320" i="1"/>
  <c r="G2319" i="1" s="1" a="1"/>
  <c r="G2319" i="1" s="1"/>
  <c r="P2320" i="1" a="1"/>
  <c r="P2320" i="1"/>
  <c r="I2323" i="1" a="1"/>
  <c r="I2323" i="1"/>
  <c r="I2322" i="1" s="1" a="1"/>
  <c r="I2322" i="1" s="1"/>
  <c r="L2320" i="1" a="1"/>
  <c r="L2320" i="1"/>
  <c r="N2320" i="1" a="1"/>
  <c r="N2320" i="1"/>
  <c r="H2320" i="1" a="1"/>
  <c r="H2320" i="1"/>
  <c r="K2319" i="1" a="1"/>
  <c r="K2319" i="1"/>
  <c r="Q2319" i="1" a="1"/>
  <c r="Q2319" i="1"/>
  <c r="L2317" i="1" a="1"/>
  <c r="L2317" i="1"/>
  <c r="F2323" i="1" a="1"/>
  <c r="F2323" i="1"/>
  <c r="F2322" i="1" s="1" a="1"/>
  <c r="F2322" i="1" s="1"/>
  <c r="K2323" i="1" a="1"/>
  <c r="K2323" i="1"/>
  <c r="K2322" i="1" s="1" a="1"/>
  <c r="K2322" i="1" s="1"/>
  <c r="P2317" i="1" a="1"/>
  <c r="P2317" i="1" s="1"/>
  <c r="J2323" i="1" a="1"/>
  <c r="J2323" i="1"/>
  <c r="J2322" i="1" s="1" a="1"/>
  <c r="J2322" i="1" s="1"/>
  <c r="I2317" i="1" a="1"/>
  <c r="I2317" i="1"/>
  <c r="N2319" i="1" a="1"/>
  <c r="N2319" i="1"/>
  <c r="F2319" i="1" a="1"/>
  <c r="F2319" i="1" s="1"/>
  <c r="Q2317" i="1" a="1"/>
  <c r="Q2317" i="1"/>
  <c r="P2319" i="1" a="1"/>
  <c r="P2319" i="1" s="1"/>
  <c r="H2319" i="1" a="1"/>
  <c r="H2319" i="1" s="1"/>
  <c r="J2320" i="1" a="1"/>
  <c r="J2320" i="1"/>
  <c r="J2319" i="1" s="1" a="1"/>
  <c r="J2319" i="1" s="1"/>
  <c r="H2317" i="1" a="1"/>
  <c r="H2317" i="1"/>
  <c r="K2317" i="1" a="1"/>
  <c r="K2317" i="1" s="1"/>
  <c r="Q2323" i="1" a="1"/>
  <c r="Q2323" i="1" s="1"/>
  <c r="Q2322" i="1" s="1" a="1"/>
  <c r="Q2322" i="1" s="1"/>
  <c r="O2320" i="1" a="1"/>
  <c r="O2320" i="1" s="1"/>
  <c r="O2319" i="1" s="1" a="1"/>
  <c r="O2319" i="1" s="1"/>
  <c r="M2320" i="1" a="1"/>
  <c r="M2320" i="1" s="1"/>
  <c r="M2319" i="1" s="1" a="1"/>
  <c r="M2319" i="1" s="1"/>
  <c r="F2317" i="1" a="1"/>
  <c r="F2317" i="1"/>
  <c r="P2323" i="1" a="1"/>
  <c r="P2323" i="1" s="1"/>
  <c r="Q2320" i="1" a="1"/>
  <c r="Q2320" i="1"/>
  <c r="K2320" i="1" a="1"/>
  <c r="K2320" i="1"/>
  <c r="F2320" i="1" a="1"/>
  <c r="F2320" i="1"/>
  <c r="G2323" i="1" a="1"/>
  <c r="G2323" i="1" s="1"/>
  <c r="G2322" i="1" s="1" a="1"/>
  <c r="G2322" i="1" s="1"/>
  <c r="L2319" i="1" a="1"/>
  <c r="L2319" i="1"/>
  <c r="P2322" i="1" a="1"/>
  <c r="P2322" i="1"/>
  <c r="M2317" i="1" a="1"/>
  <c r="M2317" i="1" s="1"/>
  <c r="I2320" i="1" a="1"/>
  <c r="I2320" i="1" s="1"/>
  <c r="I2319" i="1" s="1" a="1"/>
  <c r="I2319" i="1" s="1"/>
  <c r="N2317" i="1" a="1"/>
  <c r="N2317" i="1" s="1"/>
  <c r="G2317" i="1" a="1"/>
  <c r="G2317" i="1"/>
  <c r="H2322" i="1"/>
  <c r="O2317" i="1" a="1"/>
  <c r="O2317" i="1"/>
  <c r="O2323" i="1" a="1"/>
  <c r="O2323" i="1" s="1"/>
  <c r="O2322" i="1" s="1" a="1"/>
  <c r="O2322" i="1" s="1"/>
  <c r="L2316" i="1" a="1"/>
  <c r="L2316" i="1" s="1"/>
  <c r="K2316" i="1" a="1"/>
  <c r="K2316" i="1" s="1"/>
  <c r="J2316" i="1" a="1"/>
  <c r="J2316" i="1" s="1"/>
  <c r="F2316" i="1" a="1"/>
  <c r="F2316" i="1"/>
  <c r="N2314" i="1" a="1"/>
  <c r="N2314" i="1" s="1"/>
  <c r="M2314" i="1" a="1"/>
  <c r="M2314" i="1" s="1"/>
  <c r="G2314" i="1" a="1"/>
  <c r="G2314" i="1"/>
  <c r="K2314" i="1" a="1"/>
  <c r="K2314" i="1"/>
  <c r="I2314" i="1" a="1"/>
  <c r="I2314" i="1"/>
  <c r="O2314" i="1" a="1"/>
  <c r="O2314" i="1" s="1"/>
  <c r="I2316" i="1" a="1"/>
  <c r="I2316" i="1"/>
  <c r="H2316" i="1" a="1"/>
  <c r="H2316" i="1"/>
  <c r="G2316" i="1" a="1"/>
  <c r="G2316" i="1"/>
  <c r="L2314" i="1" a="1"/>
  <c r="L2314" i="1"/>
  <c r="J2314" i="1" a="1"/>
  <c r="J2314" i="1" s="1"/>
  <c r="H2314" i="1" a="1"/>
  <c r="H2314" i="1"/>
  <c r="F2314" i="1" a="1"/>
  <c r="F2314" i="1"/>
  <c r="Q2316" i="1" a="1"/>
  <c r="Q2316" i="1"/>
  <c r="P2314" i="1" a="1"/>
  <c r="P2314" i="1"/>
  <c r="P2316" i="1" a="1"/>
  <c r="P2316" i="1" s="1"/>
  <c r="O2316" i="1" a="1"/>
  <c r="O2316" i="1" s="1"/>
  <c r="M2316" i="1" a="1"/>
  <c r="M2316" i="1"/>
  <c r="Q2314" i="1" a="1"/>
  <c r="Q2314" i="1"/>
  <c r="N2316" i="1" a="1"/>
  <c r="N2316" i="1"/>
  <c r="Q2333" i="1" a="1"/>
  <c r="Q2333" i="1"/>
  <c r="O2333" i="1" a="1"/>
  <c r="O2333" i="1" s="1"/>
  <c r="N2333" i="1" a="1"/>
  <c r="N2333" i="1"/>
  <c r="J2331" i="1" a="1"/>
  <c r="J2331" i="1"/>
  <c r="M2331" i="1" a="1"/>
  <c r="M2331" i="1" s="1"/>
  <c r="J2333" i="1" a="1"/>
  <c r="J2333" i="1" s="1"/>
  <c r="N2332" i="1" a="1"/>
  <c r="N2332" i="1"/>
  <c r="H2332" i="1" a="1"/>
  <c r="H2332" i="1" s="1"/>
  <c r="Q2331" i="1" a="1"/>
  <c r="Q2331" i="1" s="1"/>
  <c r="K2330" i="1" a="1"/>
  <c r="K2330" i="1"/>
  <c r="J2334" i="1" a="1"/>
  <c r="J2334" i="1" s="1"/>
  <c r="K2332" i="1" a="1"/>
  <c r="K2332" i="1" s="1"/>
  <c r="G2334" i="1" a="1"/>
  <c r="G2334" i="1"/>
  <c r="K2333" i="1" a="1"/>
  <c r="K2333" i="1"/>
  <c r="Q2332" i="1" a="1"/>
  <c r="Q2332" i="1" s="1"/>
  <c r="L2330" i="1" a="1"/>
  <c r="L2330" i="1"/>
  <c r="F2332" i="1" a="1"/>
  <c r="F2332" i="1" s="1"/>
  <c r="H2333" i="1" a="1"/>
  <c r="H2333" i="1"/>
  <c r="F2333" i="1" a="1"/>
  <c r="F2333" i="1" s="1"/>
  <c r="G2331" i="1" a="1"/>
  <c r="G2331" i="1"/>
  <c r="M2330" i="1" a="1"/>
  <c r="M2330" i="1"/>
  <c r="G2333" i="1" a="1"/>
  <c r="G2333" i="1"/>
  <c r="P2330" i="1" a="1"/>
  <c r="P2330" i="1"/>
  <c r="G2330" i="1" a="1"/>
  <c r="G2330" i="1" s="1"/>
  <c r="I2333" i="1" a="1"/>
  <c r="I2333" i="1"/>
  <c r="M2333" i="1" a="1"/>
  <c r="M2333" i="1"/>
  <c r="O2334" i="1" a="1"/>
  <c r="O2334" i="1"/>
  <c r="P2333" i="1" a="1"/>
  <c r="P2333" i="1" s="1"/>
  <c r="I2334" i="1" a="1"/>
  <c r="I2334" i="1" s="1"/>
  <c r="O2331" i="1" a="1"/>
  <c r="O2331" i="1" s="1"/>
  <c r="Q2330" i="1" a="1"/>
  <c r="Q2330" i="1" s="1"/>
  <c r="K2331" i="1" a="1"/>
  <c r="K2331" i="1"/>
  <c r="M2332" i="1" a="1"/>
  <c r="M2332" i="1" s="1"/>
  <c r="P2332" i="1" a="1"/>
  <c r="P2332" i="1"/>
  <c r="G2335" i="1" a="1"/>
  <c r="G2335" i="1" s="1"/>
  <c r="L2333" i="1" a="1"/>
  <c r="L2333" i="1" s="1"/>
  <c r="F2335" i="1" a="1"/>
  <c r="F2335" i="1" s="1"/>
  <c r="J2332" i="1" a="1"/>
  <c r="J2332" i="1"/>
  <c r="Q2334" i="1" a="1"/>
  <c r="Q2334" i="1"/>
  <c r="G2332" i="1" a="1"/>
  <c r="G2332" i="1"/>
  <c r="H2330" i="1" a="1"/>
  <c r="H2330" i="1"/>
  <c r="P2331" i="1" a="1"/>
  <c r="P2331" i="1" s="1"/>
  <c r="Q2329" i="1" a="1"/>
  <c r="Q2329" i="1" s="1"/>
  <c r="L2332" i="1" a="1"/>
  <c r="L2332" i="1"/>
  <c r="F2331" i="1" a="1"/>
  <c r="F2331" i="1" s="1"/>
  <c r="P2334" i="1" a="1"/>
  <c r="P2334" i="1"/>
  <c r="J2330" i="1" a="1"/>
  <c r="J2330" i="1" s="1"/>
  <c r="P2329" i="1" a="1"/>
  <c r="P2329" i="1"/>
  <c r="N2331" i="1" a="1"/>
  <c r="N2331" i="1"/>
  <c r="N2330" i="1" a="1"/>
  <c r="N2330" i="1"/>
  <c r="F2330" i="1" a="1"/>
  <c r="F2330" i="1"/>
  <c r="I2330" i="1" a="1"/>
  <c r="I2330" i="1"/>
  <c r="L2334" i="1" a="1"/>
  <c r="L2334" i="1"/>
  <c r="K2334" i="1" a="1"/>
  <c r="K2334" i="1"/>
  <c r="N2334" i="1" a="1"/>
  <c r="N2334" i="1"/>
  <c r="M2334" i="1" a="1"/>
  <c r="M2334" i="1"/>
  <c r="O2332" i="1" a="1"/>
  <c r="O2332" i="1" s="1"/>
  <c r="I2332" i="1" a="1"/>
  <c r="I2332" i="1" s="1"/>
  <c r="L2331" i="1" a="1"/>
  <c r="L2331" i="1"/>
  <c r="I2331" i="1" a="1"/>
  <c r="I2331" i="1"/>
  <c r="F2334" i="1" a="1"/>
  <c r="F2334" i="1" s="1"/>
  <c r="H2331" i="1" a="1"/>
  <c r="H2331" i="1"/>
  <c r="O2330" i="1" a="1"/>
  <c r="O2330" i="1"/>
  <c r="H2334" i="1" a="1"/>
  <c r="H2334" i="1"/>
  <c r="J640" i="1" a="1"/>
  <c r="J640" i="1" s="1"/>
  <c r="P640" i="1" a="1"/>
  <c r="P640" i="1" s="1"/>
  <c r="O640" i="1" a="1"/>
  <c r="O640" i="1" s="1"/>
  <c r="N640" i="1" a="1"/>
  <c r="N640" i="1"/>
  <c r="M640" i="1" a="1"/>
  <c r="M640" i="1"/>
  <c r="L640" i="1" a="1"/>
  <c r="L640" i="1"/>
  <c r="K640" i="1" a="1"/>
  <c r="K640" i="1"/>
  <c r="I640" i="1" a="1"/>
  <c r="I640" i="1"/>
  <c r="Q640" i="1" a="1"/>
  <c r="Q640" i="1"/>
  <c r="H640" i="1" a="1"/>
  <c r="H640" i="1" s="1"/>
  <c r="G640" i="1" a="1"/>
  <c r="G640" i="1" s="1"/>
  <c r="I639" i="1" a="1"/>
  <c r="I639" i="1"/>
  <c r="J638" i="1" a="1"/>
  <c r="J638" i="1"/>
  <c r="N638" i="1" a="1"/>
  <c r="N638" i="1"/>
  <c r="O639" i="1" a="1"/>
  <c r="O639" i="1"/>
  <c r="N639" i="1" a="1"/>
  <c r="N639" i="1"/>
  <c r="M639" i="1" a="1"/>
  <c r="M639" i="1"/>
  <c r="H639" i="1" a="1"/>
  <c r="H639" i="1"/>
  <c r="O638" i="1" a="1"/>
  <c r="O638" i="1"/>
  <c r="L639" i="1" a="1"/>
  <c r="L639" i="1" s="1"/>
  <c r="G639" i="1" a="1"/>
  <c r="G639" i="1"/>
  <c r="M638" i="1" a="1"/>
  <c r="M638" i="1"/>
  <c r="K639" i="1" a="1"/>
  <c r="K639" i="1"/>
  <c r="Q638" i="1" a="1"/>
  <c r="Q638" i="1"/>
  <c r="J639" i="1" a="1"/>
  <c r="J639" i="1" s="1"/>
  <c r="L638" i="1" a="1"/>
  <c r="L638" i="1"/>
  <c r="K638" i="1" a="1"/>
  <c r="K638" i="1" s="1"/>
  <c r="F639" i="1" a="1"/>
  <c r="F639" i="1"/>
  <c r="P638" i="1" a="1"/>
  <c r="P638" i="1"/>
  <c r="F640" i="1" a="1"/>
  <c r="F640" i="1"/>
  <c r="Q639" i="1" a="1"/>
  <c r="Q639" i="1" s="1"/>
  <c r="P639" i="1" a="1"/>
  <c r="P639" i="1"/>
  <c r="G1709" i="1" a="1"/>
  <c r="G1709" i="1" s="1"/>
  <c r="H1708" i="1" a="1"/>
  <c r="H1708" i="1"/>
  <c r="L1709" i="1" a="1"/>
  <c r="L1709" i="1"/>
  <c r="H1709" i="1" a="1"/>
  <c r="H1709" i="1"/>
  <c r="F1708" i="1" a="1"/>
  <c r="F1708" i="1"/>
  <c r="G1708" i="1" a="1"/>
  <c r="G1708" i="1"/>
  <c r="I1709" i="1" a="1"/>
  <c r="I1709" i="1" s="1"/>
  <c r="K1708" i="1" a="1"/>
  <c r="K1708" i="1" s="1"/>
  <c r="I1708" i="1" a="1"/>
  <c r="I1708" i="1"/>
  <c r="O1709" i="1" a="1"/>
  <c r="O1709" i="1" s="1"/>
  <c r="M1708" i="1" a="1"/>
  <c r="M1708" i="1" s="1"/>
  <c r="L1708" i="1" a="1"/>
  <c r="L1708" i="1"/>
  <c r="J1708" i="1" a="1"/>
  <c r="J1708" i="1"/>
  <c r="F1709" i="1" a="1"/>
  <c r="F1709" i="1"/>
  <c r="P1709" i="1" a="1"/>
  <c r="P1709" i="1"/>
  <c r="N1709" i="1" a="1"/>
  <c r="N1709" i="1" s="1"/>
  <c r="N1708" i="1" a="1"/>
  <c r="N1708" i="1"/>
  <c r="K1709" i="1" a="1"/>
  <c r="K1709" i="1"/>
  <c r="P1708" i="1" a="1"/>
  <c r="P1708" i="1"/>
  <c r="Q1709" i="1" a="1"/>
  <c r="Q1709" i="1"/>
  <c r="O1708" i="1" a="1"/>
  <c r="O1708" i="1" s="1"/>
  <c r="Q1708" i="1" a="1"/>
  <c r="Q1708" i="1"/>
  <c r="M1709" i="1" a="1"/>
  <c r="M1709" i="1" s="1"/>
  <c r="J1709" i="1" a="1"/>
  <c r="J1709" i="1" s="1"/>
  <c r="O2049" i="1" a="1"/>
  <c r="O2049" i="1"/>
  <c r="K2049" i="1" a="1"/>
  <c r="K2049" i="1"/>
  <c r="F2049" i="1" a="1"/>
  <c r="F2049" i="1"/>
  <c r="P2048" i="1" a="1"/>
  <c r="P2048" i="1" s="1"/>
  <c r="O2048" i="1" a="1"/>
  <c r="O2048" i="1"/>
  <c r="Q2049" i="1" a="1"/>
  <c r="Q2049" i="1"/>
  <c r="M2049" i="1" a="1"/>
  <c r="M2049" i="1"/>
  <c r="G2049" i="1" a="1"/>
  <c r="G2049" i="1"/>
  <c r="J2049" i="1" a="1"/>
  <c r="J2049" i="1"/>
  <c r="I2049" i="1" a="1"/>
  <c r="I2049" i="1" s="1"/>
  <c r="L2049" i="1" a="1"/>
  <c r="L2049" i="1" s="1"/>
  <c r="P2049" i="1" a="1"/>
  <c r="P2049" i="1"/>
  <c r="M2048" i="1" a="1"/>
  <c r="M2048" i="1"/>
  <c r="L2048" i="1" a="1"/>
  <c r="L2048" i="1" s="1"/>
  <c r="H2049" i="1" a="1"/>
  <c r="H2049" i="1" s="1"/>
  <c r="N2048" i="1" a="1"/>
  <c r="N2048" i="1"/>
  <c r="N2049" i="1" a="1"/>
  <c r="N2049" i="1" s="1"/>
  <c r="Q2048" i="1" a="1"/>
  <c r="Q2048" i="1"/>
  <c r="O2045" i="1" a="1"/>
  <c r="O2045" i="1"/>
  <c r="H2044" i="1" a="1"/>
  <c r="H2044" i="1" s="1"/>
  <c r="N2047" i="1" a="1"/>
  <c r="N2047" i="1"/>
  <c r="M2046" i="1" a="1"/>
  <c r="M2046" i="1"/>
  <c r="H2045" i="1" a="1"/>
  <c r="H2045" i="1"/>
  <c r="G2047" i="1" a="1"/>
  <c r="G2047" i="1"/>
  <c r="N2046" i="1" a="1"/>
  <c r="N2046" i="1" s="1"/>
  <c r="K2043" i="1" a="1"/>
  <c r="K2043" i="1"/>
  <c r="J2044" i="1" a="1"/>
  <c r="J2044" i="1"/>
  <c r="M2044" i="1" a="1"/>
  <c r="M2044" i="1"/>
  <c r="P2047" i="1" a="1"/>
  <c r="P2047" i="1"/>
  <c r="H2046" i="1" a="1"/>
  <c r="H2046" i="1" s="1"/>
  <c r="L2047" i="1" a="1"/>
  <c r="L2047" i="1" s="1"/>
  <c r="J2045" i="1" a="1"/>
  <c r="J2045" i="1" s="1"/>
  <c r="O2046" i="1" a="1"/>
  <c r="O2046" i="1" s="1"/>
  <c r="I2046" i="1" a="1"/>
  <c r="I2046" i="1" s="1"/>
  <c r="G2046" i="1" a="1"/>
  <c r="G2046" i="1"/>
  <c r="Q2045" i="1" a="1"/>
  <c r="Q2045" i="1"/>
  <c r="O2044" i="1" a="1"/>
  <c r="O2044" i="1"/>
  <c r="M2043" i="1" a="1"/>
  <c r="M2043" i="1" s="1"/>
  <c r="O2047" i="1" a="1"/>
  <c r="O2047" i="1" s="1"/>
  <c r="I2047" i="1" a="1"/>
  <c r="I2047" i="1"/>
  <c r="H2047" i="1" a="1"/>
  <c r="H2047" i="1" s="1"/>
  <c r="G2044" i="1" a="1"/>
  <c r="G2044" i="1"/>
  <c r="Q2044" i="1" a="1"/>
  <c r="Q2044" i="1"/>
  <c r="I2043" i="1" a="1"/>
  <c r="I2043" i="1"/>
  <c r="J2047" i="1" a="1"/>
  <c r="J2047" i="1" s="1"/>
  <c r="L2045" i="1" a="1"/>
  <c r="L2045" i="1"/>
  <c r="G2045" i="1" a="1"/>
  <c r="G2045" i="1"/>
  <c r="P2043" i="1" a="1"/>
  <c r="P2043" i="1"/>
  <c r="K2048" i="1" a="1"/>
  <c r="K2048" i="1" s="1"/>
  <c r="J2048" i="1" a="1"/>
  <c r="J2048" i="1" s="1"/>
  <c r="I2044" i="1" a="1"/>
  <c r="I2044" i="1"/>
  <c r="L2043" i="1" a="1"/>
  <c r="L2043" i="1"/>
  <c r="P2044" i="1" a="1"/>
  <c r="P2044" i="1" s="1"/>
  <c r="I2048" i="1" a="1"/>
  <c r="I2048" i="1"/>
  <c r="H2048" i="1" a="1"/>
  <c r="H2048" i="1"/>
  <c r="K2047" i="1" a="1"/>
  <c r="K2047" i="1" s="1"/>
  <c r="P2046" i="1" a="1"/>
  <c r="P2046" i="1"/>
  <c r="N2044" i="1" a="1"/>
  <c r="N2044" i="1" s="1"/>
  <c r="K2044" i="1" a="1"/>
  <c r="K2044" i="1"/>
  <c r="F2044" i="1" a="1"/>
  <c r="F2044" i="1"/>
  <c r="K2046" i="1" a="1"/>
  <c r="K2046" i="1" s="1"/>
  <c r="I2045" i="1" a="1"/>
  <c r="I2045" i="1" s="1"/>
  <c r="Q2043" i="1" a="1"/>
  <c r="Q2043" i="1"/>
  <c r="L2046" i="1" a="1"/>
  <c r="L2046" i="1"/>
  <c r="N2045" i="1" a="1"/>
  <c r="N2045" i="1" s="1"/>
  <c r="L2044" i="1" a="1"/>
  <c r="L2044" i="1" s="1"/>
  <c r="M2045" i="1" a="1"/>
  <c r="M2045" i="1" s="1"/>
  <c r="K2045" i="1" a="1"/>
  <c r="K2045" i="1" s="1"/>
  <c r="O2043" i="1" a="1"/>
  <c r="O2043" i="1" s="1"/>
  <c r="F2048" i="1" a="1"/>
  <c r="F2048" i="1"/>
  <c r="P2045" i="1" a="1"/>
  <c r="P2045" i="1"/>
  <c r="F2045" i="1" a="1"/>
  <c r="F2045" i="1"/>
  <c r="H2043" i="1" a="1"/>
  <c r="H2043" i="1" s="1"/>
  <c r="N2043" i="1" a="1"/>
  <c r="N2043" i="1"/>
  <c r="Q2047" i="1" a="1"/>
  <c r="Q2047" i="1"/>
  <c r="F2046" i="1" a="1"/>
  <c r="F2046" i="1" s="1"/>
  <c r="G2048" i="1" a="1"/>
  <c r="G2048" i="1"/>
  <c r="J2046" i="1" a="1"/>
  <c r="J2046" i="1" s="1"/>
  <c r="M2047" i="1" a="1"/>
  <c r="M2047" i="1" s="1"/>
  <c r="F2047" i="1" a="1"/>
  <c r="F2047" i="1" s="1"/>
  <c r="J2043" i="1" a="1"/>
  <c r="J2043" i="1" s="1"/>
  <c r="Q2046" i="1" a="1"/>
  <c r="Q2046" i="1" s="1"/>
  <c r="K2039" i="1" a="1"/>
  <c r="K2039" i="1"/>
  <c r="N2038" i="1" a="1"/>
  <c r="N2038" i="1" s="1"/>
  <c r="J2039" i="1" a="1"/>
  <c r="J2039" i="1"/>
  <c r="F2038" i="1" a="1"/>
  <c r="F2038" i="1"/>
  <c r="H2040" i="1" a="1"/>
  <c r="H2040" i="1"/>
  <c r="G2043" i="1" a="1"/>
  <c r="G2043" i="1"/>
  <c r="M2042" i="1" a="1"/>
  <c r="M2042" i="1" s="1"/>
  <c r="L2042" i="1" a="1"/>
  <c r="L2042" i="1" s="1"/>
  <c r="P2041" i="1" a="1"/>
  <c r="P2041" i="1" s="1"/>
  <c r="G2042" i="1" a="1"/>
  <c r="G2042" i="1" s="1"/>
  <c r="K2040" i="1" a="1"/>
  <c r="K2040" i="1" s="1"/>
  <c r="F2043" i="1" a="1"/>
  <c r="F2043" i="1" s="1"/>
  <c r="Q2042" i="1" a="1"/>
  <c r="Q2042" i="1" s="1"/>
  <c r="I2038" i="1" a="1"/>
  <c r="I2038" i="1"/>
  <c r="H2042" i="1" a="1"/>
  <c r="H2042" i="1" s="1"/>
  <c r="O2042" i="1" a="1"/>
  <c r="O2042" i="1" s="1"/>
  <c r="N2042" i="1" a="1"/>
  <c r="N2042" i="1"/>
  <c r="K2042" i="1" a="1"/>
  <c r="K2042" i="1"/>
  <c r="P2038" i="1" a="1"/>
  <c r="P2038" i="1"/>
  <c r="F2041" i="1" a="1"/>
  <c r="F2041" i="1" s="1"/>
  <c r="J2041" i="1" a="1"/>
  <c r="J2041" i="1"/>
  <c r="N2039" i="1" a="1"/>
  <c r="N2039" i="1" s="1"/>
  <c r="Q2037" i="1" a="1"/>
  <c r="Q2037" i="1" s="1"/>
  <c r="L2040" i="1" a="1"/>
  <c r="L2040" i="1"/>
  <c r="P2042" i="1" a="1"/>
  <c r="P2042" i="1"/>
  <c r="J2042" i="1" a="1"/>
  <c r="J2042" i="1"/>
  <c r="I2042" i="1" a="1"/>
  <c r="I2042" i="1" s="1"/>
  <c r="G2040" i="1" a="1"/>
  <c r="G2040" i="1" s="1"/>
  <c r="H2039" i="1" a="1"/>
  <c r="H2039" i="1" s="1"/>
  <c r="K2038" i="1" a="1"/>
  <c r="K2038" i="1" s="1"/>
  <c r="M2040" i="1" a="1"/>
  <c r="M2040" i="1"/>
  <c r="O2041" i="1" a="1"/>
  <c r="O2041" i="1"/>
  <c r="N2041" i="1" a="1"/>
  <c r="N2041" i="1"/>
  <c r="F2042" i="1" a="1"/>
  <c r="F2042" i="1"/>
  <c r="Q2041" i="1" a="1"/>
  <c r="Q2041" i="1" s="1"/>
  <c r="K2041" i="1" a="1"/>
  <c r="K2041" i="1"/>
  <c r="F2040" i="1" a="1"/>
  <c r="F2040" i="1"/>
  <c r="I2040" i="1" a="1"/>
  <c r="I2040" i="1" s="1"/>
  <c r="I2041" i="1" a="1"/>
  <c r="I2041" i="1"/>
  <c r="H2041" i="1" a="1"/>
  <c r="H2041" i="1"/>
  <c r="O2040" i="1" a="1"/>
  <c r="O2040" i="1" s="1"/>
  <c r="N2040" i="1" a="1"/>
  <c r="N2040" i="1"/>
  <c r="G2038" i="1" a="1"/>
  <c r="G2038" i="1"/>
  <c r="O2039" i="1" a="1"/>
  <c r="O2039" i="1"/>
  <c r="L2039" i="1" a="1"/>
  <c r="L2039" i="1"/>
  <c r="I2039" i="1" a="1"/>
  <c r="I2039" i="1" s="1"/>
  <c r="M2038" i="1" a="1"/>
  <c r="M2038" i="1" s="1"/>
  <c r="P2037" i="1" a="1"/>
  <c r="P2037" i="1" s="1"/>
  <c r="L2038" i="1" a="1"/>
  <c r="L2038" i="1"/>
  <c r="G2039" i="1" a="1"/>
  <c r="G2039" i="1" s="1"/>
  <c r="J2038" i="1" a="1"/>
  <c r="J2038" i="1" s="1"/>
  <c r="J2040" i="1" a="1"/>
  <c r="J2040" i="1"/>
  <c r="M2041" i="1" a="1"/>
  <c r="M2041" i="1"/>
  <c r="Q2038" i="1" a="1"/>
  <c r="Q2038" i="1"/>
  <c r="O2038" i="1" a="1"/>
  <c r="O2038" i="1" s="1"/>
  <c r="F2039" i="1" a="1"/>
  <c r="F2039" i="1" s="1"/>
  <c r="L2041" i="1" a="1"/>
  <c r="L2041" i="1"/>
  <c r="G2041" i="1" a="1"/>
  <c r="G2041" i="1"/>
  <c r="Q2040" i="1" a="1"/>
  <c r="Q2040" i="1"/>
  <c r="H2038" i="1" a="1"/>
  <c r="H2038" i="1"/>
  <c r="P2040" i="1" a="1"/>
  <c r="P2040" i="1"/>
  <c r="Q2039" i="1" a="1"/>
  <c r="Q2039" i="1" s="1"/>
  <c r="M2039" i="1" a="1"/>
  <c r="M2039" i="1" s="1"/>
  <c r="P2039" i="1" a="1"/>
  <c r="P2039" i="1"/>
  <c r="P2036" i="1" a="1"/>
  <c r="P2036" i="1"/>
  <c r="I2036" i="1" a="1"/>
  <c r="I2036" i="1" s="1"/>
  <c r="L2034" i="1" a="1"/>
  <c r="L2034" i="1" s="1"/>
  <c r="L2035" i="1" a="1"/>
  <c r="L2035" i="1"/>
  <c r="J2035" i="1" a="1"/>
  <c r="J2035" i="1" s="1"/>
  <c r="L2032" i="1" a="1"/>
  <c r="L2032" i="1" s="1"/>
  <c r="L2031" i="1" s="1" a="1"/>
  <c r="L2031" i="1" s="1"/>
  <c r="N2032" i="1" a="1"/>
  <c r="N2032" i="1" s="1"/>
  <c r="N2031" i="1" s="1" a="1"/>
  <c r="N2031" i="1" s="1"/>
  <c r="I2037" i="1" a="1"/>
  <c r="I2037" i="1" s="1"/>
  <c r="G2037" i="1" a="1"/>
  <c r="G2037" i="1"/>
  <c r="P2035" i="1" a="1"/>
  <c r="P2035" i="1"/>
  <c r="I2032" i="1" a="1"/>
  <c r="I2032" i="1"/>
  <c r="I2031" i="1" s="1" a="1"/>
  <c r="I2031" i="1" s="1"/>
  <c r="L2036" i="1" a="1"/>
  <c r="L2036" i="1"/>
  <c r="G2036" i="1" a="1"/>
  <c r="G2036" i="1"/>
  <c r="Q2035" i="1" a="1"/>
  <c r="Q2035" i="1" s="1"/>
  <c r="H2035" i="1" a="1"/>
  <c r="H2035" i="1"/>
  <c r="F2032" i="1" a="1"/>
  <c r="F2032" i="1"/>
  <c r="G2034" i="1" a="1"/>
  <c r="G2034" i="1" s="1"/>
  <c r="N2035" i="1" a="1"/>
  <c r="N2035" i="1"/>
  <c r="P2032" i="1" a="1"/>
  <c r="P2032" i="1" s="1"/>
  <c r="O2032" i="1" a="1"/>
  <c r="O2032" i="1"/>
  <c r="O2031" i="1" s="1" a="1"/>
  <c r="O2031" i="1" s="1"/>
  <c r="G2032" i="1" a="1"/>
  <c r="G2032" i="1" s="1"/>
  <c r="G2031" i="1" s="1" a="1"/>
  <c r="G2031" i="1" s="1"/>
  <c r="M2032" i="1" a="1"/>
  <c r="M2032" i="1" s="1"/>
  <c r="M2031" i="1" s="1" a="1"/>
  <c r="M2031" i="1" s="1"/>
  <c r="P2031" i="1" a="1"/>
  <c r="P2031" i="1" s="1"/>
  <c r="J2032" i="1" a="1"/>
  <c r="J2032" i="1"/>
  <c r="J2031" i="1" s="1" a="1"/>
  <c r="J2031" i="1" s="1"/>
  <c r="Q2034" i="1" a="1"/>
  <c r="Q2034" i="1"/>
  <c r="M2036" i="1" a="1"/>
  <c r="M2036" i="1"/>
  <c r="K2036" i="1" a="1"/>
  <c r="K2036" i="1"/>
  <c r="G2035" i="1" a="1"/>
  <c r="G2035" i="1"/>
  <c r="F2035" i="1" a="1"/>
  <c r="F2035" i="1" s="1"/>
  <c r="O2034" i="1" a="1"/>
  <c r="O2034" i="1" s="1"/>
  <c r="M2034" i="1" a="1"/>
  <c r="M2034" i="1"/>
  <c r="K2034" i="1" a="1"/>
  <c r="K2034" i="1" s="1"/>
  <c r="O2037" i="1" a="1"/>
  <c r="O2037" i="1" s="1"/>
  <c r="N2037" i="1" a="1"/>
  <c r="N2037" i="1"/>
  <c r="N2034" i="1" a="1"/>
  <c r="N2034" i="1"/>
  <c r="Q2036" i="1" a="1"/>
  <c r="Q2036" i="1"/>
  <c r="P2034" i="1" a="1"/>
  <c r="P2034" i="1"/>
  <c r="H2034" i="1" a="1"/>
  <c r="H2034" i="1"/>
  <c r="Q2032" i="1" a="1"/>
  <c r="Q2032" i="1"/>
  <c r="M2035" i="1" a="1"/>
  <c r="M2035" i="1" s="1"/>
  <c r="F2037" i="1" a="1"/>
  <c r="F2037" i="1" s="1"/>
  <c r="K2032" i="1" a="1"/>
  <c r="K2032" i="1" s="1"/>
  <c r="K2031" i="1" s="1" a="1"/>
  <c r="K2031" i="1" s="1"/>
  <c r="L2037" i="1" a="1"/>
  <c r="L2037" i="1" s="1"/>
  <c r="K2035" i="1" a="1"/>
  <c r="K2035" i="1" s="1"/>
  <c r="N2036" i="1" a="1"/>
  <c r="N2036" i="1" s="1"/>
  <c r="M2037" i="1" a="1"/>
  <c r="M2037" i="1" s="1"/>
  <c r="J2036" i="1" a="1"/>
  <c r="J2036" i="1"/>
  <c r="O2036" i="1" a="1"/>
  <c r="O2036" i="1" s="1"/>
  <c r="H2032" i="1" a="1"/>
  <c r="H2032" i="1"/>
  <c r="H2031" i="1" s="1" a="1"/>
  <c r="H2031" i="1" s="1"/>
  <c r="I2035" i="1" a="1"/>
  <c r="I2035" i="1"/>
  <c r="Q2031" i="1" a="1"/>
  <c r="Q2031" i="1"/>
  <c r="F2036" i="1" a="1"/>
  <c r="F2036" i="1"/>
  <c r="K2037" i="1" a="1"/>
  <c r="K2037" i="1"/>
  <c r="I2034" i="1" a="1"/>
  <c r="I2034" i="1"/>
  <c r="J2037" i="1" a="1"/>
  <c r="J2037" i="1"/>
  <c r="H2036" i="1" a="1"/>
  <c r="H2036" i="1" s="1"/>
  <c r="J2034" i="1" a="1"/>
  <c r="J2034" i="1" s="1"/>
  <c r="H2037" i="1" a="1"/>
  <c r="H2037" i="1" s="1"/>
  <c r="O2035" i="1" a="1"/>
  <c r="O2035" i="1"/>
  <c r="F2034" i="1" a="1"/>
  <c r="F2034" i="1" s="1"/>
  <c r="O2025" i="1" a="1"/>
  <c r="O2025" i="1"/>
  <c r="G2026" i="1" a="1"/>
  <c r="G2026" i="1"/>
  <c r="P2029" i="1" a="1"/>
  <c r="P2029" i="1"/>
  <c r="P2028" i="1" s="1" a="1"/>
  <c r="P2028" i="1" s="1"/>
  <c r="O2029" i="1" a="1"/>
  <c r="O2029" i="1"/>
  <c r="O2028" i="1" s="1" a="1"/>
  <c r="O2028" i="1" s="1"/>
  <c r="L2029" i="1" a="1"/>
  <c r="L2029" i="1"/>
  <c r="L2028" i="1" s="1" a="1"/>
  <c r="L2028" i="1" s="1"/>
  <c r="K2029" i="1" a="1"/>
  <c r="K2029" i="1"/>
  <c r="K2028" i="1" s="1" a="1"/>
  <c r="K2028" i="1" s="1"/>
  <c r="K2026" i="1" a="1"/>
  <c r="K2026" i="1" s="1"/>
  <c r="L2025" i="1" a="1"/>
  <c r="L2025" i="1" s="1"/>
  <c r="H2029" i="1" a="1"/>
  <c r="H2029" i="1"/>
  <c r="H2028" i="1" s="1" a="1"/>
  <c r="H2028" i="1" s="1"/>
  <c r="Q2026" i="1" a="1"/>
  <c r="Q2026" i="1" s="1"/>
  <c r="J2026" i="1" a="1"/>
  <c r="J2026" i="1" s="1"/>
  <c r="Q2025" i="1" a="1"/>
  <c r="Q2025" i="1" s="1"/>
  <c r="O2026" i="1" a="1"/>
  <c r="O2026" i="1"/>
  <c r="L2026" i="1" a="1"/>
  <c r="L2026" i="1"/>
  <c r="M2025" i="1" a="1"/>
  <c r="M2025" i="1"/>
  <c r="N2026" i="1" a="1"/>
  <c r="N2026" i="1"/>
  <c r="F2031" i="1" a="1"/>
  <c r="F2031" i="1"/>
  <c r="H2026" i="1" a="1"/>
  <c r="H2026" i="1"/>
  <c r="Q2029" i="1" a="1"/>
  <c r="Q2029" i="1" s="1"/>
  <c r="Q2028" i="1" s="1" a="1"/>
  <c r="F2026" i="1" a="1"/>
  <c r="F2026" i="1" s="1"/>
  <c r="G2029" i="1" a="1"/>
  <c r="G2029" i="1"/>
  <c r="G2028" i="1" s="1" a="1"/>
  <c r="G2028" i="1" s="1"/>
  <c r="Q2028" i="1"/>
  <c r="I2026" i="1" a="1"/>
  <c r="I2026" i="1"/>
  <c r="N2029" i="1" a="1"/>
  <c r="N2029" i="1"/>
  <c r="N2028" i="1" s="1" a="1"/>
  <c r="N2028" i="1" s="1"/>
  <c r="I2029" i="1" a="1"/>
  <c r="I2029" i="1" s="1"/>
  <c r="M2029" i="1" a="1"/>
  <c r="M2029" i="1"/>
  <c r="M2028" i="1" s="1" a="1"/>
  <c r="M2028" i="1" s="1"/>
  <c r="I2028" i="1" a="1"/>
  <c r="I2028" i="1"/>
  <c r="J2028" i="1" a="1"/>
  <c r="J2028" i="1"/>
  <c r="M2026" i="1" a="1"/>
  <c r="M2026" i="1"/>
  <c r="N2025" i="1" a="1"/>
  <c r="N2025" i="1" s="1"/>
  <c r="F2029" i="1" a="1"/>
  <c r="F2029" i="1"/>
  <c r="F2028" i="1" s="1" a="1"/>
  <c r="F2028" i="1" s="1"/>
  <c r="P2025" i="1" a="1"/>
  <c r="P2025" i="1" s="1"/>
  <c r="P2026" i="1" a="1"/>
  <c r="P2026" i="1" s="1"/>
  <c r="J2029" i="1" a="1"/>
  <c r="J2029" i="1"/>
  <c r="M2023" i="1" a="1"/>
  <c r="M2023" i="1" s="1"/>
  <c r="G2023" i="1" a="1"/>
  <c r="G2023" i="1" s="1"/>
  <c r="I2023" i="1" a="1"/>
  <c r="I2023" i="1" s="1"/>
  <c r="Q2023" i="1" a="1"/>
  <c r="Q2023" i="1" s="1"/>
  <c r="O2023" i="1" a="1"/>
  <c r="O2023" i="1" s="1"/>
  <c r="F2023" i="1" a="1"/>
  <c r="F2023" i="1" s="1"/>
  <c r="H2023" i="1" a="1"/>
  <c r="H2023" i="1"/>
  <c r="J2023" i="1" a="1"/>
  <c r="J2023" i="1"/>
  <c r="N2023" i="1" a="1"/>
  <c r="N2023" i="1" s="1"/>
  <c r="L2023" i="1" a="1"/>
  <c r="L2023" i="1"/>
  <c r="K2023" i="1" a="1"/>
  <c r="K2023" i="1"/>
  <c r="K2025" i="1" a="1"/>
  <c r="K2025" i="1" s="1"/>
  <c r="J2025" i="1" a="1"/>
  <c r="J2025" i="1"/>
  <c r="I2025" i="1" a="1"/>
  <c r="I2025" i="1"/>
  <c r="H2025" i="1" a="1"/>
  <c r="H2025" i="1"/>
  <c r="G2025" i="1" a="1"/>
  <c r="G2025" i="1"/>
  <c r="P2023" i="1" a="1"/>
  <c r="P2023" i="1"/>
  <c r="F2025" i="1" a="1"/>
  <c r="F2025" i="1"/>
  <c r="N2340" i="1" a="1"/>
  <c r="N2340" i="1" s="1"/>
  <c r="P2340" i="1" a="1"/>
  <c r="P2340" i="1" s="1"/>
  <c r="O2340" i="1" a="1"/>
  <c r="O2340" i="1"/>
  <c r="M2340" i="1" a="1"/>
  <c r="M2340" i="1" s="1"/>
  <c r="Q2340" i="1" a="1"/>
  <c r="Q2340" i="1"/>
  <c r="I2338" i="1" a="1"/>
  <c r="I2338" i="1" s="1"/>
  <c r="M2338" i="1" a="1"/>
  <c r="M2338" i="1"/>
  <c r="Q2338" i="1" a="1"/>
  <c r="Q2338" i="1"/>
  <c r="I2337" i="1" a="1"/>
  <c r="I2337" i="1"/>
  <c r="O2338" i="1" a="1"/>
  <c r="O2338" i="1"/>
  <c r="G2337" i="1" a="1"/>
  <c r="G2337" i="1"/>
  <c r="F2337" i="1" a="1"/>
  <c r="F2337" i="1" s="1"/>
  <c r="P2336" i="1" a="1"/>
  <c r="P2336" i="1"/>
  <c r="N2336" i="1" a="1"/>
  <c r="N2336" i="1"/>
  <c r="J2338" i="1" a="1"/>
  <c r="J2338" i="1" s="1"/>
  <c r="H2340" i="1" a="1"/>
  <c r="H2340" i="1" s="1"/>
  <c r="F2340" i="1" a="1"/>
  <c r="F2340" i="1" s="1"/>
  <c r="L2338" i="1" a="1"/>
  <c r="L2338" i="1" s="1"/>
  <c r="H2338" i="1" a="1"/>
  <c r="H2338" i="1"/>
  <c r="F2338" i="1" a="1"/>
  <c r="F2338" i="1"/>
  <c r="L2336" i="1" a="1"/>
  <c r="L2336" i="1"/>
  <c r="Q2335" i="1" a="1"/>
  <c r="Q2335" i="1"/>
  <c r="G2336" i="1" a="1"/>
  <c r="G2336" i="1"/>
  <c r="O2339" i="1" a="1"/>
  <c r="O2339" i="1" s="1"/>
  <c r="H2336" i="1" a="1"/>
  <c r="H2336" i="1"/>
  <c r="G2338" i="1" a="1"/>
  <c r="G2338" i="1"/>
  <c r="K2339" i="1" a="1"/>
  <c r="K2339" i="1"/>
  <c r="P2337" i="1" a="1"/>
  <c r="P2337" i="1"/>
  <c r="M2337" i="1" a="1"/>
  <c r="M2337" i="1" s="1"/>
  <c r="I2335" i="1" a="1"/>
  <c r="I2335" i="1" s="1"/>
  <c r="I2340" i="1" a="1"/>
  <c r="I2340" i="1" s="1"/>
  <c r="G2339" i="1" a="1"/>
  <c r="G2339" i="1" s="1"/>
  <c r="H2337" i="1" a="1"/>
  <c r="H2337" i="1" s="1"/>
  <c r="L2340" i="1" a="1"/>
  <c r="L2340" i="1" s="1"/>
  <c r="P2339" i="1" a="1"/>
  <c r="P2339" i="1"/>
  <c r="N2338" i="1" a="1"/>
  <c r="N2338" i="1"/>
  <c r="O2337" i="1" a="1"/>
  <c r="O2337" i="1"/>
  <c r="M2335" i="1" a="1"/>
  <c r="M2335" i="1"/>
  <c r="K2340" i="1" a="1"/>
  <c r="K2340" i="1"/>
  <c r="J2340" i="1" a="1"/>
  <c r="J2340" i="1"/>
  <c r="O2335" i="1" a="1"/>
  <c r="O2335" i="1"/>
  <c r="G2340" i="1" a="1"/>
  <c r="G2340" i="1" s="1"/>
  <c r="L2339" i="1" a="1"/>
  <c r="L2339" i="1" s="1"/>
  <c r="K2336" i="1" a="1"/>
  <c r="K2336" i="1"/>
  <c r="K2338" i="1" a="1"/>
  <c r="K2338" i="1" s="1"/>
  <c r="O2336" i="1" a="1"/>
  <c r="O2336" i="1" s="1"/>
  <c r="M2336" i="1" a="1"/>
  <c r="M2336" i="1" s="1"/>
  <c r="I2339" i="1" a="1"/>
  <c r="I2339" i="1"/>
  <c r="K2335" i="1" a="1"/>
  <c r="K2335" i="1"/>
  <c r="J2335" i="1" a="1"/>
  <c r="J2335" i="1" s="1"/>
  <c r="Q2339" i="1" a="1"/>
  <c r="Q2339" i="1" s="1"/>
  <c r="K2337" i="1" a="1"/>
  <c r="K2337" i="1"/>
  <c r="I2336" i="1" a="1"/>
  <c r="I2336" i="1"/>
  <c r="J2337" i="1" a="1"/>
  <c r="J2337" i="1"/>
  <c r="M2339" i="1" a="1"/>
  <c r="M2339" i="1"/>
  <c r="N2335" i="1" a="1"/>
  <c r="N2335" i="1"/>
  <c r="F2339" i="1" a="1"/>
  <c r="F2339" i="1" s="1"/>
  <c r="Q2337" i="1" a="1"/>
  <c r="Q2337" i="1"/>
  <c r="J2336" i="1" a="1"/>
  <c r="J2336" i="1"/>
  <c r="P2335" i="1" a="1"/>
  <c r="P2335" i="1" s="1"/>
  <c r="F2336" i="1" a="1"/>
  <c r="F2336" i="1" s="1"/>
  <c r="P2338" i="1" a="1"/>
  <c r="P2338" i="1" s="1"/>
  <c r="N2339" i="1" a="1"/>
  <c r="N2339" i="1"/>
  <c r="J2339" i="1" a="1"/>
  <c r="J2339" i="1"/>
  <c r="Q2336" i="1" a="1"/>
  <c r="Q2336" i="1" s="1"/>
  <c r="H2339" i="1" a="1"/>
  <c r="H2339" i="1"/>
  <c r="L2337" i="1" a="1"/>
  <c r="L2337" i="1"/>
  <c r="L2335" i="1" a="1"/>
  <c r="L2335" i="1"/>
  <c r="N2337" i="1" a="1"/>
  <c r="N2337" i="1"/>
  <c r="H643" i="1" a="1"/>
  <c r="H643" i="1" s="1"/>
  <c r="I643" i="1" a="1"/>
  <c r="I643" i="1" s="1"/>
  <c r="G643" i="1" a="1"/>
  <c r="G643" i="1"/>
  <c r="F643" i="1" a="1"/>
  <c r="F643" i="1" s="1"/>
  <c r="Q642" i="1" a="1"/>
  <c r="Q642" i="1"/>
  <c r="F31" i="1" a="1"/>
  <c r="F31" i="1" s="1"/>
  <c r="M31" i="1" a="1"/>
  <c r="M31" i="1"/>
  <c r="G31" i="1" a="1"/>
  <c r="G31" i="1"/>
  <c r="H31" i="1" a="1"/>
  <c r="H31" i="1" s="1"/>
  <c r="H30" i="1"/>
  <c r="O31" i="1" a="1"/>
  <c r="O31" i="1"/>
  <c r="F30" i="1" a="1"/>
  <c r="F30" i="1" s="1"/>
  <c r="P31" i="1" a="1"/>
  <c r="P31" i="1" s="1"/>
  <c r="K31" i="1" a="1"/>
  <c r="K31" i="1"/>
  <c r="K30" i="1" a="1"/>
  <c r="K30" i="1" s="1"/>
  <c r="J31" i="1" a="1"/>
  <c r="J31" i="1" s="1"/>
  <c r="Q31" i="1" a="1"/>
  <c r="Q31" i="1"/>
  <c r="N31" i="1" a="1"/>
  <c r="N31" i="1"/>
  <c r="L31" i="1" a="1"/>
  <c r="L31" i="1" s="1"/>
  <c r="O30" i="1" a="1"/>
  <c r="O30" i="1" s="1"/>
  <c r="G30" i="1" a="1"/>
  <c r="G30" i="1"/>
  <c r="L30" i="1" a="1"/>
  <c r="L30" i="1" s="1"/>
  <c r="I31" i="1" a="1"/>
  <c r="I31" i="1"/>
  <c r="M30" i="1" a="1"/>
  <c r="M30" i="1" s="1"/>
  <c r="I30" i="1" a="1"/>
  <c r="I30" i="1" s="1"/>
  <c r="Q30" i="1" a="1"/>
  <c r="Q30" i="1" s="1"/>
  <c r="H2335" i="1" a="1"/>
  <c r="H2335" i="1" s="1"/>
  <c r="L609" i="1" a="1"/>
  <c r="L609" i="1" s="1"/>
  <c r="P618" i="1" a="1"/>
  <c r="P618" i="1" s="1"/>
  <c r="O618" i="1" a="1"/>
  <c r="O618" i="1" s="1"/>
  <c r="L610" i="1" a="1"/>
  <c r="L610" i="1"/>
  <c r="N618" i="1" a="1"/>
  <c r="N618" i="1"/>
  <c r="M618" i="1" a="1"/>
  <c r="M618" i="1"/>
  <c r="Q617" i="1" a="1"/>
  <c r="Q617" i="1"/>
  <c r="H617" i="1" a="1"/>
  <c r="H617" i="1"/>
  <c r="O610" i="1" a="1"/>
  <c r="O610" i="1"/>
  <c r="F617" i="1" a="1"/>
  <c r="F617" i="1" s="1"/>
  <c r="H610" i="1" a="1"/>
  <c r="H610" i="1"/>
  <c r="Q609" i="1" a="1"/>
  <c r="Q609" i="1"/>
  <c r="L618" i="1" a="1"/>
  <c r="L618" i="1"/>
  <c r="K618" i="1" a="1"/>
  <c r="K618" i="1" s="1"/>
  <c r="J618" i="1" a="1"/>
  <c r="J618" i="1" s="1"/>
  <c r="I618" i="1" a="1"/>
  <c r="I618" i="1" s="1"/>
  <c r="O617" i="1" a="1"/>
  <c r="O617" i="1"/>
  <c r="N617" i="1" a="1"/>
  <c r="N617" i="1" s="1"/>
  <c r="K617" i="1" a="1"/>
  <c r="K617" i="1"/>
  <c r="O609" i="1" a="1"/>
  <c r="O609" i="1"/>
  <c r="N609" i="1" a="1"/>
  <c r="N609" i="1" s="1"/>
  <c r="H618" i="1" a="1"/>
  <c r="H618" i="1"/>
  <c r="G617" i="1" a="1"/>
  <c r="G617" i="1"/>
  <c r="G618" i="1" a="1"/>
  <c r="G618" i="1"/>
  <c r="M617" i="1" a="1"/>
  <c r="M617" i="1" s="1"/>
  <c r="J617" i="1" a="1"/>
  <c r="J617" i="1" s="1"/>
  <c r="Q610" i="1" a="1"/>
  <c r="Q610" i="1"/>
  <c r="P609" i="1" a="1"/>
  <c r="P609" i="1" s="1"/>
  <c r="F618" i="1" a="1"/>
  <c r="F618" i="1" s="1"/>
  <c r="P617" i="1" a="1"/>
  <c r="P617" i="1" s="1"/>
  <c r="I617" i="1" a="1"/>
  <c r="I617" i="1" s="1"/>
  <c r="M609" i="1" a="1"/>
  <c r="M609" i="1" s="1"/>
  <c r="M610" i="1" a="1"/>
  <c r="M610" i="1"/>
  <c r="F610" i="1" a="1"/>
  <c r="F610" i="1"/>
  <c r="P610" i="1" a="1"/>
  <c r="P610" i="1"/>
  <c r="G610" i="1" a="1"/>
  <c r="G610" i="1"/>
  <c r="J609" i="1" a="1"/>
  <c r="J609" i="1"/>
  <c r="L617" i="1" a="1"/>
  <c r="L617" i="1" s="1"/>
  <c r="J610" i="1" a="1"/>
  <c r="J610" i="1" s="1"/>
  <c r="N610" i="1" a="1"/>
  <c r="N610" i="1"/>
  <c r="K609" i="1" a="1"/>
  <c r="K609" i="1" s="1"/>
  <c r="G619" i="1" a="1"/>
  <c r="G619" i="1" s="1"/>
  <c r="K610" i="1" a="1"/>
  <c r="K610" i="1" s="1"/>
  <c r="F619" i="1" a="1"/>
  <c r="F619" i="1" s="1"/>
  <c r="Q618" i="1" a="1"/>
  <c r="Q618" i="1" s="1"/>
  <c r="I610" i="1" a="1"/>
  <c r="I610" i="1" s="1"/>
  <c r="H602" i="1" a="1"/>
  <c r="H602" i="1" s="1"/>
  <c r="Q606" i="1" a="1"/>
  <c r="Q606" i="1"/>
  <c r="I606" i="1" a="1"/>
  <c r="I606" i="1"/>
  <c r="M602" i="1" a="1"/>
  <c r="M602" i="1" s="1"/>
  <c r="Q607" i="1" a="1"/>
  <c r="Q607" i="1"/>
  <c r="P607" i="1" a="1"/>
  <c r="P607" i="1"/>
  <c r="P602" i="1" a="1"/>
  <c r="P602" i="1" s="1"/>
  <c r="O607" i="1" a="1"/>
  <c r="O607" i="1"/>
  <c r="N607" i="1" a="1"/>
  <c r="N607" i="1"/>
  <c r="K606" i="1" a="1"/>
  <c r="K606" i="1" s="1"/>
  <c r="M607" i="1" a="1"/>
  <c r="M607" i="1" s="1"/>
  <c r="M603" i="1" a="1"/>
  <c r="M603" i="1"/>
  <c r="L607" i="1" a="1"/>
  <c r="L607" i="1"/>
  <c r="K607" i="1" a="1"/>
  <c r="K607" i="1"/>
  <c r="G607" i="1" a="1"/>
  <c r="G607" i="1"/>
  <c r="N602" i="1" a="1"/>
  <c r="N602" i="1"/>
  <c r="O606" i="1" a="1"/>
  <c r="O606" i="1" s="1"/>
  <c r="N606" i="1" a="1"/>
  <c r="N606" i="1" s="1"/>
  <c r="P603" i="1" a="1"/>
  <c r="P603" i="1"/>
  <c r="I602" i="1" a="1"/>
  <c r="I602" i="1"/>
  <c r="J607" i="1" a="1"/>
  <c r="J607" i="1"/>
  <c r="I607" i="1" a="1"/>
  <c r="I607" i="1"/>
  <c r="H607" i="1" a="1"/>
  <c r="H607" i="1" s="1"/>
  <c r="F607" i="1" a="1"/>
  <c r="F607" i="1" s="1"/>
  <c r="P606" i="1" a="1"/>
  <c r="P606" i="1"/>
  <c r="O602" i="1" a="1"/>
  <c r="O602" i="1"/>
  <c r="Q603" i="1" a="1"/>
  <c r="Q603" i="1"/>
  <c r="L606" i="1" a="1"/>
  <c r="L606" i="1" s="1"/>
  <c r="J606" i="1" a="1"/>
  <c r="J606" i="1" s="1"/>
  <c r="G606" i="1" a="1"/>
  <c r="G606" i="1" s="1"/>
  <c r="F606" i="1" a="1"/>
  <c r="F606" i="1" s="1"/>
  <c r="F602" i="1" a="1"/>
  <c r="F602" i="1" s="1"/>
  <c r="J602" i="1" a="1"/>
  <c r="J602" i="1" s="1"/>
  <c r="G603" i="1" a="1"/>
  <c r="G603" i="1"/>
  <c r="Q602" i="1" a="1"/>
  <c r="Q602" i="1"/>
  <c r="L603" i="1" a="1"/>
  <c r="L603" i="1" s="1"/>
  <c r="L602" i="1" a="1"/>
  <c r="L602" i="1"/>
  <c r="G602" i="1" a="1"/>
  <c r="G602" i="1" s="1"/>
  <c r="H603" i="1" a="1"/>
  <c r="H603" i="1"/>
  <c r="O603" i="1" a="1"/>
  <c r="O603" i="1" s="1"/>
  <c r="J603" i="1" a="1"/>
  <c r="J603" i="1" s="1"/>
  <c r="K602" i="1" a="1"/>
  <c r="K602" i="1" s="1"/>
  <c r="H606" i="1" a="1"/>
  <c r="H606" i="1"/>
  <c r="N603" i="1" a="1"/>
  <c r="N603" i="1"/>
  <c r="F603" i="1" a="1"/>
  <c r="F603" i="1"/>
  <c r="M606" i="1" a="1"/>
  <c r="M606" i="1"/>
  <c r="I609" i="1" a="1"/>
  <c r="I609" i="1"/>
  <c r="I603" i="1" a="1"/>
  <c r="I603" i="1"/>
  <c r="K603" i="1" a="1"/>
  <c r="K603" i="1"/>
  <c r="H609" i="1" a="1"/>
  <c r="H609" i="1"/>
  <c r="G609" i="1" a="1"/>
  <c r="G609" i="1" s="1"/>
  <c r="F609" i="1" a="1"/>
  <c r="F609" i="1" s="1"/>
  <c r="K595" i="1" a="1"/>
  <c r="K595" i="1" s="1"/>
  <c r="Q589" i="1" a="1"/>
  <c r="Q589" i="1"/>
  <c r="O595" i="1" a="1"/>
  <c r="O595" i="1"/>
  <c r="L595" i="1" a="1"/>
  <c r="L595" i="1"/>
  <c r="I592" i="1" a="1"/>
  <c r="I592" i="1"/>
  <c r="M592" i="1" a="1"/>
  <c r="M592" i="1"/>
  <c r="O593" i="1" a="1"/>
  <c r="O593" i="1" s="1"/>
  <c r="Q592" i="1" a="1"/>
  <c r="Q592" i="1" s="1"/>
  <c r="O592" i="1" a="1"/>
  <c r="O592" i="1" s="1"/>
  <c r="L596" i="1" a="1"/>
  <c r="L596" i="1" s="1"/>
  <c r="L592" i="1" a="1"/>
  <c r="L592" i="1"/>
  <c r="K593" i="1" a="1"/>
  <c r="K593" i="1" s="1"/>
  <c r="I596" i="1" a="1"/>
  <c r="I596" i="1"/>
  <c r="P593" i="1" a="1"/>
  <c r="P593" i="1" s="1"/>
  <c r="F593" i="1" a="1"/>
  <c r="F593" i="1"/>
  <c r="K592" i="1" a="1"/>
  <c r="K592" i="1" s="1"/>
  <c r="N592" i="1" a="1"/>
  <c r="N592" i="1"/>
  <c r="G592" i="1" a="1"/>
  <c r="G592" i="1"/>
  <c r="F592" i="1" a="1"/>
  <c r="F592" i="1"/>
  <c r="L593" i="1" a="1"/>
  <c r="L593" i="1"/>
  <c r="F595" i="1" a="1"/>
  <c r="F595" i="1"/>
  <c r="Q593" i="1" a="1"/>
  <c r="Q593" i="1"/>
  <c r="N595" i="1" a="1"/>
  <c r="N595" i="1" s="1"/>
  <c r="G595" i="1" a="1"/>
  <c r="G595" i="1" s="1"/>
  <c r="J593" i="1" a="1"/>
  <c r="J593" i="1"/>
  <c r="I595" i="1" a="1"/>
  <c r="I595" i="1" s="1"/>
  <c r="H595" i="1" a="1"/>
  <c r="H595" i="1" s="1"/>
  <c r="Q596" i="1" a="1"/>
  <c r="Q596" i="1" s="1"/>
  <c r="J595" i="1" a="1"/>
  <c r="J595" i="1" s="1"/>
  <c r="P596" i="1" a="1"/>
  <c r="P596" i="1"/>
  <c r="H592" i="1" a="1"/>
  <c r="H592" i="1"/>
  <c r="J592" i="1" a="1"/>
  <c r="J592" i="1"/>
  <c r="O596" i="1" a="1"/>
  <c r="O596" i="1"/>
  <c r="N596" i="1" a="1"/>
  <c r="N596" i="1"/>
  <c r="N593" i="1" a="1"/>
  <c r="N593" i="1" s="1"/>
  <c r="M596" i="1" a="1"/>
  <c r="M596" i="1" s="1"/>
  <c r="P592" i="1" a="1"/>
  <c r="P592" i="1" s="1"/>
  <c r="H593" i="1" a="1"/>
  <c r="H593" i="1"/>
  <c r="K596" i="1" a="1"/>
  <c r="K596" i="1"/>
  <c r="P595" i="1" a="1"/>
  <c r="P595" i="1"/>
  <c r="G593" i="1" a="1"/>
  <c r="G593" i="1"/>
  <c r="I593" i="1" a="1"/>
  <c r="I593" i="1" s="1"/>
  <c r="M593" i="1" a="1"/>
  <c r="M593" i="1"/>
  <c r="J596" i="1" a="1"/>
  <c r="J596" i="1"/>
  <c r="H596" i="1" a="1"/>
  <c r="H596" i="1" s="1"/>
  <c r="Q595" i="1" a="1"/>
  <c r="Q595" i="1"/>
  <c r="G596" i="1" a="1"/>
  <c r="G596" i="1"/>
  <c r="M595" i="1" a="1"/>
  <c r="M595" i="1"/>
  <c r="F596" i="1" a="1"/>
  <c r="F596" i="1"/>
  <c r="N588" i="1" a="1"/>
  <c r="N588" i="1" s="1"/>
  <c r="K585" i="1" a="1"/>
  <c r="K585" i="1" s="1"/>
  <c r="O585" i="1" a="1"/>
  <c r="O585" i="1" s="1"/>
  <c r="F585" i="1" a="1"/>
  <c r="F585" i="1"/>
  <c r="N585" i="1" a="1"/>
  <c r="N585" i="1"/>
  <c r="N589" i="1" a="1"/>
  <c r="N589" i="1"/>
  <c r="M589" i="1" a="1"/>
  <c r="M589" i="1" s="1"/>
  <c r="P588" i="1" a="1"/>
  <c r="P588" i="1" s="1"/>
  <c r="L588" i="1" a="1"/>
  <c r="L588" i="1" s="1"/>
  <c r="I585" i="1" a="1"/>
  <c r="I585" i="1"/>
  <c r="L584" i="1" a="1"/>
  <c r="L584" i="1"/>
  <c r="I584" i="1" a="1"/>
  <c r="I584" i="1"/>
  <c r="G588" i="1" a="1"/>
  <c r="G588" i="1"/>
  <c r="K588" i="1" a="1"/>
  <c r="K588" i="1"/>
  <c r="F588" i="1" a="1"/>
  <c r="F588" i="1"/>
  <c r="J585" i="1" a="1"/>
  <c r="J585" i="1" s="1"/>
  <c r="H585" i="1" a="1"/>
  <c r="H585" i="1" s="1"/>
  <c r="P584" i="1" a="1"/>
  <c r="P584" i="1" s="1"/>
  <c r="O584" i="1" a="1"/>
  <c r="O584" i="1"/>
  <c r="H584" i="1" a="1"/>
  <c r="H584" i="1"/>
  <c r="K589" i="1" a="1"/>
  <c r="K589" i="1" s="1"/>
  <c r="G589" i="1" a="1"/>
  <c r="G589" i="1" s="1"/>
  <c r="M588" i="1" a="1"/>
  <c r="M588" i="1" s="1"/>
  <c r="P589" i="1" a="1"/>
  <c r="P589" i="1"/>
  <c r="O589" i="1" a="1"/>
  <c r="O589" i="1" s="1"/>
  <c r="Q585" i="1" a="1"/>
  <c r="Q585" i="1"/>
  <c r="G585" i="1" a="1"/>
  <c r="G585" i="1"/>
  <c r="N584" i="1" a="1"/>
  <c r="N584" i="1"/>
  <c r="G584" i="1" a="1"/>
  <c r="G584" i="1"/>
  <c r="L589" i="1" a="1"/>
  <c r="L589" i="1"/>
  <c r="H589" i="1" a="1"/>
  <c r="H589" i="1" s="1"/>
  <c r="J589" i="1" a="1"/>
  <c r="J589" i="1" s="1"/>
  <c r="Q584" i="1" a="1"/>
  <c r="Q584" i="1" s="1"/>
  <c r="J584" i="1" a="1"/>
  <c r="J584" i="1"/>
  <c r="O588" i="1" a="1"/>
  <c r="O588" i="1"/>
  <c r="I588" i="1" a="1"/>
  <c r="I588" i="1"/>
  <c r="K584" i="1" a="1"/>
  <c r="K584" i="1"/>
  <c r="Q588" i="1" a="1"/>
  <c r="Q588" i="1"/>
  <c r="H588" i="1" a="1"/>
  <c r="H588" i="1" s="1"/>
  <c r="I589" i="1" a="1"/>
  <c r="I589" i="1"/>
  <c r="L585" i="1" a="1"/>
  <c r="L585" i="1" s="1"/>
  <c r="F589" i="1" a="1"/>
  <c r="F589" i="1"/>
  <c r="J588" i="1" a="1"/>
  <c r="J588" i="1"/>
  <c r="M585" i="1" a="1"/>
  <c r="M585" i="1"/>
  <c r="P585" i="1" a="1"/>
  <c r="P585" i="1"/>
  <c r="M584" i="1" a="1"/>
  <c r="M584" i="1" s="1"/>
  <c r="F584" i="1" a="1"/>
  <c r="F584" i="1" s="1"/>
  <c r="P629" i="1" a="1"/>
  <c r="P629" i="1" s="1"/>
  <c r="O629" i="1" a="1"/>
  <c r="O629" i="1"/>
  <c r="N629" i="1" a="1"/>
  <c r="N629" i="1"/>
  <c r="M629" i="1" a="1"/>
  <c r="M629" i="1"/>
  <c r="L629" i="1" a="1"/>
  <c r="L629" i="1"/>
  <c r="K629" i="1" a="1"/>
  <c r="K629" i="1" s="1"/>
  <c r="I629" i="1" a="1"/>
  <c r="I629" i="1"/>
  <c r="J629" i="1" a="1"/>
  <c r="J629" i="1"/>
  <c r="H629" i="1" a="1"/>
  <c r="H629" i="1"/>
  <c r="G629" i="1" a="1"/>
  <c r="G629" i="1"/>
  <c r="F629" i="1" a="1"/>
  <c r="F629" i="1"/>
  <c r="Q628" i="1" a="1"/>
  <c r="Q628" i="1"/>
  <c r="P628" i="1" a="1"/>
  <c r="P628" i="1"/>
  <c r="I628" i="1" a="1"/>
  <c r="I628" i="1"/>
  <c r="H628" i="1" a="1"/>
  <c r="H628" i="1"/>
  <c r="G628" i="1" a="1"/>
  <c r="G628" i="1"/>
  <c r="K627" i="1" a="1"/>
  <c r="K627" i="1" s="1"/>
  <c r="M627" i="1" a="1"/>
  <c r="M627" i="1" s="1"/>
  <c r="F628" i="1" a="1"/>
  <c r="F628" i="1"/>
  <c r="P627" i="1" a="1"/>
  <c r="P627" i="1" s="1"/>
  <c r="F627" i="1" a="1"/>
  <c r="F627" i="1"/>
  <c r="O628" i="1" a="1"/>
  <c r="O628" i="1"/>
  <c r="N628" i="1" a="1"/>
  <c r="N628" i="1" s="1"/>
  <c r="Q627" i="1" a="1"/>
  <c r="Q627" i="1"/>
  <c r="M628" i="1" a="1"/>
  <c r="M628" i="1"/>
  <c r="J628" i="1" a="1"/>
  <c r="J628" i="1"/>
  <c r="G627" i="1" a="1"/>
  <c r="G627" i="1"/>
  <c r="O627" i="1" a="1"/>
  <c r="O627" i="1"/>
  <c r="J627" i="1" a="1"/>
  <c r="J627" i="1"/>
  <c r="N627" i="1" a="1"/>
  <c r="N627" i="1"/>
  <c r="L627" i="1" a="1"/>
  <c r="L627" i="1"/>
  <c r="I627" i="1" a="1"/>
  <c r="I627" i="1" s="1"/>
  <c r="H627" i="1" a="1"/>
  <c r="H627" i="1"/>
  <c r="Q625" i="1" a="1"/>
  <c r="Q625" i="1" s="1"/>
  <c r="L628" i="1" a="1"/>
  <c r="L628" i="1" s="1"/>
  <c r="K628" i="1" a="1"/>
  <c r="K628" i="1"/>
  <c r="Q630" i="1" a="1"/>
  <c r="Q630" i="1"/>
  <c r="G630" i="1" a="1"/>
  <c r="G630" i="1"/>
  <c r="Q629" i="1" a="1"/>
  <c r="Q629" i="1"/>
  <c r="K630" i="1" a="1"/>
  <c r="K630" i="1"/>
  <c r="J630" i="1" a="1"/>
  <c r="J630" i="1"/>
  <c r="H630" i="1" a="1"/>
  <c r="H630" i="1"/>
  <c r="I630" i="1" a="1"/>
  <c r="I630" i="1"/>
  <c r="F630" i="1" a="1"/>
  <c r="F630" i="1"/>
  <c r="P630" i="1" a="1"/>
  <c r="P630" i="1"/>
  <c r="O630" i="1" a="1"/>
  <c r="O630" i="1"/>
  <c r="N630" i="1" a="1"/>
  <c r="N630" i="1"/>
  <c r="M630" i="1" a="1"/>
  <c r="M630" i="1" s="1"/>
  <c r="L630" i="1" a="1"/>
  <c r="L630" i="1"/>
  <c r="K623" i="1" a="1"/>
  <c r="K623" i="1"/>
  <c r="J623" i="1" a="1"/>
  <c r="J623" i="1"/>
  <c r="G623" i="1" a="1"/>
  <c r="G623" i="1" s="1"/>
  <c r="I623" i="1" a="1"/>
  <c r="I623" i="1"/>
  <c r="H623" i="1" a="1"/>
  <c r="H623" i="1"/>
  <c r="P622" i="1" a="1"/>
  <c r="P622" i="1"/>
  <c r="O622" i="1" a="1"/>
  <c r="O622" i="1"/>
  <c r="N622" i="1" a="1"/>
  <c r="N622" i="1"/>
  <c r="M622" i="1" a="1"/>
  <c r="M622" i="1"/>
  <c r="L622" i="1" a="1"/>
  <c r="L622" i="1"/>
  <c r="K622" i="1" a="1"/>
  <c r="K622" i="1"/>
  <c r="I622" i="1" a="1"/>
  <c r="I622" i="1"/>
  <c r="J622" i="1" a="1"/>
  <c r="J622" i="1" s="1"/>
  <c r="F623" i="1" a="1"/>
  <c r="F623" i="1"/>
  <c r="Q622" i="1" a="1"/>
  <c r="Q622" i="1" s="1"/>
  <c r="H622" i="1" a="1"/>
  <c r="H622" i="1"/>
  <c r="G622" i="1" a="1"/>
  <c r="G622" i="1"/>
  <c r="F622" i="1" a="1"/>
  <c r="F622" i="1"/>
  <c r="M620" i="1" a="1"/>
  <c r="M620" i="1"/>
  <c r="L620" i="1" a="1"/>
  <c r="L620" i="1"/>
  <c r="Q620" i="1" a="1"/>
  <c r="Q620" i="1"/>
  <c r="P620" i="1" a="1"/>
  <c r="P620" i="1"/>
  <c r="O620" i="1" a="1"/>
  <c r="O620" i="1"/>
  <c r="N620" i="1" a="1"/>
  <c r="N620" i="1"/>
  <c r="K620" i="1" a="1"/>
  <c r="K620" i="1"/>
  <c r="J620" i="1" a="1"/>
  <c r="J620" i="1"/>
  <c r="I620" i="1" a="1"/>
  <c r="I620" i="1" s="1"/>
  <c r="F620" i="1" a="1"/>
  <c r="F620" i="1"/>
  <c r="G620" i="1" a="1"/>
  <c r="G620" i="1"/>
  <c r="Q619" i="1" a="1"/>
  <c r="Q619" i="1"/>
  <c r="N619" i="1" a="1"/>
  <c r="N619" i="1"/>
  <c r="O619" i="1" a="1"/>
  <c r="O619" i="1" s="1"/>
  <c r="H620" i="1" a="1"/>
  <c r="H620" i="1"/>
  <c r="P619" i="1" a="1"/>
  <c r="P619" i="1"/>
  <c r="H619" i="1" a="1"/>
  <c r="H619" i="1"/>
  <c r="K619" i="1" a="1"/>
  <c r="K619" i="1"/>
  <c r="M619" i="1" a="1"/>
  <c r="M619" i="1"/>
  <c r="L619" i="1" a="1"/>
  <c r="L619" i="1"/>
  <c r="J619" i="1" a="1"/>
  <c r="J619" i="1"/>
  <c r="I619" i="1" a="1"/>
  <c r="I619" i="1"/>
  <c r="N625" i="1" a="1"/>
  <c r="N625" i="1" s="1"/>
  <c r="M625" i="1" a="1"/>
  <c r="M625" i="1" s="1"/>
  <c r="P625" i="1" a="1"/>
  <c r="P625" i="1"/>
  <c r="O625" i="1" a="1"/>
  <c r="O625" i="1" s="1"/>
  <c r="L625" i="1" a="1"/>
  <c r="L625" i="1"/>
  <c r="F625" i="1" a="1"/>
  <c r="F625" i="1"/>
  <c r="Q623" i="1" a="1"/>
  <c r="Q623" i="1"/>
  <c r="K625" i="1" a="1"/>
  <c r="K625" i="1"/>
  <c r="J625" i="1" a="1"/>
  <c r="J625" i="1"/>
  <c r="I625" i="1" a="1"/>
  <c r="I625" i="1"/>
  <c r="H625" i="1" a="1"/>
  <c r="H625" i="1"/>
  <c r="G625" i="1" a="1"/>
  <c r="G625" i="1"/>
  <c r="O623" i="1" a="1"/>
  <c r="O623" i="1"/>
  <c r="N623" i="1" a="1"/>
  <c r="N623" i="1"/>
  <c r="P623" i="1" a="1"/>
  <c r="P623" i="1" s="1"/>
  <c r="L623" i="1" a="1"/>
  <c r="L623" i="1" s="1"/>
  <c r="M623" i="1" a="1"/>
  <c r="M623" i="1" s="1"/>
  <c r="I743" i="1" a="1"/>
  <c r="I743" i="1"/>
  <c r="F743" i="1" a="1"/>
  <c r="F743" i="1"/>
  <c r="Q743" i="1" a="1"/>
  <c r="Q743" i="1" s="1"/>
  <c r="O743" i="1" a="1"/>
  <c r="O743" i="1"/>
  <c r="G743" i="1" a="1"/>
  <c r="G743" i="1" s="1"/>
  <c r="M744" i="1" a="1"/>
  <c r="M744" i="1"/>
  <c r="M743" i="1" a="1"/>
  <c r="M743" i="1"/>
  <c r="Q744" i="1" a="1"/>
  <c r="Q744" i="1" s="1"/>
  <c r="P743" i="1" a="1"/>
  <c r="P743" i="1"/>
  <c r="J743" i="1" a="1"/>
  <c r="J743" i="1"/>
  <c r="H743" i="1" a="1"/>
  <c r="H743" i="1"/>
  <c r="P744" i="1" a="1"/>
  <c r="P744" i="1" s="1"/>
  <c r="L743" i="1" a="1"/>
  <c r="L743" i="1"/>
  <c r="K743" i="1" a="1"/>
  <c r="K743" i="1"/>
  <c r="N743" i="1" a="1"/>
  <c r="N743" i="1"/>
  <c r="Q740" i="1" a="1"/>
  <c r="Q740" i="1" s="1"/>
  <c r="J740" i="1" a="1"/>
  <c r="J740" i="1"/>
  <c r="P742" i="1" a="1"/>
  <c r="P742" i="1"/>
  <c r="H740" i="1" a="1"/>
  <c r="H740" i="1"/>
  <c r="L740" i="1" a="1"/>
  <c r="L740" i="1"/>
  <c r="J742" i="1" a="1"/>
  <c r="J742" i="1"/>
  <c r="J744" i="1" s="1" a="1"/>
  <c r="J744" i="1" s="1"/>
  <c r="G740" i="1" a="1"/>
  <c r="G740" i="1"/>
  <c r="P740" i="1" a="1"/>
  <c r="P740" i="1"/>
  <c r="K740" i="1" a="1"/>
  <c r="K740" i="1" s="1"/>
  <c r="F740" i="1" a="1"/>
  <c r="F740" i="1"/>
  <c r="O740" i="1" a="1"/>
  <c r="O740" i="1" s="1"/>
  <c r="I740" i="1" a="1"/>
  <c r="I740" i="1" s="1"/>
  <c r="N740" i="1" a="1"/>
  <c r="N740" i="1"/>
  <c r="M740" i="1" a="1"/>
  <c r="M740" i="1"/>
  <c r="N727" i="1" a="1"/>
  <c r="N727" i="1"/>
  <c r="J724" i="1" a="1"/>
  <c r="J724" i="1"/>
  <c r="H727" i="1" a="1"/>
  <c r="H727" i="1"/>
  <c r="K724" i="1" a="1"/>
  <c r="K724" i="1" s="1"/>
  <c r="K727" i="1" a="1"/>
  <c r="K727" i="1"/>
  <c r="O727" i="1" a="1"/>
  <c r="O727" i="1"/>
  <c r="P727" i="1" a="1"/>
  <c r="P727" i="1"/>
  <c r="O724" i="1" a="1"/>
  <c r="O724" i="1"/>
  <c r="L724" i="1" a="1"/>
  <c r="L724" i="1"/>
  <c r="P724" i="1" a="1"/>
  <c r="P724" i="1" s="1"/>
  <c r="I724" i="1" a="1"/>
  <c r="I724" i="1" s="1"/>
  <c r="F727" i="1" a="1"/>
  <c r="F727" i="1" s="1"/>
  <c r="L727" i="1" a="1"/>
  <c r="L727" i="1" s="1"/>
  <c r="J727" i="1" a="1"/>
  <c r="J727" i="1"/>
  <c r="I727" i="1" a="1"/>
  <c r="I727" i="1" s="1"/>
  <c r="M726" i="1" a="1"/>
  <c r="M726" i="1"/>
  <c r="M728" i="1" s="1" a="1"/>
  <c r="M728" i="1" s="1"/>
  <c r="M724" i="1" a="1"/>
  <c r="M724" i="1"/>
  <c r="G727" i="1" a="1"/>
  <c r="G727" i="1"/>
  <c r="K726" i="1" a="1"/>
  <c r="K726" i="1" s="1"/>
  <c r="K728" i="1" s="1" a="1"/>
  <c r="K728" i="1" s="1"/>
  <c r="M727" i="1" a="1"/>
  <c r="M727" i="1" s="1"/>
  <c r="N724" i="1" a="1"/>
  <c r="N724" i="1" s="1"/>
  <c r="Q724" i="1" a="1"/>
  <c r="Q724" i="1"/>
  <c r="Q727" i="1" a="1"/>
  <c r="Q727" i="1" s="1"/>
  <c r="K720" i="1" a="1"/>
  <c r="K720" i="1"/>
  <c r="M718" i="1" a="1"/>
  <c r="M718" i="1"/>
  <c r="M742" i="1" s="1" a="1"/>
  <c r="M742" i="1" s="1"/>
  <c r="M719" i="1" a="1"/>
  <c r="M719" i="1" s="1"/>
  <c r="I720" i="1" a="1"/>
  <c r="I720" i="1" s="1"/>
  <c r="N718" i="1" a="1"/>
  <c r="N718" i="1" s="1"/>
  <c r="G720" i="1" a="1"/>
  <c r="G720" i="1"/>
  <c r="L720" i="1" a="1"/>
  <c r="L720" i="1"/>
  <c r="Q719" i="1" a="1"/>
  <c r="Q719" i="1"/>
  <c r="I719" i="1" a="1"/>
  <c r="I719" i="1"/>
  <c r="G716" i="1" a="1"/>
  <c r="G716" i="1" s="1"/>
  <c r="H719" i="1" a="1"/>
  <c r="H719" i="1" s="1"/>
  <c r="J716" i="1" a="1"/>
  <c r="J716" i="1" s="1"/>
  <c r="Q716" i="1" a="1"/>
  <c r="Q716" i="1"/>
  <c r="I716" i="1" a="1"/>
  <c r="I716" i="1"/>
  <c r="O719" i="1" a="1"/>
  <c r="O719" i="1"/>
  <c r="L719" i="1" a="1"/>
  <c r="L719" i="1"/>
  <c r="O716" i="1" a="1"/>
  <c r="O716" i="1" s="1"/>
  <c r="P718" i="1" a="1"/>
  <c r="P718" i="1"/>
  <c r="O718" i="1" a="1"/>
  <c r="O718" i="1" s="1"/>
  <c r="G718" i="1" a="1"/>
  <c r="G718" i="1" s="1"/>
  <c r="H718" i="1" a="1"/>
  <c r="H718" i="1"/>
  <c r="H742" i="1" s="1" a="1"/>
  <c r="H742" i="1" s="1"/>
  <c r="H744" i="1" s="1" a="1"/>
  <c r="H744" i="1" s="1"/>
  <c r="N716" i="1" a="1"/>
  <c r="N716" i="1"/>
  <c r="K716" i="1" a="1"/>
  <c r="K716" i="1"/>
  <c r="H724" i="1" a="1"/>
  <c r="H724" i="1"/>
  <c r="G724" i="1" a="1"/>
  <c r="G724" i="1" s="1"/>
  <c r="F724" i="1" a="1"/>
  <c r="F724" i="1" s="1"/>
  <c r="M720" i="1" a="1"/>
  <c r="M720" i="1"/>
  <c r="L716" i="1" a="1"/>
  <c r="L716" i="1"/>
  <c r="K718" i="1" a="1"/>
  <c r="K718" i="1" s="1"/>
  <c r="K742" i="1" s="1" a="1"/>
  <c r="K742" i="1" s="1"/>
  <c r="K744" i="1" s="1" a="1"/>
  <c r="K744" i="1" s="1"/>
  <c r="J718" i="1" a="1"/>
  <c r="J718" i="1"/>
  <c r="P716" i="1" a="1"/>
  <c r="P716" i="1" s="1"/>
  <c r="P720" i="1" a="1"/>
  <c r="P720" i="1"/>
  <c r="F719" i="1" a="1"/>
  <c r="F719" i="1"/>
  <c r="L718" i="1" a="1"/>
  <c r="L718" i="1" s="1"/>
  <c r="H720" i="1" a="1"/>
  <c r="H720" i="1" s="1"/>
  <c r="H726" i="1" s="1" a="1"/>
  <c r="H726" i="1" s="1"/>
  <c r="H728" i="1" s="1" a="1"/>
  <c r="H728" i="1" s="1"/>
  <c r="F716" i="1" a="1"/>
  <c r="F716" i="1"/>
  <c r="F720" i="1" a="1"/>
  <c r="F720" i="1"/>
  <c r="F742" i="1" s="1" a="1"/>
  <c r="F742" i="1" s="1"/>
  <c r="F744" i="1" s="1" a="1"/>
  <c r="F744" i="1" s="1"/>
  <c r="N719" i="1" a="1"/>
  <c r="N719" i="1"/>
  <c r="G719" i="1" a="1"/>
  <c r="G719" i="1"/>
  <c r="K719" i="1" a="1"/>
  <c r="K719" i="1" s="1"/>
  <c r="J719" i="1" a="1"/>
  <c r="J719" i="1" s="1"/>
  <c r="Q718" i="1" a="1"/>
  <c r="Q718" i="1"/>
  <c r="M716" i="1" a="1"/>
  <c r="M716" i="1"/>
  <c r="F718" i="1" a="1"/>
  <c r="F718" i="1"/>
  <c r="H716" i="1" a="1"/>
  <c r="H716" i="1" s="1"/>
  <c r="Q720" i="1" a="1"/>
  <c r="Q720" i="1"/>
  <c r="Q742" i="1" s="1" a="1"/>
  <c r="Q742" i="1" s="1"/>
  <c r="P719" i="1" a="1"/>
  <c r="P719" i="1"/>
  <c r="O720" i="1" a="1"/>
  <c r="O720" i="1"/>
  <c r="N720" i="1" a="1"/>
  <c r="N720" i="1" s="1"/>
  <c r="I718" i="1" a="1"/>
  <c r="I718" i="1" s="1"/>
  <c r="J720" i="1" a="1"/>
  <c r="J720" i="1"/>
  <c r="Q697" i="1" a="1"/>
  <c r="Q697" i="1"/>
  <c r="P711" i="1" a="1"/>
  <c r="P711" i="1"/>
  <c r="G711" i="1" a="1"/>
  <c r="G711" i="1"/>
  <c r="N697" i="1" a="1"/>
  <c r="N697" i="1" s="1"/>
  <c r="J711" i="1" a="1"/>
  <c r="J711" i="1"/>
  <c r="I711" i="1" a="1"/>
  <c r="I711" i="1"/>
  <c r="H697" i="1" a="1"/>
  <c r="H697" i="1"/>
  <c r="Q711" i="1" a="1"/>
  <c r="Q711" i="1" s="1"/>
  <c r="G709" i="1" a="1"/>
  <c r="G709" i="1" s="1"/>
  <c r="M711" i="1" a="1"/>
  <c r="M711" i="1" s="1"/>
  <c r="K709" i="1" a="1"/>
  <c r="K709" i="1" s="1"/>
  <c r="L711" i="1" a="1"/>
  <c r="L711" i="1"/>
  <c r="N709" i="1" a="1"/>
  <c r="N709" i="1"/>
  <c r="K711" i="1" a="1"/>
  <c r="K711" i="1"/>
  <c r="F709" i="1" a="1"/>
  <c r="F709" i="1"/>
  <c r="H711" i="1" a="1"/>
  <c r="H711" i="1"/>
  <c r="J709" i="1" a="1"/>
  <c r="J709" i="1"/>
  <c r="J697" i="1" a="1"/>
  <c r="J697" i="1"/>
  <c r="L697" i="1" a="1"/>
  <c r="L697" i="1" s="1"/>
  <c r="L709" i="1" a="1"/>
  <c r="L709" i="1"/>
  <c r="O709" i="1" a="1"/>
  <c r="O709" i="1"/>
  <c r="H709" i="1" a="1"/>
  <c r="H709" i="1" s="1"/>
  <c r="K697" i="1" a="1"/>
  <c r="K697" i="1"/>
  <c r="O697" i="1" a="1"/>
  <c r="O697" i="1" s="1"/>
  <c r="F697" i="1" a="1"/>
  <c r="F697" i="1" s="1"/>
  <c r="O711" i="1" a="1"/>
  <c r="O711" i="1" s="1"/>
  <c r="N711" i="1" a="1"/>
  <c r="N711" i="1"/>
  <c r="P697" i="1" a="1"/>
  <c r="P697" i="1"/>
  <c r="F711" i="1" a="1"/>
  <c r="F711" i="1"/>
  <c r="Q709" i="1" a="1"/>
  <c r="Q709" i="1"/>
  <c r="I709" i="1" a="1"/>
  <c r="I709" i="1"/>
  <c r="M709" i="1" a="1"/>
  <c r="M709" i="1"/>
  <c r="G697" i="1" a="1"/>
  <c r="G697" i="1"/>
  <c r="P709" i="1" a="1"/>
  <c r="P709" i="1"/>
  <c r="Q696" i="1" a="1"/>
  <c r="Q696" i="1"/>
  <c r="I697" i="1" a="1"/>
  <c r="I697" i="1" s="1"/>
  <c r="M697" i="1" a="1"/>
  <c r="M697" i="1"/>
  <c r="L687" i="1" a="1"/>
  <c r="L687" i="1"/>
  <c r="I688" i="1" a="1"/>
  <c r="I688" i="1"/>
  <c r="M688" i="1" a="1"/>
  <c r="M688" i="1"/>
  <c r="K687" i="1" a="1"/>
  <c r="K687" i="1"/>
  <c r="F696" i="1" a="1"/>
  <c r="F696" i="1" s="1"/>
  <c r="H688" i="1" a="1"/>
  <c r="H688" i="1" s="1"/>
  <c r="Q688" i="1" a="1"/>
  <c r="Q688" i="1"/>
  <c r="L688" i="1" a="1"/>
  <c r="L688" i="1"/>
  <c r="I696" i="1" a="1"/>
  <c r="I696" i="1"/>
  <c r="G688" i="1" a="1"/>
  <c r="G688" i="1"/>
  <c r="M687" i="1" a="1"/>
  <c r="M687" i="1" s="1"/>
  <c r="L685" i="1" a="1"/>
  <c r="L685" i="1"/>
  <c r="N685" i="1" a="1"/>
  <c r="N685" i="1" s="1"/>
  <c r="O687" i="1" a="1"/>
  <c r="O687" i="1" s="1"/>
  <c r="N687" i="1" a="1"/>
  <c r="N687" i="1"/>
  <c r="F687" i="1" a="1"/>
  <c r="F687" i="1" s="1"/>
  <c r="G685" i="1" a="1"/>
  <c r="G685" i="1" s="1"/>
  <c r="H685" i="1" a="1"/>
  <c r="H685" i="1" s="1"/>
  <c r="P685" i="1" a="1"/>
  <c r="P685" i="1" s="1"/>
  <c r="P696" i="1" a="1"/>
  <c r="P696" i="1"/>
  <c r="O696" i="1" a="1"/>
  <c r="O696" i="1"/>
  <c r="J696" i="1" a="1"/>
  <c r="J696" i="1"/>
  <c r="N696" i="1" a="1"/>
  <c r="N696" i="1"/>
  <c r="L696" i="1" a="1"/>
  <c r="L696" i="1"/>
  <c r="G696" i="1" a="1"/>
  <c r="G696" i="1"/>
  <c r="F688" i="1" a="1"/>
  <c r="F688" i="1"/>
  <c r="J687" i="1" a="1"/>
  <c r="J687" i="1" s="1"/>
  <c r="J685" i="1" a="1"/>
  <c r="J685" i="1"/>
  <c r="K685" i="1" a="1"/>
  <c r="K685" i="1"/>
  <c r="P687" i="1" a="1"/>
  <c r="P687" i="1" s="1"/>
  <c r="G687" i="1" a="1"/>
  <c r="G687" i="1"/>
  <c r="O685" i="1" a="1"/>
  <c r="O685" i="1"/>
  <c r="I687" i="1" a="1"/>
  <c r="I687" i="1"/>
  <c r="P688" i="1" a="1"/>
  <c r="P688" i="1"/>
  <c r="K696" i="1" a="1"/>
  <c r="K696" i="1" s="1"/>
  <c r="J688" i="1" a="1"/>
  <c r="J688" i="1" s="1"/>
  <c r="O688" i="1" a="1"/>
  <c r="O688" i="1"/>
  <c r="F685" i="1" a="1"/>
  <c r="F685" i="1"/>
  <c r="M696" i="1" a="1"/>
  <c r="M696" i="1"/>
  <c r="H696" i="1" a="1"/>
  <c r="H696" i="1"/>
  <c r="Q687" i="1" a="1"/>
  <c r="Q687" i="1" s="1"/>
  <c r="H687" i="1" a="1"/>
  <c r="H687" i="1"/>
  <c r="Q685" i="1" a="1"/>
  <c r="Q685" i="1" s="1"/>
  <c r="M685" i="1" a="1"/>
  <c r="M685" i="1"/>
  <c r="K688" i="1" a="1"/>
  <c r="K688" i="1"/>
  <c r="I685" i="1" a="1"/>
  <c r="I685" i="1"/>
  <c r="N688" i="1" a="1"/>
  <c r="N688" i="1"/>
  <c r="I682" i="1" a="1"/>
  <c r="I682" i="1"/>
  <c r="J683" i="1" a="1"/>
  <c r="J683" i="1"/>
  <c r="I683" i="1" a="1"/>
  <c r="I683" i="1" s="1"/>
  <c r="P681" i="1" a="1"/>
  <c r="P681" i="1" s="1"/>
  <c r="F683" i="1" a="1"/>
  <c r="F683" i="1"/>
  <c r="H681" i="1" a="1"/>
  <c r="H681" i="1"/>
  <c r="J682" i="1" a="1"/>
  <c r="J682" i="1"/>
  <c r="K683" i="1" a="1"/>
  <c r="K683" i="1" s="1"/>
  <c r="H683" i="1" a="1"/>
  <c r="H683" i="1"/>
  <c r="L682" i="1" a="1"/>
  <c r="L682" i="1"/>
  <c r="G682" i="1" a="1"/>
  <c r="G682" i="1"/>
  <c r="M681" i="1" a="1"/>
  <c r="M681" i="1"/>
  <c r="F681" i="1" a="1"/>
  <c r="F681" i="1" s="1"/>
  <c r="F682" i="1" a="1"/>
  <c r="F682" i="1" s="1"/>
  <c r="O681" i="1" a="1"/>
  <c r="O681" i="1" s="1"/>
  <c r="N681" i="1" a="1"/>
  <c r="N681" i="1" s="1"/>
  <c r="G681" i="1" a="1"/>
  <c r="G681" i="1"/>
  <c r="H682" i="1" a="1"/>
  <c r="H682" i="1"/>
  <c r="O683" i="1" a="1"/>
  <c r="O683" i="1"/>
  <c r="L681" i="1" a="1"/>
  <c r="L681" i="1"/>
  <c r="G683" i="1" a="1"/>
  <c r="G683" i="1"/>
  <c r="P682" i="1" a="1"/>
  <c r="P682" i="1" s="1"/>
  <c r="K682" i="1" a="1"/>
  <c r="K682" i="1"/>
  <c r="P683" i="1" a="1"/>
  <c r="P683" i="1"/>
  <c r="M683" i="1" a="1"/>
  <c r="M683" i="1" s="1"/>
  <c r="K681" i="1" a="1"/>
  <c r="K681" i="1"/>
  <c r="J681" i="1" a="1"/>
  <c r="J681" i="1"/>
  <c r="Q683" i="1" a="1"/>
  <c r="Q683" i="1" s="1"/>
  <c r="N683" i="1" a="1"/>
  <c r="N683" i="1" s="1"/>
  <c r="O682" i="1" a="1"/>
  <c r="O682" i="1" s="1"/>
  <c r="I681" i="1" a="1"/>
  <c r="I681" i="1" s="1"/>
  <c r="M682" i="1" a="1"/>
  <c r="M682" i="1"/>
  <c r="L683" i="1" a="1"/>
  <c r="L683" i="1"/>
  <c r="N682" i="1" a="1"/>
  <c r="N682" i="1"/>
  <c r="Q682" i="1" a="1"/>
  <c r="Q682" i="1"/>
  <c r="Q681" i="1" a="1"/>
  <c r="Q681" i="1" s="1"/>
  <c r="Q666" i="1" a="1"/>
  <c r="Q666" i="1" s="1"/>
  <c r="P664" i="1" a="1"/>
  <c r="P664" i="1"/>
  <c r="L664" i="1" a="1"/>
  <c r="L664" i="1"/>
  <c r="N665" i="1" a="1"/>
  <c r="N665" i="1"/>
  <c r="I665" i="1" a="1"/>
  <c r="I665" i="1"/>
  <c r="O664" i="1" a="1"/>
  <c r="O664" i="1"/>
  <c r="G664" i="1" a="1"/>
  <c r="G664" i="1" s="1"/>
  <c r="I666" i="1" a="1"/>
  <c r="I666" i="1" s="1"/>
  <c r="H664" i="1" a="1"/>
  <c r="H664" i="1" s="1"/>
  <c r="G666" i="1" a="1"/>
  <c r="G666" i="1" s="1"/>
  <c r="P665" i="1" a="1"/>
  <c r="P665" i="1"/>
  <c r="K664" i="1" a="1"/>
  <c r="K664" i="1"/>
  <c r="K666" i="1" a="1"/>
  <c r="K666" i="1"/>
  <c r="J664" i="1" a="1"/>
  <c r="J664" i="1" s="1"/>
  <c r="N666" i="1" a="1"/>
  <c r="N666" i="1"/>
  <c r="Q664" i="1" a="1"/>
  <c r="Q664" i="1"/>
  <c r="F666" i="1" a="1"/>
  <c r="F666" i="1"/>
  <c r="O666" i="1" a="1"/>
  <c r="O666" i="1" s="1"/>
  <c r="J666" i="1" a="1"/>
  <c r="J666" i="1"/>
  <c r="O665" i="1" a="1"/>
  <c r="O665" i="1"/>
  <c r="G665" i="1" a="1"/>
  <c r="G665" i="1"/>
  <c r="L665" i="1" a="1"/>
  <c r="L665" i="1" s="1"/>
  <c r="F665" i="1" a="1"/>
  <c r="F665" i="1" s="1"/>
  <c r="F664" i="1" a="1"/>
  <c r="F664" i="1" s="1"/>
  <c r="M665" i="1" a="1"/>
  <c r="M665" i="1" s="1"/>
  <c r="M664" i="1" a="1"/>
  <c r="M664" i="1"/>
  <c r="K665" i="1" a="1"/>
  <c r="K665" i="1"/>
  <c r="J665" i="1" a="1"/>
  <c r="J665" i="1" s="1"/>
  <c r="Q665" i="1" a="1"/>
  <c r="Q665" i="1"/>
  <c r="I664" i="1" a="1"/>
  <c r="I664" i="1" s="1"/>
  <c r="H665" i="1" a="1"/>
  <c r="H665" i="1"/>
  <c r="P666" i="1" a="1"/>
  <c r="P666" i="1"/>
  <c r="L666" i="1" a="1"/>
  <c r="L666" i="1"/>
  <c r="H666" i="1" a="1"/>
  <c r="H666" i="1"/>
  <c r="M666" i="1" a="1"/>
  <c r="M666" i="1"/>
  <c r="N664" i="1" a="1"/>
  <c r="N664" i="1"/>
  <c r="L653" i="1" a="1"/>
  <c r="L653" i="1" s="1"/>
  <c r="L650" i="1" a="1"/>
  <c r="L650" i="1" s="1"/>
  <c r="P652" i="1" a="1"/>
  <c r="P652" i="1" s="1"/>
  <c r="H653" i="1" a="1"/>
  <c r="H653" i="1" s="1"/>
  <c r="Q650" i="1" a="1"/>
  <c r="Q650" i="1"/>
  <c r="G653" i="1" a="1"/>
  <c r="G653" i="1" s="1"/>
  <c r="H652" i="1" a="1"/>
  <c r="H652" i="1" s="1"/>
  <c r="K650" i="1" a="1"/>
  <c r="K650" i="1"/>
  <c r="K652" i="1" a="1"/>
  <c r="K652" i="1"/>
  <c r="G652" i="1" a="1"/>
  <c r="G652" i="1"/>
  <c r="Q653" i="1" a="1"/>
  <c r="Q653" i="1" s="1"/>
  <c r="N653" i="1" a="1"/>
  <c r="N653" i="1"/>
  <c r="M653" i="1" a="1"/>
  <c r="M653" i="1"/>
  <c r="K653" i="1" a="1"/>
  <c r="K653" i="1"/>
  <c r="J653" i="1" a="1"/>
  <c r="J653" i="1"/>
  <c r="N650" i="1" a="1"/>
  <c r="N650" i="1" s="1"/>
  <c r="I650" i="1" a="1"/>
  <c r="I650" i="1" s="1"/>
  <c r="M652" i="1" a="1"/>
  <c r="M652" i="1" s="1"/>
  <c r="P650" i="1" a="1"/>
  <c r="P650" i="1"/>
  <c r="M650" i="1" a="1"/>
  <c r="M650" i="1" s="1"/>
  <c r="O650" i="1" a="1"/>
  <c r="O650" i="1" s="1"/>
  <c r="J650" i="1" a="1"/>
  <c r="J650" i="1" s="1"/>
  <c r="P653" i="1" a="1"/>
  <c r="P653" i="1" s="1"/>
  <c r="F652" i="1" a="1"/>
  <c r="F652" i="1"/>
  <c r="N652" i="1" a="1"/>
  <c r="N652" i="1"/>
  <c r="I652" i="1" a="1"/>
  <c r="I652" i="1"/>
  <c r="O653" i="1" a="1"/>
  <c r="O653" i="1"/>
  <c r="Q652" i="1" a="1"/>
  <c r="Q652" i="1"/>
  <c r="J652" i="1" a="1"/>
  <c r="J652" i="1"/>
  <c r="F653" i="1" a="1"/>
  <c r="F653" i="1"/>
  <c r="O652" i="1" a="1"/>
  <c r="O652" i="1" s="1"/>
  <c r="L652" i="1" a="1"/>
  <c r="L652" i="1" s="1"/>
  <c r="I653" i="1" a="1"/>
  <c r="I653" i="1"/>
  <c r="O645" i="1" a="1"/>
  <c r="O645" i="1" s="1"/>
  <c r="L645" i="1" a="1"/>
  <c r="L645" i="1"/>
  <c r="H648" i="1" a="1"/>
  <c r="H648" i="1" s="1"/>
  <c r="I647" i="1" a="1"/>
  <c r="I647" i="1" s="1"/>
  <c r="Q647" i="1" a="1"/>
  <c r="Q647" i="1"/>
  <c r="I645" i="1" a="1"/>
  <c r="I645" i="1"/>
  <c r="J648" i="1" a="1"/>
  <c r="J648" i="1" s="1"/>
  <c r="F647" i="1" a="1"/>
  <c r="F647" i="1"/>
  <c r="P649" i="1" a="1"/>
  <c r="P649" i="1"/>
  <c r="M649" i="1" a="1"/>
  <c r="M649" i="1"/>
  <c r="K649" i="1" a="1"/>
  <c r="K649" i="1"/>
  <c r="I649" i="1" a="1"/>
  <c r="I649" i="1"/>
  <c r="F649" i="1" a="1"/>
  <c r="F649" i="1" s="1"/>
  <c r="M648" i="1" a="1"/>
  <c r="M648" i="1"/>
  <c r="P645" i="1" a="1"/>
  <c r="P645" i="1" s="1"/>
  <c r="I648" i="1" a="1"/>
  <c r="I648" i="1"/>
  <c r="M645" i="1" a="1"/>
  <c r="M645" i="1"/>
  <c r="P647" i="1" a="1"/>
  <c r="P647" i="1" s="1"/>
  <c r="F648" i="1" a="1"/>
  <c r="F648" i="1" s="1"/>
  <c r="G647" i="1" a="1"/>
  <c r="G647" i="1"/>
  <c r="L647" i="1" a="1"/>
  <c r="L647" i="1"/>
  <c r="H645" i="1" a="1"/>
  <c r="H645" i="1"/>
  <c r="H647" i="1" a="1"/>
  <c r="H647" i="1"/>
  <c r="G645" i="1" a="1"/>
  <c r="G645" i="1"/>
  <c r="N649" i="1" a="1"/>
  <c r="N649" i="1"/>
  <c r="G649" i="1" a="1"/>
  <c r="G649" i="1"/>
  <c r="G648" i="1" a="1"/>
  <c r="G648" i="1"/>
  <c r="Q648" i="1" a="1"/>
  <c r="Q648" i="1"/>
  <c r="N645" i="1" a="1"/>
  <c r="N645" i="1" s="1"/>
  <c r="K645" i="1" a="1"/>
  <c r="K645" i="1"/>
  <c r="H649" i="1" a="1"/>
  <c r="H649" i="1"/>
  <c r="L648" i="1" a="1"/>
  <c r="L648" i="1"/>
  <c r="O647" i="1" a="1"/>
  <c r="O647" i="1" s="1"/>
  <c r="M647" i="1" a="1"/>
  <c r="M647" i="1"/>
  <c r="Q643" i="1" a="1"/>
  <c r="Q643" i="1"/>
  <c r="J645" i="1" a="1"/>
  <c r="J645" i="1" s="1"/>
  <c r="J649" i="1" a="1"/>
  <c r="J649" i="1"/>
  <c r="P648" i="1" a="1"/>
  <c r="P648" i="1"/>
  <c r="O648" i="1" a="1"/>
  <c r="O648" i="1"/>
  <c r="K648" i="1" a="1"/>
  <c r="K648" i="1"/>
  <c r="J647" i="1" a="1"/>
  <c r="J647" i="1"/>
  <c r="H650" i="1" a="1"/>
  <c r="H650" i="1"/>
  <c r="Q645" i="1" a="1"/>
  <c r="Q645" i="1" s="1"/>
  <c r="G650" i="1" a="1"/>
  <c r="G650" i="1"/>
  <c r="N648" i="1" a="1"/>
  <c r="N648" i="1"/>
  <c r="F650" i="1" a="1"/>
  <c r="F650" i="1"/>
  <c r="N647" i="1" a="1"/>
  <c r="N647" i="1"/>
  <c r="F645" i="1" a="1"/>
  <c r="F645" i="1" s="1"/>
  <c r="Q649" i="1" a="1"/>
  <c r="Q649" i="1"/>
  <c r="O649" i="1" a="1"/>
  <c r="O649" i="1"/>
  <c r="L649" i="1" a="1"/>
  <c r="L649" i="1"/>
  <c r="K647" i="1" a="1"/>
  <c r="K647" i="1"/>
  <c r="I632" i="1" a="1"/>
  <c r="I632" i="1"/>
  <c r="G632" i="1" a="1"/>
  <c r="G632" i="1"/>
  <c r="F632" i="1" a="1"/>
  <c r="F632" i="1"/>
  <c r="J632" i="1" a="1"/>
  <c r="J632" i="1"/>
  <c r="H632" i="1" a="1"/>
  <c r="H632" i="1" s="1"/>
  <c r="O635" i="1" a="1"/>
  <c r="O635" i="1"/>
  <c r="N635" i="1" a="1"/>
  <c r="N635" i="1"/>
  <c r="M635" i="1" a="1"/>
  <c r="M635" i="1"/>
  <c r="H635" i="1" a="1"/>
  <c r="H635" i="1"/>
  <c r="K635" i="1" a="1"/>
  <c r="K635" i="1"/>
  <c r="I635" i="1" a="1"/>
  <c r="I635" i="1"/>
  <c r="L635" i="1" a="1"/>
  <c r="L635" i="1"/>
  <c r="J635" i="1" a="1"/>
  <c r="J635" i="1" s="1"/>
  <c r="G635" i="1" a="1"/>
  <c r="G635" i="1"/>
  <c r="F635" i="1" a="1"/>
  <c r="F635" i="1"/>
  <c r="Q633" i="1" a="1"/>
  <c r="Q633" i="1"/>
  <c r="O633" i="1" a="1"/>
  <c r="O633" i="1"/>
  <c r="P633" i="1" a="1"/>
  <c r="P633" i="1"/>
  <c r="N633" i="1" a="1"/>
  <c r="N633" i="1" s="1"/>
  <c r="L633" i="1" a="1"/>
  <c r="L633" i="1" s="1"/>
  <c r="M633" i="1" a="1"/>
  <c r="M633" i="1"/>
  <c r="K633" i="1" a="1"/>
  <c r="K633" i="1"/>
  <c r="J633" i="1" a="1"/>
  <c r="J633" i="1"/>
  <c r="I633" i="1" a="1"/>
  <c r="I633" i="1"/>
  <c r="H633" i="1" a="1"/>
  <c r="H633" i="1" s="1"/>
  <c r="G633" i="1" a="1"/>
  <c r="G633" i="1"/>
  <c r="F633" i="1" a="1"/>
  <c r="F633" i="1"/>
  <c r="Q632" i="1" a="1"/>
  <c r="Q632" i="1"/>
  <c r="O632" i="1" a="1"/>
  <c r="O632" i="1"/>
  <c r="P632" i="1" a="1"/>
  <c r="P632" i="1"/>
  <c r="L632" i="1" a="1"/>
  <c r="L632" i="1"/>
  <c r="K632" i="1" a="1"/>
  <c r="K632" i="1"/>
  <c r="N632" i="1" a="1"/>
  <c r="N632" i="1" s="1"/>
  <c r="M632" i="1" a="1"/>
  <c r="M632" i="1" s="1"/>
  <c r="Q19" i="1"/>
  <c r="Q18" i="1" s="1"/>
  <c r="P19" i="1"/>
  <c r="P18" i="1" s="1"/>
  <c r="O19" i="1"/>
  <c r="O18" i="1" s="1"/>
  <c r="N19" i="1"/>
  <c r="N18" i="1" s="1"/>
  <c r="M19" i="1"/>
  <c r="M18" i="1" s="1"/>
  <c r="L19" i="1"/>
  <c r="K19" i="1"/>
  <c r="K18" i="1" s="1"/>
  <c r="J19" i="1"/>
  <c r="I19" i="1"/>
  <c r="H19" i="1"/>
  <c r="G19" i="1"/>
  <c r="G18" i="1" s="1"/>
  <c r="F19" i="1"/>
  <c r="L18" i="1"/>
  <c r="J18" i="1"/>
  <c r="I18" i="1"/>
  <c r="H18" i="1"/>
  <c r="F18" i="1"/>
  <c r="O284" i="1" a="1"/>
  <c r="O284" i="1" s="1"/>
  <c r="O283" i="1" s="1"/>
  <c r="Q275" i="1" a="1"/>
  <c r="Q275" i="1"/>
  <c r="Q274" i="1" s="1"/>
  <c r="P284" i="1" a="1"/>
  <c r="P284" i="1"/>
  <c r="P283" i="1" s="1"/>
  <c r="N275" i="1" a="1"/>
  <c r="N275" i="1"/>
  <c r="N274" i="1" s="1"/>
  <c r="I284" i="1" a="1"/>
  <c r="I284" i="1"/>
  <c r="I383" i="1" s="1"/>
  <c r="I514" i="1" s="1"/>
  <c r="H284" i="1" a="1"/>
  <c r="H284" i="1"/>
  <c r="H283" i="1" s="1"/>
  <c r="O275" i="1" a="1"/>
  <c r="O275" i="1"/>
  <c r="O274" i="1" s="1"/>
  <c r="J275" i="1" a="1"/>
  <c r="J275" i="1" s="1"/>
  <c r="J274" i="1" s="1"/>
  <c r="J363" i="1" s="1"/>
  <c r="J504" i="1" s="1"/>
  <c r="I275" i="1" a="1"/>
  <c r="I275" i="1"/>
  <c r="K284" i="1" a="1"/>
  <c r="K284" i="1"/>
  <c r="G275" i="1" a="1"/>
  <c r="G275" i="1" s="1"/>
  <c r="G274" i="1" s="1"/>
  <c r="N284" i="1" a="1"/>
  <c r="N284" i="1"/>
  <c r="N283" i="1" s="1"/>
  <c r="N382" i="1" s="1"/>
  <c r="N513" i="1" s="1"/>
  <c r="F275" i="1" a="1"/>
  <c r="F275" i="1" s="1"/>
  <c r="F274" i="1" s="1"/>
  <c r="F363" i="1" s="1"/>
  <c r="F504" i="1" s="1"/>
  <c r="M284" i="1" a="1"/>
  <c r="M284" i="1"/>
  <c r="M283" i="1" s="1"/>
  <c r="M382" i="1" s="1"/>
  <c r="M513" i="1" s="1"/>
  <c r="J284" i="1" a="1"/>
  <c r="J284" i="1" s="1"/>
  <c r="J283" i="1" s="1"/>
  <c r="J382" i="1" s="1"/>
  <c r="J513" i="1" s="1"/>
  <c r="G284" i="1" a="1"/>
  <c r="G284" i="1" s="1"/>
  <c r="P275" i="1" a="1"/>
  <c r="P275" i="1"/>
  <c r="P274" i="1" s="1"/>
  <c r="L275" i="1" a="1"/>
  <c r="L275" i="1"/>
  <c r="L274" i="1" s="1"/>
  <c r="L363" i="1" s="1"/>
  <c r="L504" i="1" s="1"/>
  <c r="F284" i="1" a="1"/>
  <c r="F284" i="1"/>
  <c r="F283" i="1" s="1"/>
  <c r="M275" i="1" a="1"/>
  <c r="M275" i="1" s="1"/>
  <c r="Q284" i="1" a="1"/>
  <c r="Q284" i="1" s="1"/>
  <c r="Q283" i="1" s="1"/>
  <c r="Q382" i="1" s="1"/>
  <c r="Q513" i="1" s="1"/>
  <c r="H275" i="1" a="1"/>
  <c r="H275" i="1"/>
  <c r="H274" i="1" s="1"/>
  <c r="K275" i="1" a="1"/>
  <c r="K275" i="1" s="1"/>
  <c r="K274" i="1" s="1"/>
  <c r="K363" i="1" s="1"/>
  <c r="K504" i="1" s="1"/>
  <c r="L284" i="1" a="1"/>
  <c r="L284" i="1"/>
  <c r="K242" i="1" a="1"/>
  <c r="K242" i="1"/>
  <c r="Q242" i="1" a="1"/>
  <c r="Q242" i="1"/>
  <c r="O242" i="1" a="1"/>
  <c r="O242" i="1"/>
  <c r="O241" i="1" s="1"/>
  <c r="G242" i="1" a="1"/>
  <c r="G242" i="1"/>
  <c r="I242" i="1" a="1"/>
  <c r="I242" i="1" s="1"/>
  <c r="J242" i="1" a="1"/>
  <c r="J242" i="1"/>
  <c r="J241" i="1" s="1"/>
  <c r="M242" i="1" a="1"/>
  <c r="M242" i="1" s="1"/>
  <c r="M241" i="1" s="1"/>
  <c r="M316" i="1" s="1"/>
  <c r="M471" i="1" s="1"/>
  <c r="P242" i="1" a="1"/>
  <c r="P242" i="1"/>
  <c r="P317" i="1" s="1"/>
  <c r="P472" i="1" s="1"/>
  <c r="H242" i="1" a="1"/>
  <c r="H242" i="1"/>
  <c r="H241" i="1" s="1"/>
  <c r="N242" i="1" a="1"/>
  <c r="N242" i="1"/>
  <c r="N241" i="1" s="1"/>
  <c r="N316" i="1" s="1"/>
  <c r="N471" i="1" s="1"/>
  <c r="F242" i="1" a="1"/>
  <c r="F242" i="1" s="1"/>
  <c r="L242" i="1" a="1"/>
  <c r="L242" i="1" s="1"/>
  <c r="L241" i="1" s="1"/>
  <c r="M199" i="1" a="1"/>
  <c r="M199" i="1" s="1"/>
  <c r="J199" i="1" a="1"/>
  <c r="J199" i="1"/>
  <c r="I199" i="1" a="1"/>
  <c r="I199" i="1"/>
  <c r="G199" i="1" a="1"/>
  <c r="G199" i="1" s="1"/>
  <c r="G198" i="1" s="1"/>
  <c r="K199" i="1" a="1"/>
  <c r="K199" i="1"/>
  <c r="K362" i="1" s="1"/>
  <c r="K429" i="1" s="1"/>
  <c r="O199" i="1" a="1"/>
  <c r="O199" i="1"/>
  <c r="O198" i="1" s="1"/>
  <c r="N199" i="1" a="1"/>
  <c r="N199" i="1" s="1"/>
  <c r="P199" i="1" a="1"/>
  <c r="P199" i="1"/>
  <c r="P198" i="1" s="1"/>
  <c r="L199" i="1" a="1"/>
  <c r="L199" i="1"/>
  <c r="L362" i="1" s="1"/>
  <c r="L429" i="1" s="1"/>
  <c r="H199" i="1" a="1"/>
  <c r="H199" i="1"/>
  <c r="H362" i="1" s="1"/>
  <c r="H429" i="1" s="1"/>
  <c r="F199" i="1" a="1"/>
  <c r="F199" i="1"/>
  <c r="F198" i="1" s="1"/>
  <c r="Q199" i="1" a="1"/>
  <c r="Q199" i="1"/>
  <c r="Q198" i="1" s="1"/>
  <c r="N141" i="1" a="1"/>
  <c r="N141" i="1"/>
  <c r="P141" i="1" a="1"/>
  <c r="P141" i="1"/>
  <c r="K141" i="1" a="1"/>
  <c r="K141" i="1" s="1"/>
  <c r="L140" i="1" a="1"/>
  <c r="L140" i="1" s="1"/>
  <c r="N140" i="1"/>
  <c r="J141" i="1" a="1"/>
  <c r="J141" i="1" s="1"/>
  <c r="Q140" i="1" a="1"/>
  <c r="Q140" i="1"/>
  <c r="P140" i="1" a="1"/>
  <c r="P140" i="1"/>
  <c r="L141" i="1" a="1"/>
  <c r="L141" i="1"/>
  <c r="M141" i="1" a="1"/>
  <c r="M141" i="1" s="1"/>
  <c r="H141" i="1" a="1"/>
  <c r="H141" i="1" s="1"/>
  <c r="Q141" i="1" a="1"/>
  <c r="Q141" i="1"/>
  <c r="M140" i="1" a="1"/>
  <c r="M140" i="1"/>
  <c r="O141" i="1" a="1"/>
  <c r="O141" i="1" s="1"/>
  <c r="N139" i="1" a="1"/>
  <c r="N139" i="1" s="1"/>
  <c r="L138" i="1" a="1"/>
  <c r="L138" i="1"/>
  <c r="K138" i="1" a="1"/>
  <c r="K138" i="1"/>
  <c r="J138" i="1" a="1"/>
  <c r="J138" i="1" s="1"/>
  <c r="Q139" i="1" a="1"/>
  <c r="Q139" i="1"/>
  <c r="F138" i="1" a="1"/>
  <c r="F138" i="1" s="1"/>
  <c r="K140" i="1" a="1"/>
  <c r="K140" i="1" s="1"/>
  <c r="J140" i="1" a="1"/>
  <c r="J140" i="1" s="1"/>
  <c r="K139" i="1" a="1"/>
  <c r="K139" i="1" s="1"/>
  <c r="I139" i="1" a="1"/>
  <c r="I139" i="1"/>
  <c r="P139" i="1" a="1"/>
  <c r="P139" i="1"/>
  <c r="G139" i="1" a="1"/>
  <c r="G139" i="1" s="1"/>
  <c r="G138" i="1" a="1"/>
  <c r="G138" i="1"/>
  <c r="M139" i="1" a="1"/>
  <c r="M139" i="1"/>
  <c r="J139" i="1" a="1"/>
  <c r="J139" i="1"/>
  <c r="P138" i="1" a="1"/>
  <c r="P138" i="1"/>
  <c r="N138" i="1" a="1"/>
  <c r="N138" i="1"/>
  <c r="H138" i="1" a="1"/>
  <c r="H138" i="1"/>
  <c r="I138" i="1" a="1"/>
  <c r="I138" i="1"/>
  <c r="G140" i="1" a="1"/>
  <c r="G140" i="1"/>
  <c r="L139" i="1" a="1"/>
  <c r="L139" i="1"/>
  <c r="P61" i="1" a="1"/>
  <c r="P61" i="1" s="1"/>
  <c r="J61" i="1" a="1"/>
  <c r="J61" i="1"/>
  <c r="J62" i="1" a="1"/>
  <c r="J62" i="1" s="1"/>
  <c r="G61" i="1" a="1"/>
  <c r="G61" i="1" s="1"/>
  <c r="Q62" i="1" a="1"/>
  <c r="Q62" i="1"/>
  <c r="O61" i="1" a="1"/>
  <c r="O61" i="1"/>
  <c r="H61" i="1" a="1"/>
  <c r="H61" i="1" s="1"/>
  <c r="M62" i="1" a="1"/>
  <c r="M62" i="1"/>
  <c r="Q61" i="1" a="1"/>
  <c r="Q61" i="1"/>
  <c r="P62" i="1" a="1"/>
  <c r="P62" i="1"/>
  <c r="L62" i="1" a="1"/>
  <c r="L62" i="1"/>
  <c r="M61" i="1" a="1"/>
  <c r="M61" i="1" s="1"/>
  <c r="K62" i="1" a="1"/>
  <c r="K62" i="1" s="1"/>
  <c r="N62" i="1" a="1"/>
  <c r="N62" i="1" s="1"/>
  <c r="O62" i="1" a="1"/>
  <c r="O62" i="1" s="1"/>
  <c r="K61" i="1" a="1"/>
  <c r="K61" i="1"/>
  <c r="I62" i="1" a="1"/>
  <c r="I62" i="1" s="1"/>
  <c r="I61" i="1" a="1"/>
  <c r="I61" i="1"/>
  <c r="L61" i="1" a="1"/>
  <c r="L61" i="1"/>
  <c r="F61" i="1" a="1"/>
  <c r="F61" i="1" s="1"/>
  <c r="N61" i="1" a="1"/>
  <c r="N61" i="1"/>
  <c r="G62" i="1" a="1"/>
  <c r="G62" i="1"/>
  <c r="H62" i="1" a="1"/>
  <c r="H62" i="1"/>
  <c r="F62" i="1" a="1"/>
  <c r="F62" i="1"/>
  <c r="H59" i="1" a="1"/>
  <c r="H59" i="1" s="1"/>
  <c r="M59" i="1" a="1"/>
  <c r="M59" i="1" s="1"/>
  <c r="O55" i="1" a="1"/>
  <c r="O55" i="1" s="1"/>
  <c r="L55" i="1" a="1"/>
  <c r="L55" i="1" s="1"/>
  <c r="L60" i="1" a="1"/>
  <c r="L60" i="1"/>
  <c r="G59" i="1" a="1"/>
  <c r="G59" i="1" s="1"/>
  <c r="M55" i="1" a="1"/>
  <c r="M55" i="1" s="1"/>
  <c r="N60" i="1" a="1"/>
  <c r="N60" i="1"/>
  <c r="M60" i="1" a="1"/>
  <c r="M60" i="1" s="1"/>
  <c r="F60" i="1" a="1"/>
  <c r="F60" i="1"/>
  <c r="K59" i="1" a="1"/>
  <c r="K59" i="1"/>
  <c r="J59" i="1" a="1"/>
  <c r="J59" i="1"/>
  <c r="I59" i="1" a="1"/>
  <c r="I59" i="1" s="1"/>
  <c r="F59" i="1" a="1"/>
  <c r="F59" i="1"/>
  <c r="N55" i="1" a="1"/>
  <c r="N55" i="1"/>
  <c r="J60" i="1" a="1"/>
  <c r="J60" i="1"/>
  <c r="O59" i="1" a="1"/>
  <c r="O59" i="1" s="1"/>
  <c r="Q60" i="1" a="1"/>
  <c r="Q60" i="1" s="1"/>
  <c r="P60" i="1" a="1"/>
  <c r="P60" i="1" s="1"/>
  <c r="O60" i="1" a="1"/>
  <c r="O60" i="1" s="1"/>
  <c r="K60" i="1" a="1"/>
  <c r="K60" i="1" s="1"/>
  <c r="P59" i="1" a="1"/>
  <c r="P59" i="1"/>
  <c r="I60" i="1" a="1"/>
  <c r="I60" i="1"/>
  <c r="K55" i="1" a="1"/>
  <c r="K55" i="1"/>
  <c r="H60" i="1" a="1"/>
  <c r="H60" i="1" s="1"/>
  <c r="J55" i="1" a="1"/>
  <c r="J55" i="1" s="1"/>
  <c r="Q55" i="1" a="1"/>
  <c r="Q55" i="1"/>
  <c r="P55" i="1" a="1"/>
  <c r="P55" i="1"/>
  <c r="G60" i="1" a="1"/>
  <c r="G60" i="1" s="1"/>
  <c r="Q59" i="1" a="1"/>
  <c r="Q59" i="1"/>
  <c r="N59" i="1" a="1"/>
  <c r="N59" i="1" s="1"/>
  <c r="L59" i="1" a="1"/>
  <c r="L59" i="1" s="1"/>
  <c r="H52" i="1" a="1"/>
  <c r="H52" i="1" s="1"/>
  <c r="F55" i="1" a="1"/>
  <c r="F55" i="1" s="1"/>
  <c r="P54" i="1" a="1"/>
  <c r="P54" i="1" s="1"/>
  <c r="L54" i="1" a="1"/>
  <c r="L54" i="1"/>
  <c r="K54" i="1" a="1"/>
  <c r="K54" i="1"/>
  <c r="J54" i="1" a="1"/>
  <c r="J54" i="1" s="1"/>
  <c r="Q53" i="1" a="1"/>
  <c r="Q53" i="1"/>
  <c r="K53" i="1" a="1"/>
  <c r="K53" i="1" s="1"/>
  <c r="I53" i="1" a="1"/>
  <c r="I53" i="1" s="1"/>
  <c r="G52" i="1" a="1"/>
  <c r="G52" i="1" s="1"/>
  <c r="H53" i="1" a="1"/>
  <c r="H53" i="1"/>
  <c r="K52" i="1" a="1"/>
  <c r="K52" i="1"/>
  <c r="J52" i="1" a="1"/>
  <c r="J52" i="1"/>
  <c r="P52" i="1" a="1"/>
  <c r="P52" i="1" s="1"/>
  <c r="G53" i="1" a="1"/>
  <c r="G53" i="1" s="1"/>
  <c r="F53" i="1" a="1"/>
  <c r="F53" i="1" s="1"/>
  <c r="G55" i="1" a="1"/>
  <c r="G55" i="1" s="1"/>
  <c r="Q54" i="1" a="1"/>
  <c r="Q54" i="1" s="1"/>
  <c r="F54" i="1" a="1"/>
  <c r="F54" i="1"/>
  <c r="O52" i="1" a="1"/>
  <c r="O52" i="1"/>
  <c r="L53" i="1" a="1"/>
  <c r="L53" i="1"/>
  <c r="L52" i="1" a="1"/>
  <c r="L52" i="1"/>
  <c r="M54" i="1" a="1"/>
  <c r="M54" i="1" s="1"/>
  <c r="H54" i="1" a="1"/>
  <c r="H54" i="1" s="1"/>
  <c r="O53" i="1" a="1"/>
  <c r="O53" i="1"/>
  <c r="J53" i="1" a="1"/>
  <c r="J53" i="1"/>
  <c r="M52" i="1" a="1"/>
  <c r="M52" i="1"/>
  <c r="G54" i="1" a="1"/>
  <c r="G54" i="1"/>
  <c r="F52" i="1" a="1"/>
  <c r="F52" i="1" s="1"/>
  <c r="N53" i="1" a="1"/>
  <c r="N53" i="1" s="1"/>
  <c r="N54" i="1" a="1"/>
  <c r="N54" i="1" s="1"/>
  <c r="I55" i="1" a="1"/>
  <c r="I55" i="1" s="1"/>
  <c r="H55" i="1" a="1"/>
  <c r="H55" i="1"/>
  <c r="O54" i="1" a="1"/>
  <c r="O54" i="1"/>
  <c r="I54" i="1" a="1"/>
  <c r="I54" i="1" s="1"/>
  <c r="P53" i="1" a="1"/>
  <c r="P53" i="1"/>
  <c r="M53" i="1" a="1"/>
  <c r="M53" i="1"/>
  <c r="Q52" i="1" a="1"/>
  <c r="Q52" i="1" s="1"/>
  <c r="N52" i="1" a="1"/>
  <c r="N52" i="1" s="1"/>
  <c r="I52" i="1" a="1"/>
  <c r="I52" i="1"/>
  <c r="G14" i="1" a="1"/>
  <c r="G14" i="1" s="1"/>
  <c r="I15" i="1" a="1"/>
  <c r="I15" i="1"/>
  <c r="J14" i="1" a="1"/>
  <c r="J14" i="1"/>
  <c r="L14" i="1" a="1"/>
  <c r="L14" i="1" s="1"/>
  <c r="P14" i="1" a="1"/>
  <c r="P14" i="1" s="1"/>
  <c r="P15" i="1" a="1"/>
  <c r="P15" i="1" s="1"/>
  <c r="G15" i="1" a="1"/>
  <c r="G15" i="1" s="1"/>
  <c r="O14" i="1" a="1"/>
  <c r="O14" i="1"/>
  <c r="N15" i="1" a="1"/>
  <c r="N15" i="1"/>
  <c r="L15" i="1" a="1"/>
  <c r="L15" i="1"/>
  <c r="J15" i="1" a="1"/>
  <c r="J15" i="1"/>
  <c r="F15" i="1" a="1"/>
  <c r="F15" i="1"/>
  <c r="K14" i="1" a="1"/>
  <c r="K14" i="1" s="1"/>
  <c r="K15" i="1" a="1"/>
  <c r="K15" i="1" s="1"/>
  <c r="M15" i="1" a="1"/>
  <c r="M15" i="1" s="1"/>
  <c r="M14" i="1" a="1"/>
  <c r="M14" i="1" s="1"/>
  <c r="F14" i="1" a="1"/>
  <c r="F14" i="1"/>
  <c r="H15" i="1" a="1"/>
  <c r="H15" i="1" s="1"/>
  <c r="N14" i="1" a="1"/>
  <c r="N14" i="1" s="1"/>
  <c r="Q15" i="1" a="1"/>
  <c r="Q15" i="1" s="1"/>
  <c r="Q14" i="1" a="1"/>
  <c r="Q14" i="1" s="1"/>
  <c r="H14" i="1" a="1"/>
  <c r="H14" i="1"/>
  <c r="O15" i="1" a="1"/>
  <c r="O15" i="1"/>
  <c r="I14" i="1" a="1"/>
  <c r="I14" i="1" s="1"/>
  <c r="Q13" i="1" a="1"/>
  <c r="Q13" i="1"/>
  <c r="P13" i="1" a="1"/>
  <c r="P13" i="1"/>
  <c r="I13" i="1" a="1"/>
  <c r="I13" i="1" s="1"/>
  <c r="F13" i="1" a="1"/>
  <c r="F13" i="1" s="1"/>
  <c r="G13" i="1" a="1"/>
  <c r="G13" i="1" s="1"/>
  <c r="O13" i="1" a="1"/>
  <c r="O13" i="1" s="1"/>
  <c r="J13" i="1" a="1"/>
  <c r="J13" i="1" s="1"/>
  <c r="N13" i="1" a="1"/>
  <c r="N13" i="1"/>
  <c r="M13" i="1" a="1"/>
  <c r="M13" i="1" s="1"/>
  <c r="L13" i="1" a="1"/>
  <c r="L13" i="1"/>
  <c r="K13" i="1" a="1"/>
  <c r="K13" i="1" s="1"/>
  <c r="H13" i="1" a="1"/>
  <c r="H13" i="1" s="1"/>
  <c r="J56" i="1" a="1"/>
  <c r="J56" i="1"/>
  <c r="H56" i="1" a="1"/>
  <c r="H56" i="1"/>
  <c r="F56" i="1" a="1"/>
  <c r="F56" i="1"/>
  <c r="O56" i="1" a="1"/>
  <c r="O56" i="1"/>
  <c r="N56" i="1" a="1"/>
  <c r="N56" i="1"/>
  <c r="I56" i="1" a="1"/>
  <c r="I56" i="1" s="1"/>
  <c r="L56" i="1" a="1"/>
  <c r="L56" i="1" s="1"/>
  <c r="M56" i="1" a="1"/>
  <c r="M56" i="1" s="1"/>
  <c r="P56" i="1" a="1"/>
  <c r="P56" i="1"/>
  <c r="Q56" i="1" a="1"/>
  <c r="Q56" i="1"/>
  <c r="G56" i="1" a="1"/>
  <c r="G56" i="1" s="1"/>
  <c r="K56" i="1" a="1"/>
  <c r="K56" i="1"/>
  <c r="G50" i="1" a="1"/>
  <c r="G50" i="1"/>
  <c r="P50" i="1" a="1"/>
  <c r="P50" i="1"/>
  <c r="K50" i="1" a="1"/>
  <c r="K50" i="1"/>
  <c r="O50" i="1" a="1"/>
  <c r="O50" i="1"/>
  <c r="I50" i="1" a="1"/>
  <c r="I50" i="1" s="1"/>
  <c r="M50" i="1" a="1"/>
  <c r="M50" i="1"/>
  <c r="Q50" i="1" a="1"/>
  <c r="Q50" i="1"/>
  <c r="J50" i="1" a="1"/>
  <c r="J50" i="1"/>
  <c r="N50" i="1" a="1"/>
  <c r="N50" i="1" s="1"/>
  <c r="L50" i="1" a="1"/>
  <c r="L50" i="1" s="1"/>
  <c r="H50" i="1" a="1"/>
  <c r="H50" i="1" s="1"/>
  <c r="P43" i="1" a="1"/>
  <c r="P43" i="1"/>
  <c r="P45" i="1" a="1"/>
  <c r="P45" i="1" s="1"/>
  <c r="J44" i="1" a="1"/>
  <c r="J44" i="1"/>
  <c r="I44" i="1" a="1"/>
  <c r="I44" i="1"/>
  <c r="N43" i="1" a="1"/>
  <c r="N43" i="1"/>
  <c r="I45" i="1" a="1"/>
  <c r="I45" i="1" s="1"/>
  <c r="O44" i="1" a="1"/>
  <c r="O44" i="1"/>
  <c r="K44" i="1" a="1"/>
  <c r="K44" i="1"/>
  <c r="G45" i="1" a="1"/>
  <c r="G45" i="1"/>
  <c r="Q45" i="1" a="1"/>
  <c r="Q45" i="1" s="1"/>
  <c r="Q44" i="1" a="1"/>
  <c r="Q44" i="1"/>
  <c r="P44" i="1" a="1"/>
  <c r="P44" i="1"/>
  <c r="J43" i="1" a="1"/>
  <c r="J43" i="1" s="1"/>
  <c r="I43" i="1" a="1"/>
  <c r="I43" i="1" s="1"/>
  <c r="K43" i="1" a="1"/>
  <c r="K43" i="1" s="1"/>
  <c r="F50" i="1" a="1"/>
  <c r="F50" i="1" s="1"/>
  <c r="N44" i="1" a="1"/>
  <c r="N44" i="1"/>
  <c r="G44" i="1" a="1"/>
  <c r="G44" i="1"/>
  <c r="M43" i="1" a="1"/>
  <c r="M43" i="1"/>
  <c r="M44" i="1" a="1"/>
  <c r="M44" i="1"/>
  <c r="Q43" i="1" a="1"/>
  <c r="Q43" i="1"/>
  <c r="M45" i="1" a="1"/>
  <c r="M45" i="1"/>
  <c r="K45" i="1" a="1"/>
  <c r="K45" i="1" s="1"/>
  <c r="H44" i="1" a="1"/>
  <c r="H44" i="1"/>
  <c r="O43" i="1" a="1"/>
  <c r="O43" i="1" s="1"/>
  <c r="H43" i="1" a="1"/>
  <c r="H43" i="1"/>
  <c r="H45" i="1" a="1"/>
  <c r="H45" i="1"/>
  <c r="F45" i="1" a="1"/>
  <c r="F45" i="1" s="1"/>
  <c r="L44" i="1" a="1"/>
  <c r="L44" i="1" s="1"/>
  <c r="L43" i="1" a="1"/>
  <c r="L43" i="1" s="1"/>
  <c r="F44" i="1" a="1"/>
  <c r="F44" i="1"/>
  <c r="L45" i="1" a="1"/>
  <c r="L45" i="1"/>
  <c r="J45" i="1" a="1"/>
  <c r="J45" i="1"/>
  <c r="J28" i="1" a="1"/>
  <c r="J28" i="1"/>
  <c r="L28" i="1" a="1"/>
  <c r="L28" i="1" s="1"/>
  <c r="Q28" i="1" a="1"/>
  <c r="Q28" i="1"/>
  <c r="K28" i="1" a="1"/>
  <c r="K28" i="1"/>
  <c r="G43" i="1" a="1"/>
  <c r="G43" i="1"/>
  <c r="M28" i="1" a="1"/>
  <c r="M28" i="1"/>
  <c r="F43" i="1" a="1"/>
  <c r="F43" i="1" s="1"/>
  <c r="O28" i="1" a="1"/>
  <c r="O28" i="1"/>
  <c r="P28" i="1" a="1"/>
  <c r="P28" i="1"/>
  <c r="N28" i="1" a="1"/>
  <c r="N28" i="1" s="1"/>
  <c r="P25" i="1" a="1"/>
  <c r="P25" i="1" s="1"/>
  <c r="I27" i="1" a="1"/>
  <c r="I27" i="1"/>
  <c r="K26" i="1" a="1"/>
  <c r="K26" i="1"/>
  <c r="F26" i="1" a="1"/>
  <c r="F26" i="1"/>
  <c r="O27" i="1" a="1"/>
  <c r="O27" i="1"/>
  <c r="F27" i="1" a="1"/>
  <c r="F27" i="1"/>
  <c r="Q27" i="1" a="1"/>
  <c r="Q27" i="1"/>
  <c r="L27" i="1" a="1"/>
  <c r="L27" i="1"/>
  <c r="I28" i="1" a="1"/>
  <c r="I28" i="1" s="1"/>
  <c r="F28" i="1" a="1"/>
  <c r="F28" i="1"/>
  <c r="H28" i="1" a="1"/>
  <c r="H28" i="1"/>
  <c r="J26" i="1" a="1"/>
  <c r="J26" i="1" s="1"/>
  <c r="L26" i="1" a="1"/>
  <c r="L26" i="1"/>
  <c r="G28" i="1" a="1"/>
  <c r="G28" i="1"/>
  <c r="J27" i="1" a="1"/>
  <c r="J27" i="1" s="1"/>
  <c r="N26" i="1" a="1"/>
  <c r="N26" i="1"/>
  <c r="I26" i="1" a="1"/>
  <c r="I26" i="1"/>
  <c r="M26" i="1" a="1"/>
  <c r="M26" i="1"/>
  <c r="G26" i="1" a="1"/>
  <c r="G26" i="1"/>
  <c r="H27" i="1" a="1"/>
  <c r="H27" i="1"/>
  <c r="Q26" i="1" a="1"/>
  <c r="Q26" i="1" s="1"/>
  <c r="P27" i="1" a="1"/>
  <c r="P27" i="1"/>
  <c r="Q25" i="1" a="1"/>
  <c r="Q25" i="1"/>
  <c r="G27" i="1" a="1"/>
  <c r="G27" i="1"/>
  <c r="H26" i="1" a="1"/>
  <c r="H26" i="1"/>
  <c r="N27" i="1" a="1"/>
  <c r="N27" i="1"/>
  <c r="P26" i="1" a="1"/>
  <c r="P26" i="1" s="1"/>
  <c r="M27" i="1" a="1"/>
  <c r="M27" i="1"/>
  <c r="K27" i="1" a="1"/>
  <c r="K27" i="1" s="1"/>
  <c r="O26" i="1" a="1"/>
  <c r="O26" i="1"/>
  <c r="J24" i="1" a="1"/>
  <c r="J24" i="1"/>
  <c r="O25" i="1" a="1"/>
  <c r="O25" i="1"/>
  <c r="N25" i="1" a="1"/>
  <c r="N25" i="1"/>
  <c r="K24" i="1" a="1"/>
  <c r="K24" i="1"/>
  <c r="H25" i="1" a="1"/>
  <c r="H25" i="1"/>
  <c r="I24" i="1" a="1"/>
  <c r="I24" i="1"/>
  <c r="H24" i="1" a="1"/>
  <c r="H24" i="1"/>
  <c r="M21" i="1" a="1"/>
  <c r="M21" i="1" s="1"/>
  <c r="P21" i="1" a="1"/>
  <c r="P21" i="1"/>
  <c r="M25" i="1" a="1"/>
  <c r="M25" i="1"/>
  <c r="L25" i="1" a="1"/>
  <c r="L25" i="1"/>
  <c r="J25" i="1" a="1"/>
  <c r="J25" i="1" s="1"/>
  <c r="N24" i="1" a="1"/>
  <c r="N24" i="1" s="1"/>
  <c r="N21" i="1" a="1"/>
  <c r="N21" i="1" s="1"/>
  <c r="K21" i="1" a="1"/>
  <c r="K21" i="1"/>
  <c r="Q24" i="1" a="1"/>
  <c r="Q24" i="1"/>
  <c r="P24" i="1" a="1"/>
  <c r="P24" i="1"/>
  <c r="M24" i="1" a="1"/>
  <c r="M24" i="1"/>
  <c r="Q21" i="1" a="1"/>
  <c r="Q21" i="1"/>
  <c r="L21" i="1" a="1"/>
  <c r="L21" i="1" s="1"/>
  <c r="F24" i="1" a="1"/>
  <c r="F24" i="1"/>
  <c r="O24" i="1" a="1"/>
  <c r="O24" i="1"/>
  <c r="G24" i="1" a="1"/>
  <c r="G24" i="1"/>
  <c r="O21" i="1" a="1"/>
  <c r="O21" i="1"/>
  <c r="K25" i="1" a="1"/>
  <c r="K25" i="1"/>
  <c r="I25" i="1" a="1"/>
  <c r="I25" i="1"/>
  <c r="G25" i="1" a="1"/>
  <c r="G25" i="1" s="1"/>
  <c r="F25" i="1" a="1"/>
  <c r="F25" i="1" s="1"/>
  <c r="L24" i="1" a="1"/>
  <c r="L24" i="1" s="1"/>
  <c r="G17" i="1" a="1"/>
  <c r="G17" i="1"/>
  <c r="M17" i="1" a="1"/>
  <c r="M17" i="1"/>
  <c r="M16" i="1" a="1"/>
  <c r="M16" i="1"/>
  <c r="K17" i="1" a="1"/>
  <c r="K17" i="1"/>
  <c r="O17" i="1" a="1"/>
  <c r="O17" i="1"/>
  <c r="J17" i="1" a="1"/>
  <c r="J17" i="1"/>
  <c r="J16" i="1" a="1"/>
  <c r="J16" i="1"/>
  <c r="L17" i="1" a="1"/>
  <c r="L17" i="1" s="1"/>
  <c r="L16" i="1" a="1"/>
  <c r="L16" i="1"/>
  <c r="Q16" i="1" a="1"/>
  <c r="Q16" i="1"/>
  <c r="J21" i="1" a="1"/>
  <c r="J21" i="1" s="1"/>
  <c r="P16" i="1" a="1"/>
  <c r="P16" i="1" s="1"/>
  <c r="H16" i="1" a="1"/>
  <c r="H16" i="1"/>
  <c r="I16" i="1" a="1"/>
  <c r="I16" i="1" s="1"/>
  <c r="I21" i="1" a="1"/>
  <c r="I21" i="1" s="1"/>
  <c r="H21" i="1" a="1"/>
  <c r="H21" i="1"/>
  <c r="G16" i="1" a="1"/>
  <c r="G16" i="1"/>
  <c r="G21" i="1" a="1"/>
  <c r="G21" i="1"/>
  <c r="Q17" i="1" a="1"/>
  <c r="Q17" i="1"/>
  <c r="I17" i="1" a="1"/>
  <c r="I17" i="1" s="1"/>
  <c r="P17" i="1" a="1"/>
  <c r="P17" i="1"/>
  <c r="F17" i="1" a="1"/>
  <c r="F17" i="1"/>
  <c r="O16" i="1" a="1"/>
  <c r="O16" i="1"/>
  <c r="F21" i="1" a="1"/>
  <c r="F21" i="1"/>
  <c r="N16" i="1" a="1"/>
  <c r="N16" i="1"/>
  <c r="H17" i="1" a="1"/>
  <c r="H17" i="1" s="1"/>
  <c r="K16" i="1" a="1"/>
  <c r="K16" i="1"/>
  <c r="F16" i="1" a="1"/>
  <c r="F16" i="1"/>
  <c r="N17" i="1" a="1"/>
  <c r="N17" i="1" s="1"/>
  <c r="P9" i="1" a="1"/>
  <c r="P9" i="1" s="1"/>
  <c r="Q11" i="1" a="1"/>
  <c r="Q11" i="1"/>
  <c r="P11" i="1" a="1"/>
  <c r="P11" i="1"/>
  <c r="N11" i="1" a="1"/>
  <c r="N11" i="1"/>
  <c r="I11" i="1" a="1"/>
  <c r="I11" i="1"/>
  <c r="H11" i="1" a="1"/>
  <c r="H11" i="1"/>
  <c r="J10" i="1" a="1"/>
  <c r="J10" i="1"/>
  <c r="F10" i="1" a="1"/>
  <c r="F10" i="1" s="1"/>
  <c r="G9" i="1" a="1"/>
  <c r="G9" i="1"/>
  <c r="F11" i="1" a="1"/>
  <c r="F11" i="1"/>
  <c r="Q10" i="1" a="1"/>
  <c r="Q10" i="1" s="1"/>
  <c r="N9" i="1" a="1"/>
  <c r="N9" i="1"/>
  <c r="H10" i="1" a="1"/>
  <c r="H10" i="1"/>
  <c r="O10" i="1" a="1"/>
  <c r="O10" i="1"/>
  <c r="L11" i="1" a="1"/>
  <c r="L11" i="1" s="1"/>
  <c r="I10" i="1" a="1"/>
  <c r="I10" i="1" s="1"/>
  <c r="F9" i="1" a="1"/>
  <c r="F9" i="1"/>
  <c r="K9" i="1" a="1"/>
  <c r="K9" i="1"/>
  <c r="M10" i="1" a="1"/>
  <c r="M10" i="1"/>
  <c r="M9" i="1" a="1"/>
  <c r="M9" i="1" s="1"/>
  <c r="L9" i="1" a="1"/>
  <c r="L9" i="1"/>
  <c r="P10" i="1" a="1"/>
  <c r="P10" i="1"/>
  <c r="M11" i="1" a="1"/>
  <c r="M11" i="1"/>
  <c r="J9" i="1" a="1"/>
  <c r="J9" i="1"/>
  <c r="G10" i="1" a="1"/>
  <c r="G10" i="1" s="1"/>
  <c r="O9" i="1" a="1"/>
  <c r="O9" i="1"/>
  <c r="J11" i="1" a="1"/>
  <c r="J11" i="1"/>
  <c r="N10" i="1" a="1"/>
  <c r="N10" i="1"/>
  <c r="K11" i="1" a="1"/>
  <c r="K11" i="1"/>
  <c r="K10" i="1" a="1"/>
  <c r="K10" i="1" s="1"/>
  <c r="Q9" i="1" a="1"/>
  <c r="Q9" i="1" s="1"/>
  <c r="H9" i="1" a="1"/>
  <c r="H9" i="1"/>
  <c r="L10" i="1" a="1"/>
  <c r="L10" i="1"/>
  <c r="I9" i="1" a="1"/>
  <c r="I9" i="1"/>
  <c r="O11" i="1" a="1"/>
  <c r="O11" i="1"/>
  <c r="G11" i="1" a="1"/>
  <c r="G11" i="1"/>
  <c r="O5" i="1" a="1"/>
  <c r="O5" i="1" s="1"/>
  <c r="P5" i="1" a="1"/>
  <c r="P5" i="1"/>
  <c r="O4" i="1" a="1"/>
  <c r="O4" i="1" s="1"/>
  <c r="K4" i="1" a="1"/>
  <c r="K4" i="1"/>
  <c r="Q7" i="1" a="1"/>
  <c r="Q7" i="1"/>
  <c r="H6" i="1" a="1"/>
  <c r="H6" i="1"/>
  <c r="P7" i="1" a="1"/>
  <c r="P7" i="1"/>
  <c r="O7" i="1" a="1"/>
  <c r="O7" i="1"/>
  <c r="N7" i="1" a="1"/>
  <c r="N7" i="1" s="1"/>
  <c r="M7" i="1" a="1"/>
  <c r="M7" i="1" s="1"/>
  <c r="Q6" i="1" a="1"/>
  <c r="Q6" i="1"/>
  <c r="N4" i="1" a="1"/>
  <c r="N4" i="1"/>
  <c r="L6" i="1" a="1"/>
  <c r="L6" i="1" s="1"/>
  <c r="G6" i="1" a="1"/>
  <c r="G6" i="1"/>
  <c r="M4" i="1" a="1"/>
  <c r="M4" i="1"/>
  <c r="L7" i="1" a="1"/>
  <c r="L7" i="1"/>
  <c r="I4" i="1" a="1"/>
  <c r="I4" i="1" s="1"/>
  <c r="K7" i="1" a="1"/>
  <c r="K7" i="1"/>
  <c r="J7" i="1" a="1"/>
  <c r="J7" i="1"/>
  <c r="G7" i="1" a="1"/>
  <c r="G7" i="1"/>
  <c r="O6" i="1" a="1"/>
  <c r="O6" i="1"/>
  <c r="N5" i="1" a="1"/>
  <c r="N5" i="1"/>
  <c r="M5" i="1" a="1"/>
  <c r="M5" i="1"/>
  <c r="J5" i="1" a="1"/>
  <c r="J5" i="1" s="1"/>
  <c r="F6" i="1" a="1"/>
  <c r="F6" i="1" s="1"/>
  <c r="K5" i="1" a="1"/>
  <c r="K5" i="1"/>
  <c r="Q5" i="1" a="1"/>
  <c r="Q5" i="1"/>
  <c r="K6" i="1" a="1"/>
  <c r="K6" i="1"/>
  <c r="J6" i="1" a="1"/>
  <c r="J6" i="1"/>
  <c r="F5" i="1" a="1"/>
  <c r="F5" i="1" s="1"/>
  <c r="I6" i="1" a="1"/>
  <c r="I6" i="1" s="1"/>
  <c r="H7" i="1" a="1"/>
  <c r="H7" i="1"/>
  <c r="P6" i="1" a="1"/>
  <c r="P6" i="1"/>
  <c r="M6" i="1" a="1"/>
  <c r="M6" i="1"/>
  <c r="L4" i="1" a="1"/>
  <c r="L4" i="1"/>
  <c r="I5" i="1" a="1"/>
  <c r="I5" i="1"/>
  <c r="H5" i="1" a="1"/>
  <c r="H5" i="1"/>
  <c r="H4" i="1" a="1"/>
  <c r="H4" i="1"/>
  <c r="I7" i="1" a="1"/>
  <c r="I7" i="1" s="1"/>
  <c r="F7" i="1" a="1"/>
  <c r="F7" i="1" s="1"/>
  <c r="N6" i="1" a="1"/>
  <c r="N6" i="1"/>
  <c r="L5" i="1" a="1"/>
  <c r="L5" i="1" s="1"/>
  <c r="J4" i="1" a="1"/>
  <c r="J4" i="1"/>
  <c r="P4" i="1" a="1"/>
  <c r="P4" i="1"/>
  <c r="G5" i="1" a="1"/>
  <c r="G5" i="1" s="1"/>
  <c r="Q4" i="1" a="1"/>
  <c r="Q4" i="1"/>
  <c r="G4" i="1" a="1"/>
  <c r="G4" i="1"/>
  <c r="F4" i="1" a="1"/>
  <c r="F4" i="1"/>
  <c r="O45" i="1" a="1"/>
  <c r="O45" i="1"/>
  <c r="N45" i="1" a="1"/>
  <c r="N45" i="1"/>
  <c r="Q1688" i="1"/>
  <c r="M1688" i="1"/>
  <c r="L1283" i="1"/>
  <c r="K1283" i="1"/>
  <c r="L1282" i="1"/>
  <c r="N1203" i="1"/>
  <c r="L222" i="1"/>
  <c r="L221" i="1" s="1"/>
  <c r="H127" i="1"/>
  <c r="I127" i="1"/>
  <c r="J127" i="1"/>
  <c r="K127" i="1"/>
  <c r="L127" i="1"/>
  <c r="M127" i="1"/>
  <c r="N127" i="1"/>
  <c r="O127" i="1"/>
  <c r="P127" i="1"/>
  <c r="Q127" i="1"/>
  <c r="H130" i="1"/>
  <c r="I130" i="1"/>
  <c r="J130" i="1"/>
  <c r="L130" i="1"/>
  <c r="M130" i="1"/>
  <c r="N130" i="1"/>
  <c r="O130" i="1"/>
  <c r="H925" i="1" l="1"/>
  <c r="H924" i="1" s="1"/>
  <c r="H903" i="1"/>
  <c r="G742" i="1" a="1"/>
  <c r="G742" i="1" s="1"/>
  <c r="G744" i="1" s="1" a="1"/>
  <c r="G744" i="1" s="1"/>
  <c r="G726" i="1" a="1"/>
  <c r="G726" i="1" s="1"/>
  <c r="G728" i="1" s="1" a="1"/>
  <c r="G728" i="1" s="1"/>
  <c r="F382" i="1"/>
  <c r="F513" i="1" s="1"/>
  <c r="F241" i="1"/>
  <c r="F316" i="1" s="1"/>
  <c r="F471" i="1" s="1"/>
  <c r="F317" i="1"/>
  <c r="F472" i="1" s="1"/>
  <c r="O726" i="1" a="1"/>
  <c r="O726" i="1" s="1"/>
  <c r="O728" i="1" s="1" a="1"/>
  <c r="O728" i="1" s="1"/>
  <c r="O742" i="1" a="1"/>
  <c r="O742" i="1" s="1"/>
  <c r="O744" i="1" s="1" a="1"/>
  <c r="O744" i="1" s="1"/>
  <c r="J925" i="1"/>
  <c r="J924" i="1" s="1"/>
  <c r="J903" i="1"/>
  <c r="H114" i="1"/>
  <c r="P786" i="1"/>
  <c r="P787" i="1" s="1"/>
  <c r="P783" i="1"/>
  <c r="N742" i="1" a="1"/>
  <c r="N742" i="1" s="1"/>
  <c r="N744" i="1" s="1" a="1"/>
  <c r="N744" i="1" s="1"/>
  <c r="N726" i="1" a="1"/>
  <c r="N726" i="1" s="1"/>
  <c r="N728" i="1" s="1" a="1"/>
  <c r="N728" i="1" s="1"/>
  <c r="H783" i="1"/>
  <c r="H786" i="1"/>
  <c r="H787" i="1" s="1"/>
  <c r="I742" i="1" a="1"/>
  <c r="I742" i="1" s="1"/>
  <c r="I744" i="1" s="1" a="1"/>
  <c r="I744" i="1" s="1"/>
  <c r="I726" i="1" a="1"/>
  <c r="I726" i="1" s="1"/>
  <c r="I728" i="1" s="1" a="1"/>
  <c r="I728" i="1" s="1"/>
  <c r="M364" i="1"/>
  <c r="M274" i="1"/>
  <c r="G114" i="1"/>
  <c r="Q783" i="1"/>
  <c r="Q786" i="1"/>
  <c r="Q787" i="1" s="1"/>
  <c r="K786" i="1"/>
  <c r="K787" i="1" s="1"/>
  <c r="K783" i="1"/>
  <c r="Q903" i="1"/>
  <c r="Q925" i="1"/>
  <c r="Q924" i="1" s="1"/>
  <c r="M362" i="1"/>
  <c r="M429" i="1" s="1"/>
  <c r="M198" i="1"/>
  <c r="M361" i="1" s="1"/>
  <c r="M428" i="1" s="1"/>
  <c r="G383" i="1"/>
  <c r="G514" i="1" s="1"/>
  <c r="G283" i="1"/>
  <c r="G382" i="1" s="1"/>
  <c r="G513" i="1" s="1"/>
  <c r="L742" i="1" a="1"/>
  <c r="L742" i="1" s="1"/>
  <c r="L744" i="1" s="1" a="1"/>
  <c r="L744" i="1" s="1"/>
  <c r="L726" i="1" a="1"/>
  <c r="L726" i="1" s="1"/>
  <c r="L728" i="1" s="1" a="1"/>
  <c r="L728" i="1" s="1"/>
  <c r="N317" i="1"/>
  <c r="N472" i="1" s="1"/>
  <c r="K121" i="1"/>
  <c r="L925" i="1"/>
  <c r="L924" i="1" s="1"/>
  <c r="L903" i="1"/>
  <c r="L902" i="1"/>
  <c r="O364" i="1"/>
  <c r="K364" i="1"/>
  <c r="K130" i="1"/>
  <c r="G126" i="1"/>
  <c r="H316" i="1"/>
  <c r="H471" i="1" s="1"/>
  <c r="H363" i="1"/>
  <c r="H504" i="1" s="1"/>
  <c r="P382" i="1"/>
  <c r="P513" i="1" s="1"/>
  <c r="G316" i="1"/>
  <c r="G471" i="1" s="1"/>
  <c r="K324" i="1"/>
  <c r="K479" i="1" s="1"/>
  <c r="N122" i="1"/>
  <c r="N318" i="1"/>
  <c r="N473" i="1" s="1"/>
  <c r="N325" i="1"/>
  <c r="N480" i="1" s="1"/>
  <c r="N129" i="1"/>
  <c r="F140" i="1" a="1"/>
  <c r="F140" i="1" s="1"/>
  <c r="F361" i="1"/>
  <c r="F428" i="1" s="1"/>
  <c r="J316" i="1"/>
  <c r="J471" i="1" s="1"/>
  <c r="P364" i="1"/>
  <c r="K316" i="1"/>
  <c r="K471" i="1" s="1"/>
  <c r="G361" i="1"/>
  <c r="G428" i="1" s="1"/>
  <c r="K385" i="1"/>
  <c r="K516" i="1" s="1"/>
  <c r="L316" i="1"/>
  <c r="L471" i="1" s="1"/>
  <c r="Q364" i="1"/>
  <c r="F786" i="1"/>
  <c r="F787" i="1" s="1"/>
  <c r="P122" i="1"/>
  <c r="P114" i="1" s="1"/>
  <c r="P318" i="1"/>
  <c r="P473" i="1" s="1"/>
  <c r="H125" i="1"/>
  <c r="H321" i="1"/>
  <c r="H476" i="1" s="1"/>
  <c r="H140" i="1" a="1"/>
  <c r="H140" i="1" s="1"/>
  <c r="H361" i="1"/>
  <c r="H428" i="1" s="1"/>
  <c r="N324" i="1"/>
  <c r="N479" i="1" s="1"/>
  <c r="I925" i="1"/>
  <c r="I924" i="1" s="1"/>
  <c r="I903" i="1"/>
  <c r="I321" i="1"/>
  <c r="I476" i="1" s="1"/>
  <c r="I125" i="1"/>
  <c r="Q129" i="1"/>
  <c r="Q325" i="1"/>
  <c r="Q480" i="1" s="1"/>
  <c r="I140" i="1" a="1"/>
  <c r="I140" i="1" s="1"/>
  <c r="I361" i="1"/>
  <c r="I428" i="1" s="1"/>
  <c r="M363" i="1"/>
  <c r="M504" i="1" s="1"/>
  <c r="G321" i="1"/>
  <c r="G476" i="1" s="1"/>
  <c r="N363" i="1"/>
  <c r="N504" i="1" s="1"/>
  <c r="P726" i="1" a="1"/>
  <c r="P726" i="1" s="1"/>
  <c r="P728" i="1" s="1" a="1"/>
  <c r="P728" i="1" s="1"/>
  <c r="O316" i="1"/>
  <c r="O471" i="1" s="1"/>
  <c r="K361" i="1"/>
  <c r="K428" i="1" s="1"/>
  <c r="O363" i="1"/>
  <c r="O504" i="1" s="1"/>
  <c r="O123" i="1"/>
  <c r="Q316" i="1"/>
  <c r="Q471" i="1" s="1"/>
  <c r="L786" i="1"/>
  <c r="L787" i="1" s="1"/>
  <c r="L783" i="1"/>
  <c r="H319" i="1"/>
  <c r="H474" i="1" s="1"/>
  <c r="L125" i="1"/>
  <c r="L321" i="1"/>
  <c r="L476" i="1" s="1"/>
  <c r="P323" i="1"/>
  <c r="P478" i="1" s="1"/>
  <c r="L361" i="1"/>
  <c r="L428" i="1" s="1"/>
  <c r="P363" i="1"/>
  <c r="P504" i="1" s="1"/>
  <c r="H399" i="1"/>
  <c r="H519" i="1" s="1"/>
  <c r="I283" i="1"/>
  <c r="I382" i="1" s="1"/>
  <c r="I513" i="1" s="1"/>
  <c r="H382" i="1"/>
  <c r="H513" i="1" s="1"/>
  <c r="G315" i="1"/>
  <c r="G420" i="1" s="1"/>
  <c r="G127" i="1"/>
  <c r="M321" i="1"/>
  <c r="M476" i="1" s="1"/>
  <c r="M125" i="1"/>
  <c r="Q363" i="1"/>
  <c r="Q504" i="1" s="1"/>
  <c r="P241" i="1"/>
  <c r="P316" i="1" s="1"/>
  <c r="P471" i="1" s="1"/>
  <c r="F124" i="1"/>
  <c r="N118" i="1"/>
  <c r="N114" i="1" s="1"/>
  <c r="N314" i="1"/>
  <c r="N419" i="1" s="1"/>
  <c r="F324" i="1"/>
  <c r="F479" i="1" s="1"/>
  <c r="F364" i="1"/>
  <c r="N383" i="1"/>
  <c r="N514" i="1" s="1"/>
  <c r="N361" i="1"/>
  <c r="N428" i="1" s="1"/>
  <c r="O361" i="1"/>
  <c r="O428" i="1" s="1"/>
  <c r="O140" i="1" a="1"/>
  <c r="O140" i="1" s="1"/>
  <c r="O147" i="1" s="1"/>
  <c r="G364" i="1"/>
  <c r="O120" i="1"/>
  <c r="O114" i="1" s="1"/>
  <c r="G130" i="1"/>
  <c r="K925" i="1"/>
  <c r="K924" i="1" s="1"/>
  <c r="K903" i="1"/>
  <c r="K114" i="1"/>
  <c r="O320" i="1"/>
  <c r="O475" i="1" s="1"/>
  <c r="O124" i="1"/>
  <c r="J126" i="1"/>
  <c r="N925" i="1"/>
  <c r="N924" i="1" s="1"/>
  <c r="N903" i="1"/>
  <c r="N902" i="1"/>
  <c r="J726" i="1" a="1"/>
  <c r="J726" i="1" s="1"/>
  <c r="J728" i="1" s="1" a="1"/>
  <c r="J728" i="1" s="1"/>
  <c r="H317" i="1"/>
  <c r="H472" i="1" s="1"/>
  <c r="P361" i="1"/>
  <c r="P428" i="1" s="1"/>
  <c r="H364" i="1"/>
  <c r="P383" i="1"/>
  <c r="P514" i="1" s="1"/>
  <c r="H198" i="1"/>
  <c r="F322" i="1"/>
  <c r="F477" i="1" s="1"/>
  <c r="G362" i="1"/>
  <c r="G429" i="1" s="1"/>
  <c r="J383" i="1"/>
  <c r="J514" i="1" s="1"/>
  <c r="Q118" i="1"/>
  <c r="Q114" i="1" s="1"/>
  <c r="Q314" i="1"/>
  <c r="Q419" i="1" s="1"/>
  <c r="I121" i="1"/>
  <c r="I317" i="1"/>
  <c r="I472" i="1" s="1"/>
  <c r="Q383" i="1"/>
  <c r="Q514" i="1" s="1"/>
  <c r="F315" i="1"/>
  <c r="F420" i="1" s="1"/>
  <c r="F119" i="1"/>
  <c r="J317" i="1"/>
  <c r="J472" i="1" s="1"/>
  <c r="J128" i="1"/>
  <c r="J324" i="1"/>
  <c r="J479" i="1" s="1"/>
  <c r="F362" i="1"/>
  <c r="F429" i="1" s="1"/>
  <c r="J364" i="1"/>
  <c r="P903" i="1"/>
  <c r="P899" i="1"/>
  <c r="P925" i="1"/>
  <c r="P924" i="1" s="1"/>
  <c r="P902" i="1"/>
  <c r="Q726" i="1" a="1"/>
  <c r="Q726" i="1" s="1"/>
  <c r="Q728" i="1" s="1" a="1"/>
  <c r="Q728" i="1" s="1"/>
  <c r="L121" i="1"/>
  <c r="L114" i="1" s="1"/>
  <c r="L317" i="1"/>
  <c r="L472" i="1" s="1"/>
  <c r="L364" i="1"/>
  <c r="P399" i="1"/>
  <c r="P519" i="1" s="1"/>
  <c r="L198" i="1"/>
  <c r="I315" i="1"/>
  <c r="I420" i="1" s="1"/>
  <c r="I119" i="1"/>
  <c r="I114" i="1" s="1"/>
  <c r="M317" i="1"/>
  <c r="M472" i="1" s="1"/>
  <c r="Q319" i="1"/>
  <c r="Q474" i="1" s="1"/>
  <c r="Q138" i="1" a="1"/>
  <c r="Q138" i="1" s="1"/>
  <c r="Q130" i="1"/>
  <c r="J121" i="1"/>
  <c r="J114" i="1" s="1"/>
  <c r="J314" i="1"/>
  <c r="J419" i="1" s="1"/>
  <c r="N323" i="1"/>
  <c r="N478" i="1" s="1"/>
  <c r="O121" i="1"/>
  <c r="M925" i="1"/>
  <c r="M924" i="1" s="1"/>
  <c r="M903" i="1"/>
  <c r="M902" i="1"/>
  <c r="F726" i="1" a="1"/>
  <c r="F726" i="1" s="1"/>
  <c r="F728" i="1" s="1" a="1"/>
  <c r="F728" i="1" s="1"/>
  <c r="G320" i="1"/>
  <c r="G475" i="1" s="1"/>
  <c r="N315" i="1"/>
  <c r="N420" i="1" s="1"/>
  <c r="F398" i="1"/>
  <c r="F439" i="1" s="1"/>
  <c r="J400" i="1"/>
  <c r="J520" i="1" s="1"/>
  <c r="O903" i="1"/>
  <c r="O925" i="1"/>
  <c r="O924" i="1" s="1"/>
  <c r="O902" i="1"/>
  <c r="P301" i="1"/>
  <c r="P465" i="1" s="1"/>
  <c r="Q315" i="1"/>
  <c r="Q420" i="1" s="1"/>
  <c r="G902" i="1"/>
  <c r="G925" i="1"/>
  <c r="G924" i="1" s="1"/>
  <c r="G899" i="1"/>
  <c r="G903" i="1"/>
  <c r="M122" i="1"/>
  <c r="M114" i="1" s="1"/>
  <c r="H902" i="1"/>
  <c r="H899" i="1"/>
  <c r="I902" i="1"/>
  <c r="I899" i="1"/>
  <c r="J902" i="1"/>
  <c r="J899" i="1"/>
  <c r="K902" i="1"/>
  <c r="K899" i="1"/>
  <c r="L899" i="1"/>
  <c r="M899" i="1"/>
  <c r="N899" i="1"/>
  <c r="O899" i="1"/>
  <c r="F925" i="1"/>
  <c r="F924" i="1" s="1"/>
  <c r="F895" i="1"/>
  <c r="Q902" i="1"/>
  <c r="Q899" i="1"/>
  <c r="Q1744" i="1"/>
  <c r="Q1745" i="1"/>
  <c r="Q1746" i="1"/>
  <c r="Q1748" i="1"/>
  <c r="Q8" i="1"/>
  <c r="Q1747" i="1" s="1"/>
  <c r="Q1750" i="1"/>
  <c r="Q1753" i="1"/>
  <c r="Q1754" i="1"/>
  <c r="Q1755" i="1"/>
  <c r="Q1756" i="1"/>
  <c r="Q1757" i="1"/>
  <c r="Q1716" i="1"/>
  <c r="Q1719" i="1"/>
  <c r="Q1733" i="1"/>
  <c r="Q1739" i="1"/>
  <c r="Q1741" i="1"/>
  <c r="Q64" i="1"/>
  <c r="Q525" i="1"/>
  <c r="Q75" i="1"/>
  <c r="Q78" i="1"/>
  <c r="Q100" i="1"/>
  <c r="Q328" i="1" s="1"/>
  <c r="Q344" i="1" s="1"/>
  <c r="Q103" i="1"/>
  <c r="Q109" i="1"/>
  <c r="Q269" i="1"/>
  <c r="Q258" i="1" s="1"/>
  <c r="Q111" i="1"/>
  <c r="Q105" i="1"/>
  <c r="Q147" i="1"/>
  <c r="Q159" i="1"/>
  <c r="Q168" i="1"/>
  <c r="Q572" i="1"/>
  <c r="Q573" i="1"/>
  <c r="Q188" i="1"/>
  <c r="Q206" i="1"/>
  <c r="Q208" i="1"/>
  <c r="Q215" i="1"/>
  <c r="Q222" i="1"/>
  <c r="Q221" i="1" s="1"/>
  <c r="Q223" i="1"/>
  <c r="Q225" i="1"/>
  <c r="Q227" i="1"/>
  <c r="Q229" i="1"/>
  <c r="Q581" i="1"/>
  <c r="Q793" i="1"/>
  <c r="Q500" i="1"/>
  <c r="Q908" i="1"/>
  <c r="Q909" i="1"/>
  <c r="Q941" i="1" s="1"/>
  <c r="Q964" i="1" s="1"/>
  <c r="Q276" i="1"/>
  <c r="Q522" i="1"/>
  <c r="Q305" i="1"/>
  <c r="Q530" i="1"/>
  <c r="Q387" i="1"/>
  <c r="Q389" i="1"/>
  <c r="Q570" i="1"/>
  <c r="Q445" i="1"/>
  <c r="Q447" i="1"/>
  <c r="Q449" i="1"/>
  <c r="Q453" i="1"/>
  <c r="Q455" i="1"/>
  <c r="Q457" i="1"/>
  <c r="Q459" i="1"/>
  <c r="Q461" i="1"/>
  <c r="Q511" i="1"/>
  <c r="Q506" i="1"/>
  <c r="Q524" i="1"/>
  <c r="Q526" i="1"/>
  <c r="Q563" i="1"/>
  <c r="Q567" i="1"/>
  <c r="Q568" i="1"/>
  <c r="Q569" i="1"/>
  <c r="Q580" i="1"/>
  <c r="Q583" i="1"/>
  <c r="Q614" i="1"/>
  <c r="Q626" i="1"/>
  <c r="Q659" i="1"/>
  <c r="Q684" i="1"/>
  <c r="Q686" i="1"/>
  <c r="Q708" i="1"/>
  <c r="Q712" i="1"/>
  <c r="Q723" i="1"/>
  <c r="Q739" i="1"/>
  <c r="Q773" i="1"/>
  <c r="Q775" i="1"/>
  <c r="Q770" i="1" s="1"/>
  <c r="Q862" i="1" s="1"/>
  <c r="Q777" i="1"/>
  <c r="Q790" i="1"/>
  <c r="Q866" i="1" s="1"/>
  <c r="Q801" i="1"/>
  <c r="Q876" i="1"/>
  <c r="Q877" i="1"/>
  <c r="Q805" i="1"/>
  <c r="Q808" i="1"/>
  <c r="Q812" i="1"/>
  <c r="Q880" i="1" s="1"/>
  <c r="Q814" i="1"/>
  <c r="Q819" i="1"/>
  <c r="Q823" i="1"/>
  <c r="Q826" i="1"/>
  <c r="Q830" i="1"/>
  <c r="Q844" i="1"/>
  <c r="Q846" i="1"/>
  <c r="Q848" i="1"/>
  <c r="Q850" i="1"/>
  <c r="Q852" i="1"/>
  <c r="Q854" i="1"/>
  <c r="Q889" i="1"/>
  <c r="Q892" i="1"/>
  <c r="Q912" i="1"/>
  <c r="Q910" i="1"/>
  <c r="Q942" i="1" s="1"/>
  <c r="Q965" i="1" s="1"/>
  <c r="Q911" i="1"/>
  <c r="Q913" i="1"/>
  <c r="Q968" i="1" s="1"/>
  <c r="Q970" i="1"/>
  <c r="Q971" i="1"/>
  <c r="Q957" i="1"/>
  <c r="Q931" i="1"/>
  <c r="Q961" i="1"/>
  <c r="Q945" i="1"/>
  <c r="Q947" i="1"/>
  <c r="Q949" i="1"/>
  <c r="Q951" i="1"/>
  <c r="Q990" i="1"/>
  <c r="Q994" i="1"/>
  <c r="Q1016" i="1"/>
  <c r="Q1017" i="1" s="1"/>
  <c r="Q1031" i="1"/>
  <c r="Q1040" i="1"/>
  <c r="Q1044" i="1"/>
  <c r="Q1046" i="1"/>
  <c r="Q1086" i="1"/>
  <c r="Q1065" i="1"/>
  <c r="Q1073" i="1"/>
  <c r="Q1075" i="1"/>
  <c r="Q1103" i="1"/>
  <c r="Q1079" i="1"/>
  <c r="Q1099" i="1"/>
  <c r="Q1101" i="1"/>
  <c r="Q1286" i="1"/>
  <c r="Q1267" i="1"/>
  <c r="Q1278" i="1"/>
  <c r="Q1288" i="1"/>
  <c r="Q1295" i="1"/>
  <c r="Q1304" i="1"/>
  <c r="Q1306" i="1"/>
  <c r="Q1308" i="1"/>
  <c r="Q1381" i="1"/>
  <c r="Q1390" i="1"/>
  <c r="Q1394" i="1"/>
  <c r="Q1472" i="1"/>
  <c r="Q1479" i="1"/>
  <c r="Q1468" i="1"/>
  <c r="Q1470" i="1"/>
  <c r="Q1471" i="1"/>
  <c r="Q1473" i="1"/>
  <c r="Q1474" i="1"/>
  <c r="Q1475" i="1"/>
  <c r="Q1484" i="1"/>
  <c r="Q1483" i="1" s="1"/>
  <c r="Q1486" i="1"/>
  <c r="Q1491" i="1"/>
  <c r="Q1490" i="1" s="1"/>
  <c r="Q1493" i="1"/>
  <c r="Q1539" i="1"/>
  <c r="Q1550" i="1"/>
  <c r="Q1567" i="1"/>
  <c r="Q1584" i="1"/>
  <c r="Q1585" i="1"/>
  <c r="Q1587" i="1"/>
  <c r="Q1590" i="1"/>
  <c r="Q1591" i="1"/>
  <c r="Q1597" i="1"/>
  <c r="Q1614" i="1"/>
  <c r="Q1632" i="1"/>
  <c r="Q1633" i="1"/>
  <c r="Q1634" i="1"/>
  <c r="Q1637" i="1"/>
  <c r="Q1638" i="1"/>
  <c r="Q1649" i="1"/>
  <c r="Q1680" i="1"/>
  <c r="Q1682" i="1"/>
  <c r="Q1683" i="1"/>
  <c r="Q1684" i="1"/>
  <c r="Q1692" i="1"/>
  <c r="Q1710" i="1"/>
  <c r="Q1707" i="1"/>
  <c r="Q1717" i="1"/>
  <c r="Q1718" i="1"/>
  <c r="Q1732" i="1"/>
  <c r="Q1758" i="1"/>
  <c r="Q1760" i="1"/>
  <c r="Q1762" i="1"/>
  <c r="Q1766" i="1"/>
  <c r="Q1786" i="1"/>
  <c r="Q1801" i="1"/>
  <c r="Q1810" i="1"/>
  <c r="Q1828" i="1"/>
  <c r="Q1833" i="1"/>
  <c r="Q1835" i="1"/>
  <c r="Q1837" i="1"/>
  <c r="Q1839" i="1"/>
  <c r="Q1841" i="1"/>
  <c r="Q1844" i="1"/>
  <c r="Q1847" i="1"/>
  <c r="Q1852" i="1"/>
  <c r="Q1854" i="1"/>
  <c r="Q1856" i="1"/>
  <c r="Q1858" i="1"/>
  <c r="Q1860" i="1"/>
  <c r="Q1873" i="1"/>
  <c r="Q1875" i="1"/>
  <c r="Q1877" i="1"/>
  <c r="Q1879" i="1"/>
  <c r="Q1881" i="1"/>
  <c r="Q1883" i="1"/>
  <c r="Q1889" i="1"/>
  <c r="Q1895" i="1"/>
  <c r="Q1897" i="1"/>
  <c r="Q1899" i="1"/>
  <c r="Q1901" i="1"/>
  <c r="Q2027" i="1"/>
  <c r="Q2030" i="1"/>
  <c r="Q2051" i="1"/>
  <c r="Q2053" i="1"/>
  <c r="Q2077" i="1"/>
  <c r="Q2084" i="1"/>
  <c r="Q2092" i="1"/>
  <c r="Q2101" i="1"/>
  <c r="Q2102" i="1"/>
  <c r="Q2106" i="1"/>
  <c r="Q2238" i="1"/>
  <c r="Q2243" i="1"/>
  <c r="Q2245" i="1"/>
  <c r="Q2247" i="1"/>
  <c r="Q2249" i="1"/>
  <c r="Q2251" i="1"/>
  <c r="Q2257" i="1"/>
  <c r="Q2262" i="1"/>
  <c r="Q2264" i="1"/>
  <c r="Q2266" i="1"/>
  <c r="Q2268" i="1"/>
  <c r="Q2270" i="1"/>
  <c r="Q2283" i="1"/>
  <c r="Q2285" i="1"/>
  <c r="Q2287" i="1"/>
  <c r="Q2289" i="1"/>
  <c r="Q2291" i="1"/>
  <c r="Q2293" i="1"/>
  <c r="Q2299" i="1"/>
  <c r="Q2305" i="1"/>
  <c r="Q2307" i="1"/>
  <c r="Q2309" i="1"/>
  <c r="Q2311" i="1"/>
  <c r="Q2318" i="1"/>
  <c r="Q2321" i="1"/>
  <c r="M1743" i="1"/>
  <c r="N1743" i="1"/>
  <c r="O1743" i="1"/>
  <c r="M1744" i="1"/>
  <c r="N1744" i="1"/>
  <c r="M1745" i="1"/>
  <c r="P1748" i="1"/>
  <c r="L1750" i="1"/>
  <c r="P1750" i="1"/>
  <c r="L1752" i="1"/>
  <c r="M12" i="1"/>
  <c r="M1751" i="1" s="1"/>
  <c r="L1756" i="1"/>
  <c r="M1756" i="1"/>
  <c r="N1756" i="1"/>
  <c r="O1756" i="1"/>
  <c r="P1756" i="1"/>
  <c r="L1757" i="1"/>
  <c r="P1757" i="1"/>
  <c r="L1716" i="1"/>
  <c r="O1716" i="1"/>
  <c r="P1716" i="1"/>
  <c r="L1717" i="1"/>
  <c r="M1717" i="1"/>
  <c r="N1717" i="1"/>
  <c r="M1719" i="1"/>
  <c r="N1719" i="1"/>
  <c r="P1722" i="1"/>
  <c r="L1721" i="1"/>
  <c r="N1721" i="1"/>
  <c r="L1732" i="1"/>
  <c r="O1739" i="1"/>
  <c r="N1741" i="1"/>
  <c r="L64" i="1"/>
  <c r="M64" i="1"/>
  <c r="M524" i="1"/>
  <c r="N524" i="1"/>
  <c r="L525" i="1"/>
  <c r="N66" i="1"/>
  <c r="M526" i="1"/>
  <c r="O75" i="1"/>
  <c r="P304" i="1"/>
  <c r="M239" i="1"/>
  <c r="M237" i="1" s="1"/>
  <c r="M236" i="1" s="1"/>
  <c r="O239" i="1"/>
  <c r="L78" i="1"/>
  <c r="M78" i="1"/>
  <c r="N78" i="1"/>
  <c r="O78" i="1"/>
  <c r="P78" i="1"/>
  <c r="M100" i="1"/>
  <c r="O530" i="1"/>
  <c r="P530" i="1"/>
  <c r="L531" i="1"/>
  <c r="M101" i="1"/>
  <c r="O103" i="1"/>
  <c r="L104" i="1"/>
  <c r="P105" i="1"/>
  <c r="M107" i="1"/>
  <c r="P538" i="1"/>
  <c r="N109" i="1"/>
  <c r="P109" i="1"/>
  <c r="L110" i="1"/>
  <c r="P111" i="1"/>
  <c r="L100" i="1"/>
  <c r="L328" i="1" s="1"/>
  <c r="L344" i="1" s="1"/>
  <c r="N100" i="1"/>
  <c r="N328" i="1" s="1"/>
  <c r="M104" i="1"/>
  <c r="P106" i="1"/>
  <c r="O110" i="1"/>
  <c r="N112" i="1"/>
  <c r="L145" i="1"/>
  <c r="M145" i="1"/>
  <c r="N545" i="1"/>
  <c r="N147" i="1"/>
  <c r="L148" i="1"/>
  <c r="P148" i="1"/>
  <c r="L149" i="1"/>
  <c r="N149" i="1"/>
  <c r="O149" i="1"/>
  <c r="M150" i="1"/>
  <c r="P150" i="1"/>
  <c r="L150" i="1"/>
  <c r="O150" i="1"/>
  <c r="L551" i="1"/>
  <c r="M551" i="1"/>
  <c r="P551" i="1"/>
  <c r="N159" i="1"/>
  <c r="L159" i="1"/>
  <c r="M159" i="1"/>
  <c r="O159" i="1"/>
  <c r="P159" i="1"/>
  <c r="P161" i="1"/>
  <c r="L168" i="1"/>
  <c r="L563" i="1" s="1"/>
  <c r="M168" i="1"/>
  <c r="N168" i="1"/>
  <c r="N563" i="1" s="1"/>
  <c r="O168" i="1"/>
  <c r="O563" i="1" s="1"/>
  <c r="P168" i="1"/>
  <c r="M169" i="1"/>
  <c r="N567" i="1"/>
  <c r="O567" i="1"/>
  <c r="P567" i="1"/>
  <c r="N568" i="1"/>
  <c r="P568" i="1"/>
  <c r="L569" i="1"/>
  <c r="O571" i="1"/>
  <c r="P571" i="1"/>
  <c r="L573" i="1"/>
  <c r="M573" i="1"/>
  <c r="N573" i="1"/>
  <c r="P184" i="1"/>
  <c r="M412" i="1"/>
  <c r="N201" i="1"/>
  <c r="L206" i="1"/>
  <c r="M206" i="1"/>
  <c r="N206" i="1"/>
  <c r="P206" i="1"/>
  <c r="L208" i="1"/>
  <c r="P208" i="1"/>
  <c r="N208" i="1"/>
  <c r="N215" i="1"/>
  <c r="P215" i="1"/>
  <c r="L211" i="1"/>
  <c r="O215" i="1"/>
  <c r="L217" i="1"/>
  <c r="M217" i="1"/>
  <c r="N217" i="1"/>
  <c r="O217" i="1"/>
  <c r="P217" i="1"/>
  <c r="M577" i="1"/>
  <c r="O222" i="1"/>
  <c r="O221" i="1" s="1"/>
  <c r="P219" i="1"/>
  <c r="L223" i="1"/>
  <c r="M223" i="1"/>
  <c r="N223" i="1"/>
  <c r="O223" i="1"/>
  <c r="P223" i="1"/>
  <c r="L225" i="1"/>
  <c r="M225" i="1"/>
  <c r="N225" i="1"/>
  <c r="O225" i="1"/>
  <c r="P225" i="1"/>
  <c r="M227" i="1"/>
  <c r="O227" i="1"/>
  <c r="P227" i="1"/>
  <c r="L229" i="1"/>
  <c r="M229" i="1"/>
  <c r="N229" i="1"/>
  <c r="O229" i="1"/>
  <c r="P229" i="1"/>
  <c r="N231" i="1"/>
  <c r="L231" i="1"/>
  <c r="O231" i="1"/>
  <c r="P231" i="1"/>
  <c r="L234" i="1"/>
  <c r="M234" i="1"/>
  <c r="N234" i="1"/>
  <c r="O234" i="1"/>
  <c r="P793" i="1"/>
  <c r="L795" i="1"/>
  <c r="P795" i="1"/>
  <c r="P796" i="1"/>
  <c r="L1044" i="1"/>
  <c r="M1044" i="1"/>
  <c r="O1044" i="1"/>
  <c r="P1044" i="1"/>
  <c r="L1045" i="1"/>
  <c r="M1045" i="1"/>
  <c r="N1045" i="1"/>
  <c r="P908" i="1"/>
  <c r="P940" i="1" s="1"/>
  <c r="P963" i="1" s="1"/>
  <c r="L280" i="1"/>
  <c r="M281" i="1"/>
  <c r="N280" i="1"/>
  <c r="L276" i="1"/>
  <c r="M276" i="1"/>
  <c r="N276" i="1"/>
  <c r="O276" i="1"/>
  <c r="P276" i="1"/>
  <c r="L281" i="1"/>
  <c r="N281" i="1"/>
  <c r="N799" i="1"/>
  <c r="P800" i="1"/>
  <c r="M1046" i="1"/>
  <c r="O1046" i="1"/>
  <c r="P1046" i="1"/>
  <c r="L288" i="1"/>
  <c r="M801" i="1"/>
  <c r="N801" i="1"/>
  <c r="O801" i="1"/>
  <c r="L292" i="1"/>
  <c r="N292" i="1"/>
  <c r="M292" i="1"/>
  <c r="O292" i="1"/>
  <c r="P292" i="1"/>
  <c r="L303" i="1"/>
  <c r="N303" i="1"/>
  <c r="O303" i="1"/>
  <c r="N304" i="1"/>
  <c r="M303" i="1"/>
  <c r="N544" i="1"/>
  <c r="P544" i="1"/>
  <c r="N510" i="1"/>
  <c r="L378" i="1"/>
  <c r="P555" i="1"/>
  <c r="L387" i="1"/>
  <c r="M387" i="1"/>
  <c r="N387" i="1"/>
  <c r="O387" i="1"/>
  <c r="P387" i="1"/>
  <c r="M569" i="1"/>
  <c r="N569" i="1"/>
  <c r="M570" i="1"/>
  <c r="N570" i="1"/>
  <c r="P570" i="1"/>
  <c r="N438" i="1"/>
  <c r="O438" i="1"/>
  <c r="L443" i="1"/>
  <c r="O443" i="1"/>
  <c r="L445" i="1"/>
  <c r="M445" i="1"/>
  <c r="N445" i="1"/>
  <c r="O445" i="1"/>
  <c r="P445" i="1"/>
  <c r="L447" i="1"/>
  <c r="M447" i="1"/>
  <c r="N447" i="1"/>
  <c r="O447" i="1"/>
  <c r="P447" i="1"/>
  <c r="N449" i="1"/>
  <c r="N452" i="1"/>
  <c r="N451" i="1" s="1"/>
  <c r="O449" i="1"/>
  <c r="L453" i="1"/>
  <c r="M453" i="1"/>
  <c r="N453" i="1"/>
  <c r="O453" i="1"/>
  <c r="P453" i="1"/>
  <c r="N455" i="1"/>
  <c r="M455" i="1"/>
  <c r="M457" i="1"/>
  <c r="O457" i="1"/>
  <c r="L457" i="1"/>
  <c r="N457" i="1"/>
  <c r="P457" i="1"/>
  <c r="L459" i="1"/>
  <c r="M459" i="1"/>
  <c r="O459" i="1"/>
  <c r="L461" i="1"/>
  <c r="M461" i="1"/>
  <c r="O461" i="1"/>
  <c r="P461" i="1"/>
  <c r="M511" i="1"/>
  <c r="O511" i="1"/>
  <c r="P511" i="1"/>
  <c r="L506" i="1"/>
  <c r="M506" i="1"/>
  <c r="N506" i="1"/>
  <c r="O506" i="1"/>
  <c r="P506" i="1"/>
  <c r="L511" i="1"/>
  <c r="N511" i="1"/>
  <c r="P523" i="1"/>
  <c r="N531" i="1"/>
  <c r="O544" i="1"/>
  <c r="M583" i="1"/>
  <c r="N583" i="1"/>
  <c r="O583" i="1"/>
  <c r="P583" i="1"/>
  <c r="L583" i="1"/>
  <c r="O599" i="1"/>
  <c r="M591" i="1"/>
  <c r="O594" i="1"/>
  <c r="P612" i="1"/>
  <c r="L605" i="1"/>
  <c r="N608" i="1"/>
  <c r="O608" i="1"/>
  <c r="L614" i="1"/>
  <c r="M631" i="1"/>
  <c r="N631" i="1"/>
  <c r="O641" i="1"/>
  <c r="L658" i="1"/>
  <c r="P651" i="1"/>
  <c r="N699" i="1"/>
  <c r="P699" i="1"/>
  <c r="L700" i="1"/>
  <c r="P671" i="1"/>
  <c r="N676" i="1"/>
  <c r="L680" i="1"/>
  <c r="O700" i="1"/>
  <c r="L684" i="1"/>
  <c r="M684" i="1"/>
  <c r="N684" i="1"/>
  <c r="O684" i="1"/>
  <c r="P684" i="1"/>
  <c r="M702" i="1"/>
  <c r="O704" i="1"/>
  <c r="P705" i="1"/>
  <c r="P710" i="1"/>
  <c r="L712" i="1"/>
  <c r="M712" i="1"/>
  <c r="N712" i="1"/>
  <c r="O712" i="1"/>
  <c r="N715" i="1"/>
  <c r="M715" i="1"/>
  <c r="O715" i="1"/>
  <c r="L723" i="1"/>
  <c r="O723" i="1"/>
  <c r="P723" i="1"/>
  <c r="P732" i="1"/>
  <c r="L739" i="1"/>
  <c r="M739" i="1"/>
  <c r="N739" i="1"/>
  <c r="O739" i="1"/>
  <c r="P739" i="1"/>
  <c r="P817" i="1"/>
  <c r="O773" i="1"/>
  <c r="M773" i="1"/>
  <c r="L775" i="1"/>
  <c r="L770" i="1" s="1"/>
  <c r="O775" i="1"/>
  <c r="O770" i="1" s="1"/>
  <c r="P775" i="1"/>
  <c r="P770" i="1" s="1"/>
  <c r="N775" i="1"/>
  <c r="N770" i="1" s="1"/>
  <c r="L777" i="1"/>
  <c r="M777" i="1"/>
  <c r="O777" i="1"/>
  <c r="P777" i="1"/>
  <c r="N777" i="1"/>
  <c r="N790" i="1"/>
  <c r="P790" i="1"/>
  <c r="L790" i="1"/>
  <c r="M790" i="1"/>
  <c r="O790" i="1"/>
  <c r="L793" i="1"/>
  <c r="M793" i="1"/>
  <c r="N793" i="1"/>
  <c r="O793" i="1"/>
  <c r="O794" i="1"/>
  <c r="L796" i="1"/>
  <c r="M796" i="1"/>
  <c r="N796" i="1"/>
  <c r="L797" i="1"/>
  <c r="M798" i="1"/>
  <c r="L803" i="1"/>
  <c r="M803" i="1"/>
  <c r="N803" i="1"/>
  <c r="O803" i="1"/>
  <c r="P803" i="1"/>
  <c r="L805" i="1"/>
  <c r="M805" i="1"/>
  <c r="N805" i="1"/>
  <c r="O805" i="1"/>
  <c r="P805" i="1"/>
  <c r="L808" i="1"/>
  <c r="L810" i="1" s="1"/>
  <c r="M808" i="1"/>
  <c r="N808" i="1"/>
  <c r="N810" i="1" s="1"/>
  <c r="O808" i="1"/>
  <c r="O810" i="1" s="1"/>
  <c r="P808" i="1"/>
  <c r="L812" i="1"/>
  <c r="O812" i="1"/>
  <c r="P812" i="1"/>
  <c r="M812" i="1"/>
  <c r="N812" i="1"/>
  <c r="L814" i="1"/>
  <c r="L881" i="1" s="1"/>
  <c r="M814" i="1"/>
  <c r="M881" i="1" s="1"/>
  <c r="N814" i="1"/>
  <c r="N881" i="1" s="1"/>
  <c r="P814" i="1"/>
  <c r="O814" i="1"/>
  <c r="N817" i="1"/>
  <c r="L819" i="1"/>
  <c r="N819" i="1"/>
  <c r="L830" i="1"/>
  <c r="M830" i="1"/>
  <c r="N830" i="1"/>
  <c r="O830" i="1"/>
  <c r="P830" i="1"/>
  <c r="L832" i="1"/>
  <c r="O832" i="1"/>
  <c r="P832" i="1"/>
  <c r="N844" i="1"/>
  <c r="L844" i="1"/>
  <c r="M844" i="1"/>
  <c r="O844" i="1"/>
  <c r="O846" i="1"/>
  <c r="L846" i="1"/>
  <c r="M878" i="1"/>
  <c r="N846" i="1"/>
  <c r="L848" i="1"/>
  <c r="M848" i="1"/>
  <c r="N848" i="1"/>
  <c r="O848" i="1"/>
  <c r="P848" i="1"/>
  <c r="M850" i="1"/>
  <c r="L850" i="1"/>
  <c r="O850" i="1"/>
  <c r="P850" i="1"/>
  <c r="L852" i="1"/>
  <c r="M852" i="1"/>
  <c r="N852" i="1"/>
  <c r="L854" i="1"/>
  <c r="M854" i="1"/>
  <c r="N854" i="1"/>
  <c r="O854" i="1"/>
  <c r="P854" i="1"/>
  <c r="M860" i="1"/>
  <c r="P860" i="1"/>
  <c r="M866" i="1"/>
  <c r="N866" i="1"/>
  <c r="N889" i="1"/>
  <c r="L891" i="1"/>
  <c r="P889" i="1"/>
  <c r="N891" i="1"/>
  <c r="L892" i="1"/>
  <c r="M892" i="1"/>
  <c r="N892" i="1"/>
  <c r="O892" i="1"/>
  <c r="P892" i="1"/>
  <c r="L960" i="1"/>
  <c r="L912" i="1"/>
  <c r="N912" i="1"/>
  <c r="N967" i="1" s="1"/>
  <c r="P912" i="1"/>
  <c r="L911" i="1"/>
  <c r="L913" i="1"/>
  <c r="M913" i="1"/>
  <c r="N913" i="1"/>
  <c r="O913" i="1"/>
  <c r="P913" i="1"/>
  <c r="P968" i="1" s="1"/>
  <c r="L915" i="1"/>
  <c r="M915" i="1"/>
  <c r="N915" i="1"/>
  <c r="O915" i="1"/>
  <c r="P915" i="1"/>
  <c r="M917" i="1"/>
  <c r="O917" i="1"/>
  <c r="P917" i="1"/>
  <c r="O921" i="1"/>
  <c r="L921" i="1"/>
  <c r="M921" i="1"/>
  <c r="N921" i="1"/>
  <c r="P921" i="1"/>
  <c r="P920" i="1" s="1"/>
  <c r="N927" i="1"/>
  <c r="O927" i="1"/>
  <c r="L956" i="1"/>
  <c r="N957" i="1"/>
  <c r="O957" i="1"/>
  <c r="N931" i="1"/>
  <c r="O931" i="1"/>
  <c r="L931" i="1"/>
  <c r="M931" i="1"/>
  <c r="P931" i="1"/>
  <c r="N960" i="1"/>
  <c r="O960" i="1"/>
  <c r="L937" i="1"/>
  <c r="N937" i="1"/>
  <c r="P937" i="1"/>
  <c r="L945" i="1"/>
  <c r="M945" i="1"/>
  <c r="N945" i="1"/>
  <c r="O945" i="1"/>
  <c r="P945" i="1"/>
  <c r="L947" i="1"/>
  <c r="M947" i="1"/>
  <c r="P947" i="1"/>
  <c r="L949" i="1"/>
  <c r="N949" i="1"/>
  <c r="L951" i="1"/>
  <c r="N951" i="1"/>
  <c r="O951" i="1"/>
  <c r="L971" i="1"/>
  <c r="M951" i="1"/>
  <c r="O971" i="1"/>
  <c r="P951" i="1"/>
  <c r="M957" i="1"/>
  <c r="P957" i="1"/>
  <c r="N961" i="1"/>
  <c r="N971" i="1"/>
  <c r="P971" i="1"/>
  <c r="L977" i="1"/>
  <c r="L1111" i="1"/>
  <c r="O990" i="1"/>
  <c r="P990" i="1"/>
  <c r="M994" i="1"/>
  <c r="M1014" i="1"/>
  <c r="L1016" i="1"/>
  <c r="L1017" i="1" s="1"/>
  <c r="M1016" i="1"/>
  <c r="M1017" i="1" s="1"/>
  <c r="M1114" i="1" s="1"/>
  <c r="N1016" i="1"/>
  <c r="N1017" i="1" s="1"/>
  <c r="N1114" i="1" s="1"/>
  <c r="O1016" i="1"/>
  <c r="O1017" i="1" s="1"/>
  <c r="O1114" i="1" s="1"/>
  <c r="P1016" i="1"/>
  <c r="P1017" i="1" s="1"/>
  <c r="N1023" i="1"/>
  <c r="P1023" i="1"/>
  <c r="M1026" i="1"/>
  <c r="O1026" i="1"/>
  <c r="P1026" i="1"/>
  <c r="L1028" i="1"/>
  <c r="M1028" i="1"/>
  <c r="N1028" i="1"/>
  <c r="O1028" i="1"/>
  <c r="P1028" i="1"/>
  <c r="L1031" i="1"/>
  <c r="M1031" i="1"/>
  <c r="N1031" i="1"/>
  <c r="O1031" i="1"/>
  <c r="P1031" i="1"/>
  <c r="L1038" i="1"/>
  <c r="M1038" i="1"/>
  <c r="N1038" i="1"/>
  <c r="O1038" i="1"/>
  <c r="P1038" i="1"/>
  <c r="L1040" i="1"/>
  <c r="M1040" i="1"/>
  <c r="N1040" i="1"/>
  <c r="O1040" i="1"/>
  <c r="P1040" i="1"/>
  <c r="N1044" i="1"/>
  <c r="P1045" i="1"/>
  <c r="P1057" i="1"/>
  <c r="O1124" i="1"/>
  <c r="L1060" i="1"/>
  <c r="M1086" i="1"/>
  <c r="P1062" i="1"/>
  <c r="L1112" i="1"/>
  <c r="M1062" i="1"/>
  <c r="M1065" i="1"/>
  <c r="N1065" i="1"/>
  <c r="O1065" i="1"/>
  <c r="O1072" i="1"/>
  <c r="O1098" i="1" s="1"/>
  <c r="O1073" i="1"/>
  <c r="L1073" i="1"/>
  <c r="P1073" i="1"/>
  <c r="O1075" i="1"/>
  <c r="M1075" i="1"/>
  <c r="N1075" i="1"/>
  <c r="O1101" i="1"/>
  <c r="P1075" i="1"/>
  <c r="L1077" i="1"/>
  <c r="M1103" i="1"/>
  <c r="N1077" i="1"/>
  <c r="P1077" i="1"/>
  <c r="L1105" i="1"/>
  <c r="P1079" i="1"/>
  <c r="M1127" i="1"/>
  <c r="P1103" i="1"/>
  <c r="M1112" i="1"/>
  <c r="M1120" i="1"/>
  <c r="P1122" i="1"/>
  <c r="M1125" i="1"/>
  <c r="O1127" i="1"/>
  <c r="P1127" i="1"/>
  <c r="O1268" i="1"/>
  <c r="M1269" i="1"/>
  <c r="L1273" i="1"/>
  <c r="O1274" i="1"/>
  <c r="O1285" i="1"/>
  <c r="M1288" i="1"/>
  <c r="L1303" i="1"/>
  <c r="N1303" i="1"/>
  <c r="N1265" i="1"/>
  <c r="M1267" i="1"/>
  <c r="N1267" i="1"/>
  <c r="O1267" i="1"/>
  <c r="M1268" i="1"/>
  <c r="N1270" i="1"/>
  <c r="M1271" i="1"/>
  <c r="N1271" i="1"/>
  <c r="O1271" i="1"/>
  <c r="P1271" i="1"/>
  <c r="M1272" i="1"/>
  <c r="L1275" i="1"/>
  <c r="N1275" i="1"/>
  <c r="L1277" i="1"/>
  <c r="P1278" i="1"/>
  <c r="O1279" i="1"/>
  <c r="P1280" i="1"/>
  <c r="M1283" i="1"/>
  <c r="N1283" i="1"/>
  <c r="O1284" i="1"/>
  <c r="P1284" i="1"/>
  <c r="L1285" i="1"/>
  <c r="M1285" i="1"/>
  <c r="N1285" i="1"/>
  <c r="P1285" i="1"/>
  <c r="L1286" i="1"/>
  <c r="O1286" i="1"/>
  <c r="O1287" i="1"/>
  <c r="P1288" i="1"/>
  <c r="L1289" i="1"/>
  <c r="M1289" i="1"/>
  <c r="M1291" i="1"/>
  <c r="P1292" i="1"/>
  <c r="L1293" i="1"/>
  <c r="M1293" i="1"/>
  <c r="M1294" i="1"/>
  <c r="O1294" i="1"/>
  <c r="P1294" i="1"/>
  <c r="P1297" i="1"/>
  <c r="L1300" i="1"/>
  <c r="M1300" i="1"/>
  <c r="N1300" i="1"/>
  <c r="N1302" i="1"/>
  <c r="P1302" i="1"/>
  <c r="L1304" i="1"/>
  <c r="M1304" i="1"/>
  <c r="N1304" i="1"/>
  <c r="O1304" i="1"/>
  <c r="N1307" i="1"/>
  <c r="N1308" i="1"/>
  <c r="P1308" i="1"/>
  <c r="O1309" i="1"/>
  <c r="O1311" i="1"/>
  <c r="L1312" i="1"/>
  <c r="O1312" i="1"/>
  <c r="P1312" i="1"/>
  <c r="L1313" i="1"/>
  <c r="M1313" i="1"/>
  <c r="O1313" i="1"/>
  <c r="N1295" i="1"/>
  <c r="L1298" i="1"/>
  <c r="N1298" i="1"/>
  <c r="N1301" i="1"/>
  <c r="M1379" i="1"/>
  <c r="L1384" i="1"/>
  <c r="O1384" i="1"/>
  <c r="M1390" i="1"/>
  <c r="N1376" i="1"/>
  <c r="O1377" i="1"/>
  <c r="O1378" i="1"/>
  <c r="L1380" i="1"/>
  <c r="P1380" i="1"/>
  <c r="P1381" i="1"/>
  <c r="P1382" i="1"/>
  <c r="L1383" i="1"/>
  <c r="N1383" i="1"/>
  <c r="M1386" i="1"/>
  <c r="N1386" i="1"/>
  <c r="N1390" i="1"/>
  <c r="O1390" i="1"/>
  <c r="P1390" i="1"/>
  <c r="M1391" i="1"/>
  <c r="L1392" i="1"/>
  <c r="N1392" i="1"/>
  <c r="L1393" i="1"/>
  <c r="L1396" i="1"/>
  <c r="M1397" i="1"/>
  <c r="N1397" i="1"/>
  <c r="O1397" i="1"/>
  <c r="P1397" i="1"/>
  <c r="P1398" i="1"/>
  <c r="P1475" i="1"/>
  <c r="N1481" i="1"/>
  <c r="M1461" i="1"/>
  <c r="N1461" i="1"/>
  <c r="O1461" i="1"/>
  <c r="N1462" i="1"/>
  <c r="O1465" i="1"/>
  <c r="L1466" i="1"/>
  <c r="P1466" i="1"/>
  <c r="M1467" i="1"/>
  <c r="P1469" i="1"/>
  <c r="M1470" i="1"/>
  <c r="O1470" i="1"/>
  <c r="O1471" i="1"/>
  <c r="N1473" i="1"/>
  <c r="L1474" i="1"/>
  <c r="O1474" i="1"/>
  <c r="M1475" i="1"/>
  <c r="N1475" i="1"/>
  <c r="M1476" i="1"/>
  <c r="N1476" i="1"/>
  <c r="O1476" i="1"/>
  <c r="P1476" i="1"/>
  <c r="P1478" i="1"/>
  <c r="M1479" i="1"/>
  <c r="P1479" i="1"/>
  <c r="N1480" i="1"/>
  <c r="P1480" i="1"/>
  <c r="P1481" i="1"/>
  <c r="L1482" i="1"/>
  <c r="N1463" i="1"/>
  <c r="O1479" i="1"/>
  <c r="L1484" i="1"/>
  <c r="L1483" i="1" s="1"/>
  <c r="M1484" i="1"/>
  <c r="M1483" i="1" s="1"/>
  <c r="N1484" i="1"/>
  <c r="N1483" i="1" s="1"/>
  <c r="O1484" i="1"/>
  <c r="O1483" i="1" s="1"/>
  <c r="P1484" i="1"/>
  <c r="P1483" i="1" s="1"/>
  <c r="L1486" i="1"/>
  <c r="N1486" i="1"/>
  <c r="P1486" i="1"/>
  <c r="L1491" i="1"/>
  <c r="L1490" i="1" s="1"/>
  <c r="M1491" i="1"/>
  <c r="M1490" i="1" s="1"/>
  <c r="N1491" i="1"/>
  <c r="N1490" i="1" s="1"/>
  <c r="O1491" i="1"/>
  <c r="O1490" i="1" s="1"/>
  <c r="L1493" i="1"/>
  <c r="P1493" i="1"/>
  <c r="P1537" i="1"/>
  <c r="L1538" i="1"/>
  <c r="N1539" i="1"/>
  <c r="M1508" i="1"/>
  <c r="N1543" i="1"/>
  <c r="L1535" i="1"/>
  <c r="O1536" i="1"/>
  <c r="O1538" i="1"/>
  <c r="L1540" i="1"/>
  <c r="N1540" i="1"/>
  <c r="O1540" i="1"/>
  <c r="P1540" i="1"/>
  <c r="O1543" i="1"/>
  <c r="M1544" i="1"/>
  <c r="O1544" i="1"/>
  <c r="O1545" i="1"/>
  <c r="P1545" i="1"/>
  <c r="L1550" i="1"/>
  <c r="M1550" i="1"/>
  <c r="O1550" i="1"/>
  <c r="P1550" i="1"/>
  <c r="L1567" i="1"/>
  <c r="M1567" i="1"/>
  <c r="O1567" i="1"/>
  <c r="P1567" i="1"/>
  <c r="M1585" i="1"/>
  <c r="O1585" i="1"/>
  <c r="P1585" i="1"/>
  <c r="O1588" i="1"/>
  <c r="M1589" i="1"/>
  <c r="P1592" i="1"/>
  <c r="L1594" i="1"/>
  <c r="N1594" i="1"/>
  <c r="N1597" i="1"/>
  <c r="L1597" i="1"/>
  <c r="O1597" i="1"/>
  <c r="P1597" i="1"/>
  <c r="L1614" i="1"/>
  <c r="M1614" i="1"/>
  <c r="N1614" i="1"/>
  <c r="O1614" i="1"/>
  <c r="P1631" i="1"/>
  <c r="L1634" i="1"/>
  <c r="M1634" i="1"/>
  <c r="L1635" i="1"/>
  <c r="N1635" i="1"/>
  <c r="P1635" i="1"/>
  <c r="O1636" i="1"/>
  <c r="M1637" i="1"/>
  <c r="O1637" i="1"/>
  <c r="P1637" i="1"/>
  <c r="O1638" i="1"/>
  <c r="N1682" i="1"/>
  <c r="M1649" i="1"/>
  <c r="N1649" i="1"/>
  <c r="O1649" i="1"/>
  <c r="P1649" i="1"/>
  <c r="L1687" i="1"/>
  <c r="L1679" i="1"/>
  <c r="N1679" i="1"/>
  <c r="L1680" i="1"/>
  <c r="O1680" i="1"/>
  <c r="P1680" i="1"/>
  <c r="M1681" i="1"/>
  <c r="L1683" i="1"/>
  <c r="M1683" i="1"/>
  <c r="N1683" i="1"/>
  <c r="O1683" i="1"/>
  <c r="P1683" i="1"/>
  <c r="O1684" i="1"/>
  <c r="L1685" i="1"/>
  <c r="P1685" i="1"/>
  <c r="M1687" i="1"/>
  <c r="M1710" i="1"/>
  <c r="O1710" i="1"/>
  <c r="L1702" i="1"/>
  <c r="N1707" i="1"/>
  <c r="L1712" i="1"/>
  <c r="M1712" i="1"/>
  <c r="N1712" i="1"/>
  <c r="O1712" i="1"/>
  <c r="P1712" i="1"/>
  <c r="L1715" i="1"/>
  <c r="M1715" i="1"/>
  <c r="N1715" i="1"/>
  <c r="O1715" i="1"/>
  <c r="P1715" i="1"/>
  <c r="M1716" i="1"/>
  <c r="N1716" i="1"/>
  <c r="O1717" i="1"/>
  <c r="P1717" i="1"/>
  <c r="L1718" i="1"/>
  <c r="M1718" i="1"/>
  <c r="N1718" i="1"/>
  <c r="O1718" i="1"/>
  <c r="P1718" i="1"/>
  <c r="L1719" i="1"/>
  <c r="O1719" i="1"/>
  <c r="P1719" i="1"/>
  <c r="M1721" i="1"/>
  <c r="O1721" i="1"/>
  <c r="L1722" i="1"/>
  <c r="M1722" i="1"/>
  <c r="N1722" i="1"/>
  <c r="O1722" i="1"/>
  <c r="M1732" i="1"/>
  <c r="N1732" i="1"/>
  <c r="O1732" i="1"/>
  <c r="P1732" i="1"/>
  <c r="L1733" i="1"/>
  <c r="M1733" i="1"/>
  <c r="N1733" i="1"/>
  <c r="O1733" i="1"/>
  <c r="P1733" i="1"/>
  <c r="L1734" i="1"/>
  <c r="M1734" i="1"/>
  <c r="N1734" i="1"/>
  <c r="O1734" i="1"/>
  <c r="P1734" i="1"/>
  <c r="L1739" i="1"/>
  <c r="M1739" i="1"/>
  <c r="N1739" i="1"/>
  <c r="P1739" i="1"/>
  <c r="L1741" i="1"/>
  <c r="M1741" i="1"/>
  <c r="O1741" i="1"/>
  <c r="P1741" i="1"/>
  <c r="L1743" i="1"/>
  <c r="P1743" i="1"/>
  <c r="L1744" i="1"/>
  <c r="O1744" i="1"/>
  <c r="P1744" i="1"/>
  <c r="L1745" i="1"/>
  <c r="N1745" i="1"/>
  <c r="O1745" i="1"/>
  <c r="P1745" i="1"/>
  <c r="L1746" i="1"/>
  <c r="M1746" i="1"/>
  <c r="N1746" i="1"/>
  <c r="O1746" i="1"/>
  <c r="P1746" i="1"/>
  <c r="L1748" i="1"/>
  <c r="M1748" i="1"/>
  <c r="N1748" i="1"/>
  <c r="O1748" i="1"/>
  <c r="L1749" i="1"/>
  <c r="M1749" i="1"/>
  <c r="N1749" i="1"/>
  <c r="O1749" i="1"/>
  <c r="P1749" i="1"/>
  <c r="M1750" i="1"/>
  <c r="N1750" i="1"/>
  <c r="O1750" i="1"/>
  <c r="N1752" i="1"/>
  <c r="O1752" i="1"/>
  <c r="P1752" i="1"/>
  <c r="L1753" i="1"/>
  <c r="M1753" i="1"/>
  <c r="N1753" i="1"/>
  <c r="O1753" i="1"/>
  <c r="P1753" i="1"/>
  <c r="L1754" i="1"/>
  <c r="M1754" i="1"/>
  <c r="N1754" i="1"/>
  <c r="O1754" i="1"/>
  <c r="P1754" i="1"/>
  <c r="L1755" i="1"/>
  <c r="M1755" i="1"/>
  <c r="N1755" i="1"/>
  <c r="O1755" i="1"/>
  <c r="P1755" i="1"/>
  <c r="M1757" i="1"/>
  <c r="N1757" i="1"/>
  <c r="O1757" i="1"/>
  <c r="L1758" i="1"/>
  <c r="M1758" i="1"/>
  <c r="N1758" i="1"/>
  <c r="O1758" i="1"/>
  <c r="P1758" i="1"/>
  <c r="L1760" i="1"/>
  <c r="M1760" i="1"/>
  <c r="N1760" i="1"/>
  <c r="O1760" i="1"/>
  <c r="P1760" i="1"/>
  <c r="L1762" i="1"/>
  <c r="N1762" i="1"/>
  <c r="P1762" i="1"/>
  <c r="P1766" i="1"/>
  <c r="P1770" i="1"/>
  <c r="M1801" i="1"/>
  <c r="P1801" i="1"/>
  <c r="L1801" i="1"/>
  <c r="N1801" i="1"/>
  <c r="O1801" i="1"/>
  <c r="L1810" i="1"/>
  <c r="M1810" i="1"/>
  <c r="O1810" i="1"/>
  <c r="P1810" i="1"/>
  <c r="N1810" i="1"/>
  <c r="L1828" i="1"/>
  <c r="M1828" i="1"/>
  <c r="N1828" i="1"/>
  <c r="O1828" i="1"/>
  <c r="P1828" i="1"/>
  <c r="L1830" i="1"/>
  <c r="L1833" i="1"/>
  <c r="M1833" i="1"/>
  <c r="N1833" i="1"/>
  <c r="O1833" i="1"/>
  <c r="P1833" i="1"/>
  <c r="L1835" i="1"/>
  <c r="M1835" i="1"/>
  <c r="N1835" i="1"/>
  <c r="O1835" i="1"/>
  <c r="P1835" i="1"/>
  <c r="L1837" i="1"/>
  <c r="M1837" i="1"/>
  <c r="N1837" i="1"/>
  <c r="O1837" i="1"/>
  <c r="P1837" i="1"/>
  <c r="L1839" i="1"/>
  <c r="M1839" i="1"/>
  <c r="N1839" i="1"/>
  <c r="O1839" i="1"/>
  <c r="P1839" i="1"/>
  <c r="L1841" i="1"/>
  <c r="M1841" i="1"/>
  <c r="N1841" i="1"/>
  <c r="O1841" i="1"/>
  <c r="P1841" i="1"/>
  <c r="L1847" i="1"/>
  <c r="M1847" i="1"/>
  <c r="N1847" i="1"/>
  <c r="O1847" i="1"/>
  <c r="P1847" i="1"/>
  <c r="P1849" i="1"/>
  <c r="L1852" i="1"/>
  <c r="M1852" i="1"/>
  <c r="N1852" i="1"/>
  <c r="O1852" i="1"/>
  <c r="P1852" i="1"/>
  <c r="L1854" i="1"/>
  <c r="M1854" i="1"/>
  <c r="N1854" i="1"/>
  <c r="O1854" i="1"/>
  <c r="P1854" i="1"/>
  <c r="L1856" i="1"/>
  <c r="M1856" i="1"/>
  <c r="N1856" i="1"/>
  <c r="O1856" i="1"/>
  <c r="P1856" i="1"/>
  <c r="L1858" i="1"/>
  <c r="M1858" i="1"/>
  <c r="N1858" i="1"/>
  <c r="O1858" i="1"/>
  <c r="P1858" i="1"/>
  <c r="L1860" i="1"/>
  <c r="M1860" i="1"/>
  <c r="N1860" i="1"/>
  <c r="O1860" i="1"/>
  <c r="P1860" i="1"/>
  <c r="M1863" i="1"/>
  <c r="N1863" i="1"/>
  <c r="M1866" i="1"/>
  <c r="O1869" i="1"/>
  <c r="P1869" i="1"/>
  <c r="L1873" i="1"/>
  <c r="M1873" i="1"/>
  <c r="N1873" i="1"/>
  <c r="O1873" i="1"/>
  <c r="P1873" i="1"/>
  <c r="L1875" i="1"/>
  <c r="M1875" i="1"/>
  <c r="N1875" i="1"/>
  <c r="O1875" i="1"/>
  <c r="P1875" i="1"/>
  <c r="L1877" i="1"/>
  <c r="M1877" i="1"/>
  <c r="N1877" i="1"/>
  <c r="O1877" i="1"/>
  <c r="P1877" i="1"/>
  <c r="L1879" i="1"/>
  <c r="M1879" i="1"/>
  <c r="N1879" i="1"/>
  <c r="O1879" i="1"/>
  <c r="P1879" i="1"/>
  <c r="L1881" i="1"/>
  <c r="M1881" i="1"/>
  <c r="N1881" i="1"/>
  <c r="O1881" i="1"/>
  <c r="P1881" i="1"/>
  <c r="L1883" i="1"/>
  <c r="M1883" i="1"/>
  <c r="N1883" i="1"/>
  <c r="O1883" i="1"/>
  <c r="P1883" i="1"/>
  <c r="M1886" i="1"/>
  <c r="L1889" i="1"/>
  <c r="M1889" i="1"/>
  <c r="N1889" i="1"/>
  <c r="O1889" i="1"/>
  <c r="P1889" i="1"/>
  <c r="P1891" i="1"/>
  <c r="L1895" i="1"/>
  <c r="M1895" i="1"/>
  <c r="N1895" i="1"/>
  <c r="O1895" i="1"/>
  <c r="P1895" i="1"/>
  <c r="L1897" i="1"/>
  <c r="M1897" i="1"/>
  <c r="N1897" i="1"/>
  <c r="O1897" i="1"/>
  <c r="P1897" i="1"/>
  <c r="L1899" i="1"/>
  <c r="M1899" i="1"/>
  <c r="N1899" i="1"/>
  <c r="O1899" i="1"/>
  <c r="P1899" i="1"/>
  <c r="L1901" i="1"/>
  <c r="M1901" i="1"/>
  <c r="N1901" i="1"/>
  <c r="O1901" i="1"/>
  <c r="P1901" i="1"/>
  <c r="L2027" i="1"/>
  <c r="M2027" i="1"/>
  <c r="N2027" i="1"/>
  <c r="O2027" i="1"/>
  <c r="P2027" i="1"/>
  <c r="L2030" i="1"/>
  <c r="M2030" i="1"/>
  <c r="N2030" i="1"/>
  <c r="O2030" i="1"/>
  <c r="P2030" i="1"/>
  <c r="L2051" i="1"/>
  <c r="M2051" i="1"/>
  <c r="N2051" i="1"/>
  <c r="O2051" i="1"/>
  <c r="P2051" i="1"/>
  <c r="L2092" i="1"/>
  <c r="M2092" i="1"/>
  <c r="N2092" i="1"/>
  <c r="O2092" i="1"/>
  <c r="P2092" i="1"/>
  <c r="L2101" i="1"/>
  <c r="M2101" i="1"/>
  <c r="N2101" i="1"/>
  <c r="O2101" i="1"/>
  <c r="P2101" i="1"/>
  <c r="O2102" i="1"/>
  <c r="N2102" i="1"/>
  <c r="L2238" i="1"/>
  <c r="M2238" i="1"/>
  <c r="N2238" i="1"/>
  <c r="O2238" i="1"/>
  <c r="P2238" i="1"/>
  <c r="L2240" i="1"/>
  <c r="M2240" i="1"/>
  <c r="N2240" i="1"/>
  <c r="O2240" i="1"/>
  <c r="L2243" i="1"/>
  <c r="M2243" i="1"/>
  <c r="N2243" i="1"/>
  <c r="O2243" i="1"/>
  <c r="P2243" i="1"/>
  <c r="L2245" i="1"/>
  <c r="M2245" i="1"/>
  <c r="N2245" i="1"/>
  <c r="O2245" i="1"/>
  <c r="P2245" i="1"/>
  <c r="L2247" i="1"/>
  <c r="M2247" i="1"/>
  <c r="N2247" i="1"/>
  <c r="O2247" i="1"/>
  <c r="P2247" i="1"/>
  <c r="L2249" i="1"/>
  <c r="M2249" i="1"/>
  <c r="N2249" i="1"/>
  <c r="O2249" i="1"/>
  <c r="P2249" i="1"/>
  <c r="L2251" i="1"/>
  <c r="M2251" i="1"/>
  <c r="N2251" i="1"/>
  <c r="O2251" i="1"/>
  <c r="P2251" i="1"/>
  <c r="L2257" i="1"/>
  <c r="M2257" i="1"/>
  <c r="N2257" i="1"/>
  <c r="O2257" i="1"/>
  <c r="P2257" i="1"/>
  <c r="L2259" i="1"/>
  <c r="N2262" i="1"/>
  <c r="L2262" i="1"/>
  <c r="M2262" i="1"/>
  <c r="O2262" i="1"/>
  <c r="P2262" i="1"/>
  <c r="L2264" i="1"/>
  <c r="M2264" i="1"/>
  <c r="N2264" i="1"/>
  <c r="O2264" i="1"/>
  <c r="P2264" i="1"/>
  <c r="P2266" i="1"/>
  <c r="L2266" i="1"/>
  <c r="M2266" i="1"/>
  <c r="N2266" i="1"/>
  <c r="O2266" i="1"/>
  <c r="L2268" i="1"/>
  <c r="M2268" i="1"/>
  <c r="N2268" i="1"/>
  <c r="O2268" i="1"/>
  <c r="P2268" i="1"/>
  <c r="L2270" i="1"/>
  <c r="M2270" i="1"/>
  <c r="N2270" i="1"/>
  <c r="O2270" i="1"/>
  <c r="P2270" i="1"/>
  <c r="M2273" i="1"/>
  <c r="L2283" i="1"/>
  <c r="M2283" i="1"/>
  <c r="N2283" i="1"/>
  <c r="O2283" i="1"/>
  <c r="P2283" i="1"/>
  <c r="L2285" i="1"/>
  <c r="M2285" i="1"/>
  <c r="N2285" i="1"/>
  <c r="O2285" i="1"/>
  <c r="P2285" i="1"/>
  <c r="L2287" i="1"/>
  <c r="M2287" i="1"/>
  <c r="N2287" i="1"/>
  <c r="O2287" i="1"/>
  <c r="P2287" i="1"/>
  <c r="L2289" i="1"/>
  <c r="M2289" i="1"/>
  <c r="N2289" i="1"/>
  <c r="O2289" i="1"/>
  <c r="P2289" i="1"/>
  <c r="L2291" i="1"/>
  <c r="M2291" i="1"/>
  <c r="N2291" i="1"/>
  <c r="O2291" i="1"/>
  <c r="P2291" i="1"/>
  <c r="L2293" i="1"/>
  <c r="M2293" i="1"/>
  <c r="N2293" i="1"/>
  <c r="O2293" i="1"/>
  <c r="P2293" i="1"/>
  <c r="P2296" i="1"/>
  <c r="L2299" i="1"/>
  <c r="M2299" i="1"/>
  <c r="N2299" i="1"/>
  <c r="O2299" i="1"/>
  <c r="P2299" i="1"/>
  <c r="L2305" i="1"/>
  <c r="M2305" i="1"/>
  <c r="N2305" i="1"/>
  <c r="O2305" i="1"/>
  <c r="P2305" i="1"/>
  <c r="L2307" i="1"/>
  <c r="M2307" i="1"/>
  <c r="N2307" i="1"/>
  <c r="O2307" i="1"/>
  <c r="P2307" i="1"/>
  <c r="L2309" i="1"/>
  <c r="M2309" i="1"/>
  <c r="N2309" i="1"/>
  <c r="O2309" i="1"/>
  <c r="P2309" i="1"/>
  <c r="L2311" i="1"/>
  <c r="M2311" i="1"/>
  <c r="N2311" i="1"/>
  <c r="O2311" i="1"/>
  <c r="P2311" i="1"/>
  <c r="L2318" i="1"/>
  <c r="M2318" i="1"/>
  <c r="N2318" i="1"/>
  <c r="O2318" i="1"/>
  <c r="P2318" i="1"/>
  <c r="L2321" i="1"/>
  <c r="M2321" i="1"/>
  <c r="N2321" i="1"/>
  <c r="O2321" i="1"/>
  <c r="P2321" i="1"/>
  <c r="O47" i="1"/>
  <c r="M769" i="1" l="1"/>
  <c r="M861" i="1" s="1"/>
  <c r="M106" i="1"/>
  <c r="F902" i="1"/>
  <c r="F899" i="1"/>
  <c r="F903" i="1"/>
  <c r="M2061" i="1"/>
  <c r="I104" i="1"/>
  <c r="G109" i="1"/>
  <c r="N2235" i="1"/>
  <c r="L1633" i="1"/>
  <c r="G100" i="1"/>
  <c r="I109" i="1"/>
  <c r="Q987" i="1"/>
  <c r="Q986" i="1" s="1"/>
  <c r="H100" i="1"/>
  <c r="P2276" i="1"/>
  <c r="P2272" i="1" s="1"/>
  <c r="L2235" i="1"/>
  <c r="L2234" i="1" s="1"/>
  <c r="L2233" i="1" s="1"/>
  <c r="G104" i="1"/>
  <c r="I100" i="1"/>
  <c r="G105" i="1"/>
  <c r="H109" i="1"/>
  <c r="Q587" i="1"/>
  <c r="Q586" i="1" s="1"/>
  <c r="H105" i="1"/>
  <c r="I105" i="1"/>
  <c r="G110" i="1"/>
  <c r="P1678" i="1"/>
  <c r="I99" i="1"/>
  <c r="Q977" i="1"/>
  <c r="Q1052" i="1"/>
  <c r="Q1049" i="1" s="1"/>
  <c r="Q1050" i="1" s="1"/>
  <c r="Q598" i="1"/>
  <c r="G101" i="1"/>
  <c r="I110" i="1"/>
  <c r="P2273" i="1"/>
  <c r="H103" i="1"/>
  <c r="H101" i="1"/>
  <c r="Q1866" i="1"/>
  <c r="Q700" i="1"/>
  <c r="I101" i="1"/>
  <c r="Q281" i="1"/>
  <c r="Q907" i="1"/>
  <c r="Q939" i="1" s="1"/>
  <c r="Q962" i="1" s="1"/>
  <c r="Q940" i="1"/>
  <c r="Q963" i="1" s="1"/>
  <c r="H99" i="1"/>
  <c r="H113" i="1"/>
  <c r="G102" i="1"/>
  <c r="H102" i="1"/>
  <c r="Q1038" i="1"/>
  <c r="Q1037" i="1" s="1"/>
  <c r="Q1122" i="1"/>
  <c r="H104" i="1"/>
  <c r="N2094" i="1"/>
  <c r="H107" i="1"/>
  <c r="N2296" i="1"/>
  <c r="O2273" i="1"/>
  <c r="Q1466" i="1"/>
  <c r="Q339" i="1"/>
  <c r="I106" i="1"/>
  <c r="Q1028" i="1"/>
  <c r="Q1133" i="1"/>
  <c r="L2102" i="1"/>
  <c r="G108" i="1"/>
  <c r="L2315" i="1"/>
  <c r="G99" i="1"/>
  <c r="L1291" i="1"/>
  <c r="O1281" i="1"/>
  <c r="Q1476" i="1"/>
  <c r="Q1460" i="1"/>
  <c r="Q1289" i="1"/>
  <c r="M1770" i="1"/>
  <c r="O1685" i="1"/>
  <c r="L1681" i="1"/>
  <c r="L1637" i="1"/>
  <c r="M1088" i="1"/>
  <c r="Q1886" i="1"/>
  <c r="Q1310" i="1"/>
  <c r="Q1266" i="1"/>
  <c r="Q1300" i="1"/>
  <c r="Q196" i="1"/>
  <c r="Q193" i="1" s="1"/>
  <c r="Q551" i="1"/>
  <c r="P1461" i="1"/>
  <c r="L1388" i="1"/>
  <c r="L1322" i="1"/>
  <c r="O1290" i="1"/>
  <c r="N900" i="1"/>
  <c r="L536" i="1"/>
  <c r="Q937" i="1"/>
  <c r="Q860" i="1"/>
  <c r="N1466" i="1"/>
  <c r="N1290" i="1"/>
  <c r="N1276" i="1"/>
  <c r="L1288" i="1"/>
  <c r="N1033" i="1"/>
  <c r="N1034" i="1" s="1"/>
  <c r="M605" i="1"/>
  <c r="P367" i="1"/>
  <c r="M184" i="1"/>
  <c r="Q1384" i="1"/>
  <c r="Q1287" i="1"/>
  <c r="Q900" i="1"/>
  <c r="L1815" i="1"/>
  <c r="L1632" i="1"/>
  <c r="M1471" i="1"/>
  <c r="O1387" i="1"/>
  <c r="P1377" i="1"/>
  <c r="O1322" i="1"/>
  <c r="L1295" i="1"/>
  <c r="M1290" i="1"/>
  <c r="M1152" i="1"/>
  <c r="O1265" i="1"/>
  <c r="L1075" i="1"/>
  <c r="N1127" i="1"/>
  <c r="L717" i="1"/>
  <c r="M676" i="1"/>
  <c r="L909" i="1"/>
  <c r="O219" i="1"/>
  <c r="Q1849" i="1"/>
  <c r="Q1541" i="1"/>
  <c r="Q1464" i="1"/>
  <c r="Q1383" i="1"/>
  <c r="Q960" i="1"/>
  <c r="Q705" i="1"/>
  <c r="Q442" i="1"/>
  <c r="Q441" i="1" s="1"/>
  <c r="Q183" i="1"/>
  <c r="M1702" i="1"/>
  <c r="M1636" i="1"/>
  <c r="P1535" i="1"/>
  <c r="M1307" i="1"/>
  <c r="M708" i="1"/>
  <c r="P601" i="1"/>
  <c r="L530" i="1"/>
  <c r="Q2240" i="1"/>
  <c r="Q1180" i="1"/>
  <c r="Q959" i="1"/>
  <c r="Q676" i="1"/>
  <c r="Q662" i="1" s="1"/>
  <c r="Q579" i="1"/>
  <c r="Q443" i="1"/>
  <c r="Q184" i="1"/>
  <c r="P2102" i="1"/>
  <c r="M1793" i="1"/>
  <c r="P1465" i="1"/>
  <c r="N1377" i="1"/>
  <c r="O1308" i="1"/>
  <c r="P1275" i="1"/>
  <c r="N1266" i="1"/>
  <c r="P676" i="1"/>
  <c r="P662" i="1" s="1"/>
  <c r="O613" i="1"/>
  <c r="L599" i="1"/>
  <c r="O526" i="1"/>
  <c r="M579" i="1"/>
  <c r="O305" i="1"/>
  <c r="P334" i="1"/>
  <c r="P350" i="1" s="1"/>
  <c r="Q1811" i="1"/>
  <c r="Q1540" i="1"/>
  <c r="Q1534" i="1"/>
  <c r="Q1382" i="1"/>
  <c r="Q1285" i="1"/>
  <c r="Q636" i="1"/>
  <c r="M1830" i="1"/>
  <c r="P1786" i="1"/>
  <c r="P1688" i="1"/>
  <c r="L1636" i="1"/>
  <c r="L1589" i="1"/>
  <c r="N1382" i="1"/>
  <c r="O1327" i="1"/>
  <c r="P1112" i="1"/>
  <c r="N1052" i="1"/>
  <c r="N1049" i="1" s="1"/>
  <c r="M571" i="1"/>
  <c r="Q1635" i="1"/>
  <c r="Q1305" i="1"/>
  <c r="Q1284" i="1"/>
  <c r="Q1157" i="1"/>
  <c r="L1863" i="1"/>
  <c r="N1396" i="1"/>
  <c r="P1298" i="1"/>
  <c r="N1289" i="1"/>
  <c r="P1270" i="1"/>
  <c r="P1291" i="1"/>
  <c r="O1112" i="1"/>
  <c r="L522" i="1"/>
  <c r="Q1679" i="1"/>
  <c r="Q1586" i="1"/>
  <c r="Q1283" i="1"/>
  <c r="Q992" i="1"/>
  <c r="Q993" i="1" s="1"/>
  <c r="Q956" i="1"/>
  <c r="Q608" i="1"/>
  <c r="O1679" i="1"/>
  <c r="M1474" i="1"/>
  <c r="L1381" i="1"/>
  <c r="M1308" i="1"/>
  <c r="O1298" i="1"/>
  <c r="N104" i="1"/>
  <c r="Q631" i="1"/>
  <c r="Q624" i="1" s="1"/>
  <c r="Q271" i="1"/>
  <c r="Q260" i="1" s="1"/>
  <c r="M1465" i="1"/>
  <c r="O1037" i="1"/>
  <c r="O877" i="1"/>
  <c r="L730" i="1"/>
  <c r="Q2273" i="1"/>
  <c r="Q1379" i="1"/>
  <c r="Q1303" i="1"/>
  <c r="Q1279" i="1"/>
  <c r="Q531" i="1"/>
  <c r="M1588" i="1"/>
  <c r="O1534" i="1"/>
  <c r="N1391" i="1"/>
  <c r="M1072" i="1"/>
  <c r="M1098" i="1" s="1"/>
  <c r="M1093" i="1" s="1"/>
  <c r="O968" i="1"/>
  <c r="O500" i="1"/>
  <c r="N572" i="1"/>
  <c r="O109" i="1"/>
  <c r="L70" i="1"/>
  <c r="Q1702" i="1"/>
  <c r="Q1489" i="1"/>
  <c r="Q1280" i="1"/>
  <c r="Q1203" i="1"/>
  <c r="Q1314" i="1" s="1"/>
  <c r="Q571" i="1"/>
  <c r="M1552" i="1"/>
  <c r="P1464" i="1"/>
  <c r="N1425" i="1"/>
  <c r="L1386" i="1"/>
  <c r="O1293" i="1"/>
  <c r="P1274" i="1"/>
  <c r="L366" i="1"/>
  <c r="L373" i="1" s="1"/>
  <c r="Q1537" i="1"/>
  <c r="Q921" i="1"/>
  <c r="Q920" i="1" s="1"/>
  <c r="N1544" i="1"/>
  <c r="N1474" i="1"/>
  <c r="M1376" i="1"/>
  <c r="N1312" i="1"/>
  <c r="O1120" i="1"/>
  <c r="P1111" i="1"/>
  <c r="L866" i="1"/>
  <c r="N860" i="1"/>
  <c r="M730" i="1"/>
  <c r="L695" i="1"/>
  <c r="P703" i="1"/>
  <c r="L641" i="1"/>
  <c r="M500" i="1"/>
  <c r="O525" i="1"/>
  <c r="Q2301" i="1"/>
  <c r="Q1803" i="1"/>
  <c r="Q1398" i="1"/>
  <c r="Q1377" i="1"/>
  <c r="Q1301" i="1"/>
  <c r="Q298" i="1"/>
  <c r="Q302" i="1" s="1"/>
  <c r="Q231" i="1"/>
  <c r="Q518" i="1"/>
  <c r="Q108" i="1"/>
  <c r="Q336" i="1" s="1"/>
  <c r="P1707" i="1"/>
  <c r="M1539" i="1"/>
  <c r="L1534" i="1"/>
  <c r="N1498" i="1"/>
  <c r="N1479" i="1"/>
  <c r="L1460" i="1"/>
  <c r="M1381" i="1"/>
  <c r="N1288" i="1"/>
  <c r="O866" i="1"/>
  <c r="O703" i="1"/>
  <c r="P288" i="1"/>
  <c r="Q2094" i="1"/>
  <c r="Q1770" i="1"/>
  <c r="Q803" i="1"/>
  <c r="Q187" i="1"/>
  <c r="Q186" i="1" s="1"/>
  <c r="M1592" i="1"/>
  <c r="P959" i="1"/>
  <c r="N598" i="1"/>
  <c r="Q1322" i="1"/>
  <c r="Q401" i="1"/>
  <c r="Q169" i="1"/>
  <c r="Q104" i="1"/>
  <c r="Q74" i="1"/>
  <c r="O1811" i="1"/>
  <c r="N1634" i="1"/>
  <c r="L1498" i="1"/>
  <c r="L1497" i="1" s="1"/>
  <c r="M1464" i="1"/>
  <c r="P1311" i="1"/>
  <c r="O1283" i="1"/>
  <c r="L1274" i="1"/>
  <c r="N968" i="1"/>
  <c r="O8" i="1"/>
  <c r="O1747" i="1" s="1"/>
  <c r="Q1396" i="1"/>
  <c r="Q1299" i="1"/>
  <c r="Q1293" i="1"/>
  <c r="Q974" i="1"/>
  <c r="Q917" i="1"/>
  <c r="Q661" i="1"/>
  <c r="Q294" i="1"/>
  <c r="M1766" i="1"/>
  <c r="L1587" i="1"/>
  <c r="L1469" i="1"/>
  <c r="M1385" i="1"/>
  <c r="N1297" i="1"/>
  <c r="L1279" i="1"/>
  <c r="N1122" i="1"/>
  <c r="L889" i="1"/>
  <c r="N876" i="1"/>
  <c r="P66" i="1"/>
  <c r="Q1467" i="1"/>
  <c r="Q1395" i="1"/>
  <c r="Q1380" i="1"/>
  <c r="Q464" i="1"/>
  <c r="Q102" i="1"/>
  <c r="P2077" i="1"/>
  <c r="L1766" i="1"/>
  <c r="M1752" i="1"/>
  <c r="P1638" i="1"/>
  <c r="M1599" i="1"/>
  <c r="O1591" i="1"/>
  <c r="P1586" i="1"/>
  <c r="P1394" i="1"/>
  <c r="L1385" i="1"/>
  <c r="N1311" i="1"/>
  <c r="M1302" i="1"/>
  <c r="O1093" i="1"/>
  <c r="M704" i="1"/>
  <c r="L215" i="1"/>
  <c r="Q591" i="1"/>
  <c r="Q292" i="1"/>
  <c r="Q101" i="1"/>
  <c r="Q329" i="1" s="1"/>
  <c r="Q345" i="1" s="1"/>
  <c r="Q70" i="1"/>
  <c r="M2053" i="1"/>
  <c r="P1682" i="1"/>
  <c r="O1586" i="1"/>
  <c r="M1538" i="1"/>
  <c r="O1473" i="1"/>
  <c r="O1468" i="1"/>
  <c r="M1380" i="1"/>
  <c r="L1302" i="1"/>
  <c r="N1292" i="1"/>
  <c r="N1287" i="1"/>
  <c r="N1280" i="1"/>
  <c r="P877" i="1"/>
  <c r="L876" i="1"/>
  <c r="O288" i="1"/>
  <c r="P554" i="1"/>
  <c r="Q1606" i="1"/>
  <c r="Q1588" i="1"/>
  <c r="Q1482" i="1"/>
  <c r="Q1307" i="1"/>
  <c r="L1869" i="1"/>
  <c r="N1844" i="1"/>
  <c r="P1686" i="1"/>
  <c r="O1508" i="1"/>
  <c r="L1503" i="1"/>
  <c r="L1297" i="1"/>
  <c r="O1278" i="1"/>
  <c r="L1269" i="1"/>
  <c r="N1124" i="1"/>
  <c r="O911" i="1"/>
  <c r="O943" i="1" s="1"/>
  <c r="O966" i="1" s="1"/>
  <c r="O880" i="1"/>
  <c r="O554" i="1"/>
  <c r="O148" i="1"/>
  <c r="Q2296" i="1"/>
  <c r="Q2295" i="1" s="1"/>
  <c r="Q1863" i="1"/>
  <c r="Q1552" i="1"/>
  <c r="Q1481" i="1"/>
  <c r="Q1393" i="1"/>
  <c r="Q1378" i="1"/>
  <c r="Q1272" i="1"/>
  <c r="Q943" i="1"/>
  <c r="Q966" i="1" s="1"/>
  <c r="Q288" i="1"/>
  <c r="Q576" i="1"/>
  <c r="P2084" i="1"/>
  <c r="P2053" i="1"/>
  <c r="O2024" i="1"/>
  <c r="M1844" i="1"/>
  <c r="P1825" i="1"/>
  <c r="L1678" i="1"/>
  <c r="M1591" i="1"/>
  <c r="P1542" i="1"/>
  <c r="M1496" i="1"/>
  <c r="M1478" i="1"/>
  <c r="M1473" i="1"/>
  <c r="O1389" i="1"/>
  <c r="L1292" i="1"/>
  <c r="M1124" i="1"/>
  <c r="P994" i="1"/>
  <c r="P1004" i="1" s="1"/>
  <c r="P1001" i="1" s="1"/>
  <c r="L961" i="1"/>
  <c r="M531" i="1"/>
  <c r="O524" i="1"/>
  <c r="L524" i="1"/>
  <c r="Q2061" i="1"/>
  <c r="Q1793" i="1"/>
  <c r="Q1294" i="1"/>
  <c r="Q1273" i="1"/>
  <c r="Q1072" i="1"/>
  <c r="Q695" i="1"/>
  <c r="Q658" i="1"/>
  <c r="Q217" i="1"/>
  <c r="Q66" i="1"/>
  <c r="L1844" i="1"/>
  <c r="N1692" i="1"/>
  <c r="M1638" i="1"/>
  <c r="N1633" i="1"/>
  <c r="O1537" i="1"/>
  <c r="P1482" i="1"/>
  <c r="L1478" i="1"/>
  <c r="L1473" i="1"/>
  <c r="L1468" i="1"/>
  <c r="L1472" i="1"/>
  <c r="M1463" i="1"/>
  <c r="O1379" i="1"/>
  <c r="L1287" i="1"/>
  <c r="N1133" i="1"/>
  <c r="P974" i="1"/>
  <c r="O819" i="1"/>
  <c r="O657" i="1"/>
  <c r="N188" i="1"/>
  <c r="O58" i="1"/>
  <c r="O57" i="1" s="1"/>
  <c r="Q1645" i="1"/>
  <c r="Q1114" i="1"/>
  <c r="Q832" i="1"/>
  <c r="Q161" i="1"/>
  <c r="N2053" i="1"/>
  <c r="N1825" i="1"/>
  <c r="L1591" i="1"/>
  <c r="M1586" i="1"/>
  <c r="N1542" i="1"/>
  <c r="P1467" i="1"/>
  <c r="P1471" i="1"/>
  <c r="L1394" i="1"/>
  <c r="L1306" i="1"/>
  <c r="M1301" i="1"/>
  <c r="N1282" i="1"/>
  <c r="L1278" i="1"/>
  <c r="N1313" i="1"/>
  <c r="O1299" i="1"/>
  <c r="P1279" i="1"/>
  <c r="M1101" i="1"/>
  <c r="M920" i="1"/>
  <c r="P956" i="1"/>
  <c r="L801" i="1"/>
  <c r="O862" i="1"/>
  <c r="N146" i="1"/>
  <c r="Q1599" i="1"/>
  <c r="N2273" i="1"/>
  <c r="O2077" i="1"/>
  <c r="O1815" i="1"/>
  <c r="L1682" i="1"/>
  <c r="L1586" i="1"/>
  <c r="M1542" i="1"/>
  <c r="M1536" i="1"/>
  <c r="N1482" i="1"/>
  <c r="O1472" i="1"/>
  <c r="O1398" i="1"/>
  <c r="N1387" i="1"/>
  <c r="P1305" i="1"/>
  <c r="O1291" i="1"/>
  <c r="M1282" i="1"/>
  <c r="L1294" i="1"/>
  <c r="P1132" i="1"/>
  <c r="P844" i="1"/>
  <c r="M819" i="1"/>
  <c r="N800" i="1"/>
  <c r="L713" i="1"/>
  <c r="O614" i="1"/>
  <c r="P587" i="1"/>
  <c r="P586" i="1" s="1"/>
  <c r="N551" i="1"/>
  <c r="M75" i="1"/>
  <c r="M74" i="1" s="1"/>
  <c r="Q2057" i="1"/>
  <c r="Q1825" i="1"/>
  <c r="Q1463" i="1"/>
  <c r="Q1292" i="1"/>
  <c r="Q1271" i="1"/>
  <c r="Q1113" i="1"/>
  <c r="O2106" i="1"/>
  <c r="P1702" i="1"/>
  <c r="L1692" i="1"/>
  <c r="P1681" i="1"/>
  <c r="O1590" i="1"/>
  <c r="L1547" i="1"/>
  <c r="L1542" i="1"/>
  <c r="M1537" i="1"/>
  <c r="L1536" i="1"/>
  <c r="N1472" i="1"/>
  <c r="N1398" i="1"/>
  <c r="O1393" i="1"/>
  <c r="L1389" i="1"/>
  <c r="O1305" i="1"/>
  <c r="P1300" i="1"/>
  <c r="O1277" i="1"/>
  <c r="L1099" i="1"/>
  <c r="N909" i="1"/>
  <c r="N941" i="1" s="1"/>
  <c r="N964" i="1" s="1"/>
  <c r="O826" i="1"/>
  <c r="M732" i="1"/>
  <c r="N680" i="1"/>
  <c r="N614" i="1"/>
  <c r="N530" i="1"/>
  <c r="O569" i="1"/>
  <c r="Q1815" i="1"/>
  <c r="Q1462" i="1"/>
  <c r="Q864" i="1"/>
  <c r="Q555" i="1"/>
  <c r="M2296" i="1"/>
  <c r="M1815" i="1"/>
  <c r="O1762" i="1"/>
  <c r="O1702" i="1"/>
  <c r="P1632" i="1"/>
  <c r="N1590" i="1"/>
  <c r="L1537" i="1"/>
  <c r="N1477" i="1"/>
  <c r="M1398" i="1"/>
  <c r="L1310" i="1"/>
  <c r="N1286" i="1"/>
  <c r="L1268" i="1"/>
  <c r="L1109" i="1"/>
  <c r="P876" i="1"/>
  <c r="L732" i="1"/>
  <c r="O708" i="1"/>
  <c r="N548" i="1"/>
  <c r="L279" i="1"/>
  <c r="O1045" i="1"/>
  <c r="O1043" i="1" s="1"/>
  <c r="M271" i="1"/>
  <c r="M260" i="1" s="1"/>
  <c r="P36" i="1"/>
  <c r="Q1687" i="1"/>
  <c r="Q1641" i="1"/>
  <c r="Q1461" i="1"/>
  <c r="Q1389" i="1"/>
  <c r="Q1392" i="1"/>
  <c r="Q1313" i="1"/>
  <c r="Q1269" i="1"/>
  <c r="Q1302" i="1"/>
  <c r="Q1111" i="1"/>
  <c r="Q452" i="1"/>
  <c r="Q451" i="1" s="1"/>
  <c r="Q112" i="1"/>
  <c r="Q340" i="1" s="1"/>
  <c r="Q356" i="1" s="1"/>
  <c r="Q501" i="1" s="1"/>
  <c r="Q490" i="1" s="1"/>
  <c r="O1770" i="1"/>
  <c r="N1637" i="1"/>
  <c r="P1536" i="1"/>
  <c r="L1398" i="1"/>
  <c r="P1383" i="1"/>
  <c r="M1305" i="1"/>
  <c r="O1300" i="1"/>
  <c r="M1286" i="1"/>
  <c r="P1281" i="1"/>
  <c r="P1267" i="1"/>
  <c r="P1283" i="1"/>
  <c r="M1275" i="1"/>
  <c r="L1046" i="1"/>
  <c r="N708" i="1"/>
  <c r="L577" i="1"/>
  <c r="M371" i="1"/>
  <c r="M280" i="1"/>
  <c r="M279" i="1" s="1"/>
  <c r="P563" i="1"/>
  <c r="L271" i="1"/>
  <c r="L260" i="1" s="1"/>
  <c r="N12" i="1"/>
  <c r="N1751" i="1" s="1"/>
  <c r="Q1686" i="1"/>
  <c r="Q1592" i="1"/>
  <c r="Q1477" i="1"/>
  <c r="Q1388" i="1"/>
  <c r="Q1014" i="1"/>
  <c r="Q1011" i="1" s="1"/>
  <c r="Q771" i="1"/>
  <c r="Q768" i="1" s="1"/>
  <c r="Q763" i="1" s="1"/>
  <c r="Q1400" i="1"/>
  <c r="Q1152" i="1"/>
  <c r="Q732" i="1"/>
  <c r="Q605" i="1"/>
  <c r="Q612" i="1"/>
  <c r="Q99" i="1"/>
  <c r="Q327" i="1" s="1"/>
  <c r="Q343" i="1" s="1"/>
  <c r="Q1620" i="1"/>
  <c r="Q717" i="1"/>
  <c r="Q601" i="1"/>
  <c r="Q613" i="1"/>
  <c r="Q1722" i="1"/>
  <c r="Q35" i="1"/>
  <c r="Q1725" i="1" s="1"/>
  <c r="Q1869" i="1"/>
  <c r="Q1536" i="1"/>
  <c r="Q1105" i="1"/>
  <c r="Q1135" i="1"/>
  <c r="Q730" i="1"/>
  <c r="Q715" i="1"/>
  <c r="Q1903" i="1"/>
  <c r="Q1535" i="1"/>
  <c r="Q1351" i="1"/>
  <c r="Q1277" i="1"/>
  <c r="Q1033" i="1"/>
  <c r="Q1034" i="1" s="1"/>
  <c r="Q1276" i="1"/>
  <c r="Q710" i="1"/>
  <c r="Q713" i="1"/>
  <c r="Q2279" i="1"/>
  <c r="Q2223" i="1"/>
  <c r="Q1298" i="1"/>
  <c r="Q1274" i="1"/>
  <c r="Q969" i="1"/>
  <c r="Q915" i="1"/>
  <c r="Q651" i="1"/>
  <c r="Q594" i="1"/>
  <c r="Q1559" i="1"/>
  <c r="Q1589" i="1"/>
  <c r="Q1518" i="1"/>
  <c r="Q1397" i="1"/>
  <c r="Q1341" i="1"/>
  <c r="Q1297" i="1"/>
  <c r="Q1275" i="1"/>
  <c r="Q1026" i="1"/>
  <c r="Q1120" i="1"/>
  <c r="Q2002" i="1"/>
  <c r="Q1830" i="1"/>
  <c r="Q1296" i="1"/>
  <c r="Q1132" i="1"/>
  <c r="Q1023" i="1"/>
  <c r="Q23" i="1"/>
  <c r="Q1715" i="1"/>
  <c r="Q1978" i="1"/>
  <c r="Q1712" i="1"/>
  <c r="Q2259" i="1"/>
  <c r="Q1480" i="1"/>
  <c r="Q781" i="1"/>
  <c r="Q865" i="1" s="1"/>
  <c r="Q784" i="1"/>
  <c r="Q691" i="1"/>
  <c r="Q657" i="1"/>
  <c r="Q646" i="1"/>
  <c r="Q644" i="1" s="1"/>
  <c r="Q211" i="1"/>
  <c r="Q214" i="1"/>
  <c r="Q213" i="1" s="1"/>
  <c r="Q1391" i="1"/>
  <c r="Q1316" i="1"/>
  <c r="Q1376" i="1"/>
  <c r="Q656" i="1"/>
  <c r="Q2254" i="1"/>
  <c r="Q1891" i="1"/>
  <c r="Q1547" i="1"/>
  <c r="Q1508" i="1"/>
  <c r="Q1411" i="1"/>
  <c r="Q1005" i="1"/>
  <c r="Q1002" i="1" s="1"/>
  <c r="Q800" i="1"/>
  <c r="Q438" i="1"/>
  <c r="Q564" i="1"/>
  <c r="Q2022" i="1"/>
  <c r="Q1954" i="1"/>
  <c r="Q1545" i="1"/>
  <c r="Q1478" i="1"/>
  <c r="Q1291" i="1"/>
  <c r="Q1270" i="1"/>
  <c r="Q1112" i="1"/>
  <c r="Q655" i="1"/>
  <c r="Q1640" i="1"/>
  <c r="Q1631" i="1"/>
  <c r="Q1594" i="1"/>
  <c r="Q1544" i="1"/>
  <c r="Q1290" i="1"/>
  <c r="Q1004" i="1"/>
  <c r="Q997" i="1"/>
  <c r="Q554" i="1"/>
  <c r="Q1639" i="1"/>
  <c r="Q1312" i="1"/>
  <c r="Q1268" i="1"/>
  <c r="Q1110" i="1"/>
  <c r="Q599" i="1"/>
  <c r="Q197" i="1"/>
  <c r="Q201" i="1"/>
  <c r="Q358" i="1"/>
  <c r="Q58" i="1"/>
  <c r="Q12" i="1"/>
  <c r="Q1751" i="1" s="1"/>
  <c r="Q1752" i="1"/>
  <c r="Q2213" i="1"/>
  <c r="Q2114" i="1"/>
  <c r="Q2024" i="1"/>
  <c r="Q1685" i="1"/>
  <c r="Q1543" i="1"/>
  <c r="Q1387" i="1"/>
  <c r="Q1311" i="1"/>
  <c r="Q1109" i="1"/>
  <c r="Q1007" i="1"/>
  <c r="Q1126" i="1" s="1"/>
  <c r="Q967" i="1"/>
  <c r="Q769" i="1"/>
  <c r="Q861" i="1" s="1"/>
  <c r="Q660" i="1"/>
  <c r="Q641" i="1"/>
  <c r="Q634" i="1" s="1"/>
  <c r="Q1386" i="1"/>
  <c r="Q1265" i="1"/>
  <c r="Q1137" i="1"/>
  <c r="Q367" i="1"/>
  <c r="Q2189" i="1"/>
  <c r="Q1542" i="1"/>
  <c r="Q1503" i="1"/>
  <c r="Q1385" i="1"/>
  <c r="Q1309" i="1"/>
  <c r="Q1213" i="1"/>
  <c r="Q923" i="1"/>
  <c r="Q366" i="1"/>
  <c r="Q1406" i="1"/>
  <c r="Q1465" i="1"/>
  <c r="Q817" i="1"/>
  <c r="Q859" i="1"/>
  <c r="Q699" i="1"/>
  <c r="Q680" i="1"/>
  <c r="Q679" i="1" s="1"/>
  <c r="Q440" i="1"/>
  <c r="Q1681" i="1"/>
  <c r="Q51" i="1"/>
  <c r="Q2315" i="1"/>
  <c r="Q2313" i="1"/>
  <c r="Q2276" i="1"/>
  <c r="Q1843" i="1"/>
  <c r="Q1498" i="1"/>
  <c r="Q1533" i="1"/>
  <c r="Q1043" i="1"/>
  <c r="Q1096" i="1" s="1"/>
  <c r="Q693" i="1"/>
  <c r="Q1734" i="1"/>
  <c r="Q47" i="1"/>
  <c r="Q46" i="1" s="1"/>
  <c r="Q49" i="1"/>
  <c r="Q145" i="1"/>
  <c r="Q137" i="1"/>
  <c r="Q2235" i="1"/>
  <c r="Q1678" i="1"/>
  <c r="Q1282" i="1"/>
  <c r="Q927" i="1"/>
  <c r="Q955" i="1"/>
  <c r="Q701" i="1"/>
  <c r="Q42" i="1"/>
  <c r="Q2012" i="1"/>
  <c r="Q1425" i="1"/>
  <c r="Q1327" i="1"/>
  <c r="Q2165" i="1"/>
  <c r="Q1538" i="1"/>
  <c r="Q1281" i="1"/>
  <c r="Q879" i="1"/>
  <c r="Q810" i="1"/>
  <c r="Q795" i="1"/>
  <c r="Q264" i="1"/>
  <c r="Q253" i="1" s="1"/>
  <c r="Q3" i="1"/>
  <c r="Q1743" i="1"/>
  <c r="Q671" i="1"/>
  <c r="Q537" i="1"/>
  <c r="Q549" i="1"/>
  <c r="Q894" i="1"/>
  <c r="Q303" i="1"/>
  <c r="Q219" i="1"/>
  <c r="Q110" i="1"/>
  <c r="Q82" i="1"/>
  <c r="Q36" i="1"/>
  <c r="Q1664" i="1" s="1"/>
  <c r="Q1045" i="1"/>
  <c r="Q1636" i="1"/>
  <c r="Q891" i="1"/>
  <c r="Q888" i="1" s="1"/>
  <c r="Q1496" i="1"/>
  <c r="Q863" i="1"/>
  <c r="Q565" i="1"/>
  <c r="Q270" i="1"/>
  <c r="Q259" i="1" s="1"/>
  <c r="Q1573" i="1"/>
  <c r="Q1469" i="1"/>
  <c r="Q1435" i="1"/>
  <c r="Q529" i="1"/>
  <c r="Q268" i="1"/>
  <c r="Q257" i="1" s="1"/>
  <c r="Q355" i="1"/>
  <c r="Q267" i="1"/>
  <c r="Q256" i="1" s="1"/>
  <c r="Q1749" i="1"/>
  <c r="Q1127" i="1"/>
  <c r="Q1062" i="1"/>
  <c r="Q239" i="1"/>
  <c r="Q272" i="1"/>
  <c r="Q261" i="1" s="1"/>
  <c r="Q1125" i="1"/>
  <c r="Q1060" i="1"/>
  <c r="Q933" i="1"/>
  <c r="Q523" i="1"/>
  <c r="Q151" i="1"/>
  <c r="Q1124" i="1"/>
  <c r="Q1057" i="1"/>
  <c r="Q234" i="1"/>
  <c r="Q150" i="1"/>
  <c r="Q881" i="1"/>
  <c r="Q704" i="1"/>
  <c r="Q149" i="1"/>
  <c r="Q107" i="1"/>
  <c r="Q335" i="1" s="1"/>
  <c r="Q351" i="1" s="1"/>
  <c r="Q496" i="1" s="1"/>
  <c r="Q798" i="1"/>
  <c r="Q703" i="1"/>
  <c r="Q148" i="1"/>
  <c r="Q797" i="1"/>
  <c r="Q702" i="1"/>
  <c r="Q202" i="1"/>
  <c r="Q205" i="1" s="1"/>
  <c r="Q878" i="1"/>
  <c r="Q796" i="1"/>
  <c r="Q146" i="1"/>
  <c r="Q545" i="1"/>
  <c r="Q173" i="1"/>
  <c r="Q544" i="1"/>
  <c r="Q331" i="1"/>
  <c r="Q578" i="1"/>
  <c r="Q543" i="1"/>
  <c r="Q1077" i="1"/>
  <c r="Q577" i="1"/>
  <c r="Q542" i="1"/>
  <c r="Q765" i="1"/>
  <c r="Q858" i="1" s="1"/>
  <c r="Q694" i="1"/>
  <c r="Q541" i="1"/>
  <c r="O46" i="1"/>
  <c r="O1735" i="1" s="1"/>
  <c r="O1736" i="1"/>
  <c r="N47" i="1"/>
  <c r="N1736" i="1" s="1"/>
  <c r="H108" i="1"/>
  <c r="N34" i="1"/>
  <c r="N36" i="1"/>
  <c r="L34" i="1"/>
  <c r="O36" i="1"/>
  <c r="O40" i="1" s="1"/>
  <c r="G107" i="1"/>
  <c r="I108" i="1"/>
  <c r="G103" i="1"/>
  <c r="O2259" i="1"/>
  <c r="N2279" i="1"/>
  <c r="P2061" i="1"/>
  <c r="P1508" i="1"/>
  <c r="M2279" i="1"/>
  <c r="N2077" i="1"/>
  <c r="L2279" i="1"/>
  <c r="O2053" i="1"/>
  <c r="P1272" i="1"/>
  <c r="M2315" i="1"/>
  <c r="P1590" i="1"/>
  <c r="N1296" i="1"/>
  <c r="M1310" i="1"/>
  <c r="P2235" i="1"/>
  <c r="P1388" i="1"/>
  <c r="P2240" i="1"/>
  <c r="P2234" i="1" s="1"/>
  <c r="O2235" i="1"/>
  <c r="O2234" i="1" s="1"/>
  <c r="M2235" i="1"/>
  <c r="M2234" i="1" s="1"/>
  <c r="M2213" i="1"/>
  <c r="P2254" i="1"/>
  <c r="L2276" i="1"/>
  <c r="P1470" i="1"/>
  <c r="L1382" i="1"/>
  <c r="P2315" i="1"/>
  <c r="P1639" i="1"/>
  <c r="M1518" i="1"/>
  <c r="M1534" i="1"/>
  <c r="L1786" i="1"/>
  <c r="M1680" i="1"/>
  <c r="N1606" i="1"/>
  <c r="O1594" i="1"/>
  <c r="O1385" i="1"/>
  <c r="O1381" i="1"/>
  <c r="O1109" i="1"/>
  <c r="P2094" i="1"/>
  <c r="M2057" i="1"/>
  <c r="L1803" i="1"/>
  <c r="O1639" i="1"/>
  <c r="M1635" i="1"/>
  <c r="L1552" i="1"/>
  <c r="P1541" i="1"/>
  <c r="N1537" i="1"/>
  <c r="M1480" i="1"/>
  <c r="N1381" i="1"/>
  <c r="O1306" i="1"/>
  <c r="O1302" i="1"/>
  <c r="M1298" i="1"/>
  <c r="L1290" i="1"/>
  <c r="M1203" i="1"/>
  <c r="N1057" i="1"/>
  <c r="M927" i="1"/>
  <c r="M955" i="1"/>
  <c r="O660" i="1"/>
  <c r="O651" i="1"/>
  <c r="O113" i="1"/>
  <c r="N8" i="1"/>
  <c r="N1747" i="1" s="1"/>
  <c r="N1811" i="1"/>
  <c r="O1692" i="1"/>
  <c r="M1594" i="1"/>
  <c r="O1541" i="1"/>
  <c r="N1534" i="1"/>
  <c r="L1480" i="1"/>
  <c r="O1466" i="1"/>
  <c r="O1376" i="1"/>
  <c r="P1378" i="1"/>
  <c r="P1289" i="1"/>
  <c r="P1268" i="1"/>
  <c r="L1125" i="1"/>
  <c r="L1086" i="1"/>
  <c r="M1057" i="1"/>
  <c r="M1123" i="1"/>
  <c r="L927" i="1"/>
  <c r="L955" i="1"/>
  <c r="O587" i="1"/>
  <c r="O586" i="1" s="1"/>
  <c r="P268" i="1"/>
  <c r="P257" i="1" s="1"/>
  <c r="N211" i="1"/>
  <c r="N214" i="1"/>
  <c r="N213" i="1" s="1"/>
  <c r="P2057" i="1"/>
  <c r="O1863" i="1"/>
  <c r="M1811" i="1"/>
  <c r="O1687" i="1"/>
  <c r="P1679" i="1"/>
  <c r="N1639" i="1"/>
  <c r="P1634" i="1"/>
  <c r="L1606" i="1"/>
  <c r="N1306" i="1"/>
  <c r="O1289" i="1"/>
  <c r="P1301" i="1"/>
  <c r="L1057" i="1"/>
  <c r="L1123" i="1"/>
  <c r="P992" i="1"/>
  <c r="O974" i="1"/>
  <c r="O1110" i="1"/>
  <c r="P449" i="1"/>
  <c r="P452" i="1"/>
  <c r="P451" i="1" s="1"/>
  <c r="L1811" i="1"/>
  <c r="O1766" i="1"/>
  <c r="N1687" i="1"/>
  <c r="M1639" i="1"/>
  <c r="O1634" i="1"/>
  <c r="P1594" i="1"/>
  <c r="O1394" i="1"/>
  <c r="M1281" i="1"/>
  <c r="P1276" i="1"/>
  <c r="N1268" i="1"/>
  <c r="P1152" i="1"/>
  <c r="P1113" i="1"/>
  <c r="M701" i="1"/>
  <c r="L660" i="1"/>
  <c r="L651" i="1"/>
  <c r="N2057" i="1"/>
  <c r="O1891" i="1"/>
  <c r="M1803" i="1"/>
  <c r="N1766" i="1"/>
  <c r="L1639" i="1"/>
  <c r="M1541" i="1"/>
  <c r="P1498" i="1"/>
  <c r="L1475" i="1"/>
  <c r="M1462" i="1"/>
  <c r="O1464" i="1"/>
  <c r="P1389" i="1"/>
  <c r="O1380" i="1"/>
  <c r="M1382" i="1"/>
  <c r="M1306" i="1"/>
  <c r="N1113" i="1"/>
  <c r="O1057" i="1"/>
  <c r="N959" i="1"/>
  <c r="N655" i="1"/>
  <c r="M626" i="1"/>
  <c r="O564" i="1"/>
  <c r="N564" i="1"/>
  <c r="M2102" i="1"/>
  <c r="M2024" i="1"/>
  <c r="N1869" i="1"/>
  <c r="O1498" i="1"/>
  <c r="P1474" i="1"/>
  <c r="L1462" i="1"/>
  <c r="M1394" i="1"/>
  <c r="P1384" i="1"/>
  <c r="P1327" i="1"/>
  <c r="L1281" i="1"/>
  <c r="N1152" i="1"/>
  <c r="L1113" i="1"/>
  <c r="O859" i="1"/>
  <c r="O817" i="1"/>
  <c r="M42" i="1"/>
  <c r="M41" i="1" s="1"/>
  <c r="M1730" i="1" s="1"/>
  <c r="L2057" i="1"/>
  <c r="P1886" i="1"/>
  <c r="P1885" i="1" s="1"/>
  <c r="P1803" i="1"/>
  <c r="M1679" i="1"/>
  <c r="M1590" i="1"/>
  <c r="N1470" i="1"/>
  <c r="O1411" i="1"/>
  <c r="P1309" i="1"/>
  <c r="M1309" i="1"/>
  <c r="L2077" i="1"/>
  <c r="O1886" i="1"/>
  <c r="O1803" i="1"/>
  <c r="N1638" i="1"/>
  <c r="N1503" i="1"/>
  <c r="P1393" i="1"/>
  <c r="N1384" i="1"/>
  <c r="M1276" i="1"/>
  <c r="L1152" i="1"/>
  <c r="N1849" i="1"/>
  <c r="N1843" i="1" s="1"/>
  <c r="L1825" i="1"/>
  <c r="L1824" i="1" s="1"/>
  <c r="N1803" i="1"/>
  <c r="P1692" i="1"/>
  <c r="P1559" i="1"/>
  <c r="L1479" i="1"/>
  <c r="N1468" i="1"/>
  <c r="N1309" i="1"/>
  <c r="N1305" i="1"/>
  <c r="L1276" i="1"/>
  <c r="M1277" i="1"/>
  <c r="L1157" i="1"/>
  <c r="P967" i="1"/>
  <c r="M700" i="1"/>
  <c r="M231" i="1"/>
  <c r="M581" i="1"/>
  <c r="N358" i="1"/>
  <c r="N150" i="1"/>
  <c r="L2061" i="1"/>
  <c r="M1849" i="1"/>
  <c r="P1815" i="1"/>
  <c r="P1599" i="1"/>
  <c r="N1585" i="1"/>
  <c r="M1400" i="1"/>
  <c r="P1313" i="1"/>
  <c r="O1288" i="1"/>
  <c r="M334" i="1"/>
  <c r="O522" i="1"/>
  <c r="O64" i="1"/>
  <c r="P2106" i="1"/>
  <c r="L1886" i="1"/>
  <c r="L1849" i="1"/>
  <c r="L1843" i="1" s="1"/>
  <c r="L1823" i="1" s="1"/>
  <c r="O1682" i="1"/>
  <c r="L1638" i="1"/>
  <c r="N1545" i="1"/>
  <c r="M1540" i="1"/>
  <c r="N1465" i="1"/>
  <c r="L1400" i="1"/>
  <c r="M1110" i="1"/>
  <c r="M1033" i="1"/>
  <c r="M1034" i="1" s="1"/>
  <c r="P866" i="1"/>
  <c r="M723" i="1"/>
  <c r="O543" i="1"/>
  <c r="O272" i="1"/>
  <c r="O261" i="1" s="1"/>
  <c r="L2301" i="1"/>
  <c r="M2077" i="1"/>
  <c r="O2061" i="1"/>
  <c r="N1770" i="1"/>
  <c r="M1692" i="1"/>
  <c r="N1686" i="1"/>
  <c r="O1678" i="1"/>
  <c r="O1686" i="1"/>
  <c r="N1599" i="1"/>
  <c r="O1589" i="1"/>
  <c r="L1585" i="1"/>
  <c r="M1545" i="1"/>
  <c r="L1508" i="1"/>
  <c r="O1478" i="1"/>
  <c r="O1469" i="1"/>
  <c r="O1388" i="1"/>
  <c r="N1379" i="1"/>
  <c r="L1309" i="1"/>
  <c r="O1292" i="1"/>
  <c r="O1275" i="1"/>
  <c r="P1109" i="1"/>
  <c r="P923" i="1"/>
  <c r="M657" i="1"/>
  <c r="P1043" i="1"/>
  <c r="P1069" i="1" s="1"/>
  <c r="N111" i="1"/>
  <c r="N339" i="1" s="1"/>
  <c r="N355" i="1" s="1"/>
  <c r="N500" i="1"/>
  <c r="P2279" i="1"/>
  <c r="M2276" i="1"/>
  <c r="N2106" i="1"/>
  <c r="P1710" i="1"/>
  <c r="N1702" i="1"/>
  <c r="O1633" i="1"/>
  <c r="N1589" i="1"/>
  <c r="M1559" i="1"/>
  <c r="O1482" i="1"/>
  <c r="N1478" i="1"/>
  <c r="M1377" i="1"/>
  <c r="P1304" i="1"/>
  <c r="P1296" i="1"/>
  <c r="L1271" i="1"/>
  <c r="M1109" i="1"/>
  <c r="N1062" i="1"/>
  <c r="O658" i="1"/>
  <c r="N641" i="1"/>
  <c r="M909" i="1"/>
  <c r="M941" i="1" s="1"/>
  <c r="M964" i="1" s="1"/>
  <c r="N1815" i="1"/>
  <c r="M1686" i="1"/>
  <c r="M1682" i="1"/>
  <c r="N1469" i="1"/>
  <c r="M1388" i="1"/>
  <c r="O1296" i="1"/>
  <c r="P1287" i="1"/>
  <c r="M1266" i="1"/>
  <c r="L967" i="1"/>
  <c r="L941" i="1"/>
  <c r="L964" i="1" s="1"/>
  <c r="L2106" i="1"/>
  <c r="L1686" i="1"/>
  <c r="O1535" i="1"/>
  <c r="M1469" i="1"/>
  <c r="N389" i="1"/>
  <c r="O573" i="1"/>
  <c r="L568" i="1"/>
  <c r="L266" i="1"/>
  <c r="L255" i="1" s="1"/>
  <c r="N1830" i="1"/>
  <c r="M1678" i="1"/>
  <c r="P1641" i="1"/>
  <c r="M1482" i="1"/>
  <c r="L1397" i="1"/>
  <c r="P1392" i="1"/>
  <c r="N1279" i="1"/>
  <c r="M1295" i="1"/>
  <c r="O1033" i="1"/>
  <c r="O1034" i="1" s="1"/>
  <c r="M908" i="1"/>
  <c r="M910" i="1"/>
  <c r="M942" i="1" s="1"/>
  <c r="M965" i="1" s="1"/>
  <c r="N672" i="1"/>
  <c r="M1891" i="1"/>
  <c r="O1793" i="1"/>
  <c r="M1786" i="1"/>
  <c r="O1707" i="1"/>
  <c r="P1477" i="1"/>
  <c r="P1468" i="1"/>
  <c r="L1463" i="1"/>
  <c r="P1396" i="1"/>
  <c r="P1387" i="1"/>
  <c r="M1296" i="1"/>
  <c r="O1270" i="1"/>
  <c r="P1137" i="1"/>
  <c r="P1060" i="1"/>
  <c r="O937" i="1"/>
  <c r="L943" i="1"/>
  <c r="L966" i="1" s="1"/>
  <c r="N656" i="1"/>
  <c r="N2061" i="1"/>
  <c r="O1688" i="1"/>
  <c r="O1641" i="1"/>
  <c r="O1640" i="1" s="1"/>
  <c r="P1539" i="1"/>
  <c r="L1496" i="1"/>
  <c r="O1477" i="1"/>
  <c r="P1400" i="1"/>
  <c r="M1287" i="1"/>
  <c r="O1111" i="1"/>
  <c r="O1060" i="1"/>
  <c r="N1050" i="1"/>
  <c r="O732" i="1"/>
  <c r="O265" i="1"/>
  <c r="O254" i="1" s="1"/>
  <c r="O536" i="1"/>
  <c r="O796" i="1"/>
  <c r="M2106" i="1"/>
  <c r="N2084" i="1"/>
  <c r="P1866" i="1"/>
  <c r="L1770" i="1"/>
  <c r="N1688" i="1"/>
  <c r="N1685" i="1"/>
  <c r="P1636" i="1"/>
  <c r="O1632" i="1"/>
  <c r="N1588" i="1"/>
  <c r="P1543" i="1"/>
  <c r="P1534" i="1"/>
  <c r="N1378" i="1"/>
  <c r="N1291" i="1"/>
  <c r="L1266" i="1"/>
  <c r="N1111" i="1"/>
  <c r="N1060" i="1"/>
  <c r="O1052" i="1"/>
  <c r="O1049" i="1" s="1"/>
  <c r="O1050" i="1" s="1"/>
  <c r="M863" i="1"/>
  <c r="M771" i="1"/>
  <c r="M768" i="1" s="1"/>
  <c r="M763" i="1" s="1"/>
  <c r="M775" i="1"/>
  <c r="M770" i="1" s="1"/>
  <c r="N662" i="1"/>
  <c r="O591" i="1"/>
  <c r="O590" i="1" s="1"/>
  <c r="N579" i="1"/>
  <c r="P173" i="1"/>
  <c r="M173" i="1"/>
  <c r="M567" i="1"/>
  <c r="O1866" i="1"/>
  <c r="M1641" i="1"/>
  <c r="N1547" i="1"/>
  <c r="P1282" i="1"/>
  <c r="N1079" i="1"/>
  <c r="N1105" i="1"/>
  <c r="L2084" i="1"/>
  <c r="N1866" i="1"/>
  <c r="N1793" i="1"/>
  <c r="P1793" i="1"/>
  <c r="N1786" i="1"/>
  <c r="L1688" i="1"/>
  <c r="N1636" i="1"/>
  <c r="N1632" i="1"/>
  <c r="L1588" i="1"/>
  <c r="M1547" i="1"/>
  <c r="L1539" i="1"/>
  <c r="O1481" i="1"/>
  <c r="L1464" i="1"/>
  <c r="M1396" i="1"/>
  <c r="O1382" i="1"/>
  <c r="M1312" i="1"/>
  <c r="L1308" i="1"/>
  <c r="P1286" i="1"/>
  <c r="M1274" i="1"/>
  <c r="M1280" i="1"/>
  <c r="N1101" i="1"/>
  <c r="M912" i="1"/>
  <c r="M967" i="1" s="1"/>
  <c r="M710" i="1"/>
  <c r="M713" i="1"/>
  <c r="N693" i="1"/>
  <c r="N690" i="1" s="1"/>
  <c r="L579" i="1"/>
  <c r="L227" i="1"/>
  <c r="L2053" i="1"/>
  <c r="L2050" i="1" s="1"/>
  <c r="P1645" i="1"/>
  <c r="M1543" i="1"/>
  <c r="L1477" i="1"/>
  <c r="P1463" i="1"/>
  <c r="O1303" i="1"/>
  <c r="M911" i="1"/>
  <c r="M943" i="1" s="1"/>
  <c r="M966" i="1" s="1"/>
  <c r="O2279" i="1"/>
  <c r="O2254" i="1"/>
  <c r="L2094" i="1"/>
  <c r="O2084" i="1"/>
  <c r="L1866" i="1"/>
  <c r="P1811" i="1"/>
  <c r="M1762" i="1"/>
  <c r="M1685" i="1"/>
  <c r="L1592" i="1"/>
  <c r="O1587" i="1"/>
  <c r="P1552" i="1"/>
  <c r="L1543" i="1"/>
  <c r="M1481" i="1"/>
  <c r="O1463" i="1"/>
  <c r="O1391" i="1"/>
  <c r="O1386" i="1"/>
  <c r="O1307" i="1"/>
  <c r="P1290" i="1"/>
  <c r="L1135" i="1"/>
  <c r="P771" i="1"/>
  <c r="P768" i="1" s="1"/>
  <c r="P763" i="1" s="1"/>
  <c r="P773" i="1"/>
  <c r="P1844" i="1"/>
  <c r="P1843" i="1" s="1"/>
  <c r="M1606" i="1"/>
  <c r="P1591" i="1"/>
  <c r="N1538" i="1"/>
  <c r="L1481" i="1"/>
  <c r="L1425" i="1"/>
  <c r="M1406" i="1"/>
  <c r="L1299" i="1"/>
  <c r="O1273" i="1"/>
  <c r="L1079" i="1"/>
  <c r="M971" i="1"/>
  <c r="M961" i="1"/>
  <c r="N832" i="1"/>
  <c r="O661" i="1"/>
  <c r="N576" i="1"/>
  <c r="M211" i="1"/>
  <c r="M214" i="1"/>
  <c r="M213" i="1" s="1"/>
  <c r="L546" i="1"/>
  <c r="L202" i="1"/>
  <c r="L205" i="1" s="1"/>
  <c r="O2094" i="1"/>
  <c r="M2084" i="1"/>
  <c r="L1793" i="1"/>
  <c r="O1786" i="1"/>
  <c r="N1684" i="1"/>
  <c r="P1633" i="1"/>
  <c r="M1587" i="1"/>
  <c r="O1542" i="1"/>
  <c r="N1322" i="1"/>
  <c r="M1265" i="1"/>
  <c r="N773" i="1"/>
  <c r="N771" i="1"/>
  <c r="N768" i="1" s="1"/>
  <c r="M1684" i="1"/>
  <c r="P1606" i="1"/>
  <c r="L1411" i="1"/>
  <c r="L1341" i="1"/>
  <c r="O1103" i="1"/>
  <c r="O1077" i="1"/>
  <c r="L1110" i="1"/>
  <c r="L1124" i="1"/>
  <c r="P1025" i="1"/>
  <c r="P1022" i="1" s="1"/>
  <c r="M717" i="1"/>
  <c r="M555" i="1"/>
  <c r="M2094" i="1"/>
  <c r="O2057" i="1"/>
  <c r="M1869" i="1"/>
  <c r="M1862" i="1" s="1"/>
  <c r="N1680" i="1"/>
  <c r="O1635" i="1"/>
  <c r="L1467" i="1"/>
  <c r="P1395" i="1"/>
  <c r="L1311" i="1"/>
  <c r="N1294" i="1"/>
  <c r="P1123" i="1"/>
  <c r="M1498" i="1"/>
  <c r="O1383" i="1"/>
  <c r="N1316" i="1"/>
  <c r="M1311" i="1"/>
  <c r="P1299" i="1"/>
  <c r="M1292" i="1"/>
  <c r="P1293" i="1"/>
  <c r="M846" i="1"/>
  <c r="P708" i="1"/>
  <c r="O676" i="1"/>
  <c r="O662" i="1" s="1"/>
  <c r="N701" i="1"/>
  <c r="P657" i="1"/>
  <c r="L401" i="1"/>
  <c r="N227" i="1"/>
  <c r="O208" i="1"/>
  <c r="O271" i="1"/>
  <c r="O260" i="1" s="1"/>
  <c r="P100" i="1"/>
  <c r="P328" i="1" s="1"/>
  <c r="P344" i="1" s="1"/>
  <c r="M8" i="1"/>
  <c r="M1747" i="1" s="1"/>
  <c r="P1269" i="1"/>
  <c r="P1265" i="1"/>
  <c r="L1301" i="1"/>
  <c r="P1135" i="1"/>
  <c r="L860" i="1"/>
  <c r="N798" i="1"/>
  <c r="L715" i="1"/>
  <c r="N704" i="1"/>
  <c r="O442" i="1"/>
  <c r="O441" i="1" s="1"/>
  <c r="O570" i="1"/>
  <c r="L436" i="1"/>
  <c r="O100" i="1"/>
  <c r="O328" i="1" s="1"/>
  <c r="O344" i="1" s="1"/>
  <c r="P529" i="1"/>
  <c r="P42" i="1"/>
  <c r="P41" i="1" s="1"/>
  <c r="P1730" i="1" s="1"/>
  <c r="N1394" i="1"/>
  <c r="M1303" i="1"/>
  <c r="N1299" i="1"/>
  <c r="P1295" i="1"/>
  <c r="O1269" i="1"/>
  <c r="O1297" i="1"/>
  <c r="N1274" i="1"/>
  <c r="L1072" i="1"/>
  <c r="L1098" i="1" s="1"/>
  <c r="N955" i="1"/>
  <c r="P859" i="1"/>
  <c r="L661" i="1"/>
  <c r="P594" i="1"/>
  <c r="P524" i="1"/>
  <c r="N279" i="1"/>
  <c r="L151" i="1"/>
  <c r="O42" i="1"/>
  <c r="O41" i="1" s="1"/>
  <c r="O1730" i="1" s="1"/>
  <c r="L1544" i="1"/>
  <c r="N1535" i="1"/>
  <c r="L1476" i="1"/>
  <c r="N1471" i="1"/>
  <c r="O1467" i="1"/>
  <c r="M1383" i="1"/>
  <c r="P1310" i="1"/>
  <c r="L1307" i="1"/>
  <c r="M1299" i="1"/>
  <c r="O1295" i="1"/>
  <c r="P1277" i="1"/>
  <c r="L957" i="1"/>
  <c r="P911" i="1"/>
  <c r="P943" i="1" s="1"/>
  <c r="P966" i="1" s="1"/>
  <c r="L798" i="1"/>
  <c r="L676" i="1"/>
  <c r="L662" i="1" s="1"/>
  <c r="N657" i="1"/>
  <c r="P660" i="1"/>
  <c r="L578" i="1"/>
  <c r="N571" i="1"/>
  <c r="P294" i="1"/>
  <c r="N82" i="1"/>
  <c r="N42" i="1"/>
  <c r="N41" i="1" s="1"/>
  <c r="N1730" i="1" s="1"/>
  <c r="M1535" i="1"/>
  <c r="N1467" i="1"/>
  <c r="M1395" i="1"/>
  <c r="L1391" i="1"/>
  <c r="L1387" i="1"/>
  <c r="L1379" i="1"/>
  <c r="O1310" i="1"/>
  <c r="M1284" i="1"/>
  <c r="O1280" i="1"/>
  <c r="N1269" i="1"/>
  <c r="P1110" i="1"/>
  <c r="M997" i="1"/>
  <c r="O961" i="1"/>
  <c r="N859" i="1"/>
  <c r="N797" i="1"/>
  <c r="N732" i="1"/>
  <c r="L708" i="1"/>
  <c r="P700" i="1"/>
  <c r="N613" i="1"/>
  <c r="P389" i="1"/>
  <c r="M436" i="1"/>
  <c r="L570" i="1"/>
  <c r="P112" i="1"/>
  <c r="O1475" i="1"/>
  <c r="L1395" i="1"/>
  <c r="P1386" i="1"/>
  <c r="N1310" i="1"/>
  <c r="L1284" i="1"/>
  <c r="M1297" i="1"/>
  <c r="N1103" i="1"/>
  <c r="N888" i="1"/>
  <c r="N887" i="1" s="1"/>
  <c r="M705" i="1"/>
  <c r="O631" i="1"/>
  <c r="O389" i="1"/>
  <c r="M304" i="1"/>
  <c r="P569" i="1"/>
  <c r="N169" i="1"/>
  <c r="N340" i="1"/>
  <c r="N356" i="1" s="1"/>
  <c r="O1272" i="1"/>
  <c r="L703" i="1"/>
  <c r="P646" i="1"/>
  <c r="P644" i="1" s="1"/>
  <c r="L657" i="1"/>
  <c r="L580" i="1"/>
  <c r="L442" i="1"/>
  <c r="L575" i="1" s="1"/>
  <c r="M578" i="1"/>
  <c r="P1721" i="1"/>
  <c r="P636" i="1"/>
  <c r="L608" i="1"/>
  <c r="M613" i="1"/>
  <c r="P579" i="1"/>
  <c r="M522" i="1"/>
  <c r="O464" i="1"/>
  <c r="M389" i="1"/>
  <c r="L371" i="1"/>
  <c r="N273" i="1"/>
  <c r="M70" i="1"/>
  <c r="L878" i="1"/>
  <c r="M864" i="1"/>
  <c r="P693" i="1"/>
  <c r="P690" i="1" s="1"/>
  <c r="P608" i="1"/>
  <c r="M594" i="1"/>
  <c r="M590" i="1" s="1"/>
  <c r="O579" i="1"/>
  <c r="L1267" i="1"/>
  <c r="N987" i="1"/>
  <c r="N986" i="1" s="1"/>
  <c r="O876" i="1"/>
  <c r="L826" i="1"/>
  <c r="L631" i="1"/>
  <c r="N587" i="1"/>
  <c r="N586" i="1" s="1"/>
  <c r="M187" i="1"/>
  <c r="M186" i="1" s="1"/>
  <c r="N161" i="1"/>
  <c r="M656" i="1"/>
  <c r="O577" i="1"/>
  <c r="O101" i="1"/>
  <c r="O329" i="1" s="1"/>
  <c r="O345" i="1" s="1"/>
  <c r="O795" i="1"/>
  <c r="O699" i="1"/>
  <c r="M608" i="1"/>
  <c r="O452" i="1"/>
  <c r="O451" i="1" s="1"/>
  <c r="M215" i="1"/>
  <c r="L161" i="1"/>
  <c r="M525" i="1"/>
  <c r="L699" i="1"/>
  <c r="N599" i="1"/>
  <c r="M545" i="1"/>
  <c r="M832" i="1"/>
  <c r="O769" i="1"/>
  <c r="O861" i="1" s="1"/>
  <c r="P680" i="1"/>
  <c r="O545" i="1"/>
  <c r="M58" i="1"/>
  <c r="M57" i="1" s="1"/>
  <c r="O680" i="1"/>
  <c r="M659" i="1"/>
  <c r="O568" i="1"/>
  <c r="N282" i="1"/>
  <c r="L1377" i="1"/>
  <c r="N1278" i="1"/>
  <c r="O994" i="1"/>
  <c r="O1007" i="1" s="1"/>
  <c r="O1006" i="1" s="1"/>
  <c r="O992" i="1"/>
  <c r="O993" i="1" s="1"/>
  <c r="N974" i="1"/>
  <c r="M876" i="1"/>
  <c r="O771" i="1"/>
  <c r="O768" i="1" s="1"/>
  <c r="O763" i="1" s="1"/>
  <c r="P591" i="1"/>
  <c r="P590" i="1" s="1"/>
  <c r="L572" i="1"/>
  <c r="P573" i="1"/>
  <c r="M298" i="1"/>
  <c r="M302" i="1" s="1"/>
  <c r="L282" i="1"/>
  <c r="O572" i="1"/>
  <c r="L974" i="1"/>
  <c r="P658" i="1"/>
  <c r="L655" i="1"/>
  <c r="O598" i="1"/>
  <c r="O151" i="1"/>
  <c r="M1477" i="1"/>
  <c r="P1472" i="1"/>
  <c r="L1465" i="1"/>
  <c r="O1396" i="1"/>
  <c r="O1392" i="1"/>
  <c r="N1388" i="1"/>
  <c r="N1380" i="1"/>
  <c r="M1384" i="1"/>
  <c r="P1266" i="1"/>
  <c r="L1272" i="1"/>
  <c r="N1046" i="1"/>
  <c r="N1043" i="1" s="1"/>
  <c r="L994" i="1"/>
  <c r="L1014" i="1" s="1"/>
  <c r="L1011" i="1" s="1"/>
  <c r="M970" i="1"/>
  <c r="P305" i="1"/>
  <c r="L23" i="1"/>
  <c r="L1714" i="1" s="1"/>
  <c r="M781" i="1"/>
  <c r="M865" i="1" s="1"/>
  <c r="O705" i="1"/>
  <c r="M614" i="1"/>
  <c r="P605" i="1"/>
  <c r="N525" i="1"/>
  <c r="M36" i="1"/>
  <c r="M658" i="1"/>
  <c r="L591" i="1"/>
  <c r="M401" i="1"/>
  <c r="L112" i="1"/>
  <c r="L340" i="1" s="1"/>
  <c r="L356" i="1" s="1"/>
  <c r="L501" i="1" s="1"/>
  <c r="L490" i="1" s="1"/>
  <c r="L36" i="1"/>
  <c r="M662" i="1"/>
  <c r="P661" i="1"/>
  <c r="N658" i="1"/>
  <c r="M530" i="1"/>
  <c r="P1684" i="1"/>
  <c r="L1645" i="1"/>
  <c r="L1641" i="1"/>
  <c r="O1592" i="1"/>
  <c r="P1588" i="1"/>
  <c r="L1545" i="1"/>
  <c r="N1508" i="1"/>
  <c r="O1480" i="1"/>
  <c r="M1472" i="1"/>
  <c r="N1464" i="1"/>
  <c r="N1460" i="1"/>
  <c r="P1307" i="1"/>
  <c r="P1303" i="1"/>
  <c r="N1281" i="1"/>
  <c r="P1273" i="1"/>
  <c r="M1270" i="1"/>
  <c r="L1305" i="1"/>
  <c r="P969" i="1"/>
  <c r="M937" i="1"/>
  <c r="L968" i="1"/>
  <c r="O860" i="1"/>
  <c r="O800" i="1"/>
  <c r="M695" i="1"/>
  <c r="L705" i="1"/>
  <c r="P701" i="1"/>
  <c r="N605" i="1"/>
  <c r="L389" i="1"/>
  <c r="L397" i="1"/>
  <c r="M556" i="1"/>
  <c r="L106" i="1"/>
  <c r="L334" i="1" s="1"/>
  <c r="L350" i="1" s="1"/>
  <c r="L495" i="1" s="1"/>
  <c r="L484" i="1" s="1"/>
  <c r="O1025" i="1"/>
  <c r="O1022" i="1" s="1"/>
  <c r="P1114" i="1"/>
  <c r="L1114" i="1"/>
  <c r="P1099" i="1"/>
  <c r="L920" i="1"/>
  <c r="L1043" i="1"/>
  <c r="L1096" i="1" s="1"/>
  <c r="O920" i="1"/>
  <c r="N2234" i="1"/>
  <c r="N1731" i="1"/>
  <c r="M1731" i="1"/>
  <c r="M1043" i="1"/>
  <c r="M1069" i="1" s="1"/>
  <c r="M880" i="1"/>
  <c r="M563" i="1"/>
  <c r="P1640" i="1"/>
  <c r="N879" i="1"/>
  <c r="O1036" i="1"/>
  <c r="M1036" i="1"/>
  <c r="P270" i="1"/>
  <c r="P259" i="1" s="1"/>
  <c r="P1105" i="1"/>
  <c r="P1052" i="1"/>
  <c r="P1049" i="1" s="1"/>
  <c r="P1050" i="1" s="1"/>
  <c r="O2165" i="1"/>
  <c r="N2213" i="1"/>
  <c r="O2012" i="1"/>
  <c r="N2254" i="1"/>
  <c r="O2189" i="1"/>
  <c r="N2012" i="1"/>
  <c r="M2254" i="1"/>
  <c r="P2012" i="1"/>
  <c r="P2301" i="1"/>
  <c r="P2295" i="1" s="1"/>
  <c r="L2254" i="1"/>
  <c r="L2253" i="1" s="1"/>
  <c r="M2012" i="1"/>
  <c r="L2012" i="1"/>
  <c r="P1978" i="1"/>
  <c r="O1978" i="1"/>
  <c r="L1954" i="1"/>
  <c r="L2223" i="1"/>
  <c r="N1978" i="1"/>
  <c r="M1978" i="1"/>
  <c r="O2301" i="1"/>
  <c r="L1978" i="1"/>
  <c r="L2296" i="1"/>
  <c r="M2259" i="1"/>
  <c r="N2189" i="1"/>
  <c r="O2114" i="1"/>
  <c r="P1954" i="1"/>
  <c r="M2114" i="1"/>
  <c r="M2301" i="1"/>
  <c r="O2276" i="1"/>
  <c r="P2189" i="1"/>
  <c r="N2301" i="1"/>
  <c r="N2295" i="1" s="1"/>
  <c r="O2022" i="1"/>
  <c r="N2276" i="1"/>
  <c r="N2165" i="1"/>
  <c r="L2114" i="1"/>
  <c r="N2024" i="1"/>
  <c r="M2022" i="1"/>
  <c r="O2223" i="1"/>
  <c r="N1954" i="1"/>
  <c r="O2296" i="1"/>
  <c r="L2273" i="1"/>
  <c r="P2259" i="1"/>
  <c r="P2253" i="1" s="1"/>
  <c r="N2259" i="1"/>
  <c r="P2114" i="1"/>
  <c r="L2024" i="1"/>
  <c r="P2165" i="1"/>
  <c r="N2114" i="1"/>
  <c r="P2024" i="1"/>
  <c r="P2313" i="1"/>
  <c r="P2223" i="1"/>
  <c r="L2213" i="1"/>
  <c r="M2165" i="1"/>
  <c r="O2313" i="1"/>
  <c r="O2315" i="1"/>
  <c r="N2223" i="1"/>
  <c r="M2189" i="1"/>
  <c r="L2165" i="1"/>
  <c r="N2315" i="1"/>
  <c r="N2313" i="1"/>
  <c r="L2189" i="1"/>
  <c r="M2313" i="1"/>
  <c r="L2002" i="1"/>
  <c r="N1552" i="1"/>
  <c r="N1587" i="1"/>
  <c r="M2223" i="1"/>
  <c r="P2022" i="1"/>
  <c r="N2022" i="1"/>
  <c r="L1649" i="1"/>
  <c r="L1684" i="1"/>
  <c r="P1533" i="1"/>
  <c r="P1518" i="1"/>
  <c r="P2002" i="1"/>
  <c r="P1491" i="1"/>
  <c r="P1490" i="1" s="1"/>
  <c r="P1496" i="1"/>
  <c r="P2213" i="1"/>
  <c r="L2022" i="1"/>
  <c r="O1844" i="1"/>
  <c r="N1518" i="1"/>
  <c r="N1533" i="1"/>
  <c r="O2002" i="1"/>
  <c r="P1903" i="1"/>
  <c r="L2313" i="1"/>
  <c r="O2213" i="1"/>
  <c r="M1843" i="1"/>
  <c r="O1599" i="1"/>
  <c r="N1541" i="1"/>
  <c r="L1518" i="1"/>
  <c r="L1533" i="1"/>
  <c r="N2002" i="1"/>
  <c r="L1590" i="1"/>
  <c r="L1559" i="1"/>
  <c r="N1550" i="1"/>
  <c r="N1586" i="1"/>
  <c r="P1863" i="1"/>
  <c r="M2002" i="1"/>
  <c r="N1903" i="1"/>
  <c r="O1559" i="1"/>
  <c r="L1541" i="1"/>
  <c r="M1903" i="1"/>
  <c r="L1903" i="1"/>
  <c r="N1862" i="1"/>
  <c r="L1599" i="1"/>
  <c r="P1573" i="1"/>
  <c r="L1435" i="1"/>
  <c r="L1461" i="1"/>
  <c r="O1825" i="1"/>
  <c r="N1678" i="1"/>
  <c r="N1641" i="1"/>
  <c r="P1435" i="1"/>
  <c r="P1460" i="1"/>
  <c r="O1573" i="1"/>
  <c r="O1849" i="1"/>
  <c r="M1825" i="1"/>
  <c r="N1584" i="1"/>
  <c r="N1573" i="1"/>
  <c r="N1886" i="1"/>
  <c r="M1707" i="1"/>
  <c r="M1584" i="1"/>
  <c r="M1573" i="1"/>
  <c r="M1885" i="1"/>
  <c r="O1645" i="1"/>
  <c r="O1681" i="1"/>
  <c r="M1632" i="1"/>
  <c r="L1584" i="1"/>
  <c r="L1573" i="1"/>
  <c r="M1486" i="1"/>
  <c r="M1489" i="1"/>
  <c r="L1707" i="1"/>
  <c r="N1645" i="1"/>
  <c r="N1681" i="1"/>
  <c r="M1633" i="1"/>
  <c r="M1597" i="1"/>
  <c r="O1954" i="1"/>
  <c r="O1903" i="1"/>
  <c r="M1645" i="1"/>
  <c r="P1584" i="1"/>
  <c r="P1547" i="1"/>
  <c r="P1587" i="1"/>
  <c r="O1547" i="1"/>
  <c r="O1584" i="1"/>
  <c r="P1425" i="1"/>
  <c r="P1830" i="1"/>
  <c r="P1824" i="1" s="1"/>
  <c r="P1687" i="1"/>
  <c r="N1592" i="1"/>
  <c r="N1567" i="1"/>
  <c r="N1891" i="1"/>
  <c r="O1830" i="1"/>
  <c r="O1631" i="1"/>
  <c r="O1620" i="1"/>
  <c r="O1606" i="1"/>
  <c r="M1954" i="1"/>
  <c r="N1631" i="1"/>
  <c r="N1620" i="1"/>
  <c r="M1631" i="1"/>
  <c r="M1620" i="1"/>
  <c r="L1891" i="1"/>
  <c r="L1620" i="1"/>
  <c r="L1631" i="1"/>
  <c r="N1591" i="1"/>
  <c r="P1589" i="1"/>
  <c r="P1489" i="1"/>
  <c r="P1620" i="1"/>
  <c r="P1538" i="1"/>
  <c r="P1503" i="1"/>
  <c r="O1496" i="1"/>
  <c r="N1489" i="1"/>
  <c r="M1466" i="1"/>
  <c r="M1279" i="1"/>
  <c r="O1503" i="1"/>
  <c r="O1497" i="1" s="1"/>
  <c r="N1493" i="1"/>
  <c r="N1496" i="1"/>
  <c r="L1489" i="1"/>
  <c r="M1425" i="1"/>
  <c r="M1322" i="1"/>
  <c r="N1180" i="1"/>
  <c r="M1468" i="1"/>
  <c r="L1390" i="1"/>
  <c r="P1385" i="1"/>
  <c r="N1559" i="1"/>
  <c r="O1489" i="1"/>
  <c r="O1400" i="1"/>
  <c r="M1378" i="1"/>
  <c r="O1301" i="1"/>
  <c r="L1203" i="1"/>
  <c r="M1180" i="1"/>
  <c r="P1614" i="1"/>
  <c r="P1411" i="1"/>
  <c r="L1378" i="1"/>
  <c r="M1503" i="1"/>
  <c r="N1400" i="1"/>
  <c r="N1389" i="1"/>
  <c r="N1385" i="1"/>
  <c r="L1180" i="1"/>
  <c r="L1296" i="1"/>
  <c r="P1544" i="1"/>
  <c r="L1471" i="1"/>
  <c r="N1411" i="1"/>
  <c r="N1393" i="1"/>
  <c r="M1389" i="1"/>
  <c r="P1341" i="1"/>
  <c r="N1293" i="1"/>
  <c r="M1213" i="1"/>
  <c r="O1157" i="1"/>
  <c r="O1282" i="1"/>
  <c r="M1097" i="1"/>
  <c r="N1710" i="1"/>
  <c r="O1493" i="1"/>
  <c r="M1278" i="1"/>
  <c r="N1157" i="1"/>
  <c r="M1493" i="1"/>
  <c r="M1411" i="1"/>
  <c r="M1393" i="1"/>
  <c r="P1157" i="1"/>
  <c r="M1157" i="1"/>
  <c r="N1137" i="1"/>
  <c r="L1710" i="1"/>
  <c r="M1099" i="1"/>
  <c r="M1132" i="1"/>
  <c r="O1486" i="1"/>
  <c r="P1462" i="1"/>
  <c r="O1266" i="1"/>
  <c r="O1213" i="1"/>
  <c r="P1473" i="1"/>
  <c r="P1316" i="1"/>
  <c r="L1137" i="1"/>
  <c r="O1435" i="1"/>
  <c r="P1351" i="1"/>
  <c r="O1316" i="1"/>
  <c r="N1277" i="1"/>
  <c r="O1552" i="1"/>
  <c r="O1533" i="1"/>
  <c r="M1460" i="1"/>
  <c r="M1392" i="1"/>
  <c r="L1270" i="1"/>
  <c r="L1470" i="1"/>
  <c r="M1316" i="1"/>
  <c r="N1273" i="1"/>
  <c r="P1406" i="1"/>
  <c r="M1351" i="1"/>
  <c r="N1327" i="1"/>
  <c r="N1036" i="1"/>
  <c r="N1037" i="1"/>
  <c r="M1533" i="1"/>
  <c r="O1406" i="1"/>
  <c r="P1391" i="1"/>
  <c r="M1327" i="1"/>
  <c r="L1316" i="1"/>
  <c r="N1406" i="1"/>
  <c r="P1379" i="1"/>
  <c r="L1351" i="1"/>
  <c r="L1376" i="1"/>
  <c r="N1536" i="1"/>
  <c r="O1460" i="1"/>
  <c r="N1435" i="1"/>
  <c r="L1327" i="1"/>
  <c r="N1213" i="1"/>
  <c r="O1539" i="1"/>
  <c r="O1395" i="1"/>
  <c r="O1351" i="1"/>
  <c r="O1276" i="1"/>
  <c r="N1314" i="1"/>
  <c r="L1036" i="1"/>
  <c r="L1037" i="1"/>
  <c r="O1518" i="1"/>
  <c r="L1406" i="1"/>
  <c r="N1395" i="1"/>
  <c r="M1387" i="1"/>
  <c r="O1462" i="1"/>
  <c r="O1341" i="1"/>
  <c r="N1272" i="1"/>
  <c r="N1341" i="1"/>
  <c r="L1280" i="1"/>
  <c r="L1213" i="1"/>
  <c r="P1376" i="1"/>
  <c r="M1341" i="1"/>
  <c r="P1322" i="1"/>
  <c r="P1203" i="1"/>
  <c r="P1314" i="1" s="1"/>
  <c r="N1120" i="1"/>
  <c r="N1026" i="1"/>
  <c r="N1025" i="1" s="1"/>
  <c r="N1022" i="1" s="1"/>
  <c r="O1425" i="1"/>
  <c r="P1213" i="1"/>
  <c r="O1203" i="1"/>
  <c r="P1180" i="1"/>
  <c r="P997" i="1"/>
  <c r="P961" i="1"/>
  <c r="P933" i="1"/>
  <c r="L1265" i="1"/>
  <c r="N1112" i="1"/>
  <c r="L1062" i="1"/>
  <c r="O997" i="1"/>
  <c r="N997" i="1"/>
  <c r="N1351" i="1"/>
  <c r="L1103" i="1"/>
  <c r="O1062" i="1"/>
  <c r="M1025" i="1"/>
  <c r="M1022" i="1" s="1"/>
  <c r="L1088" i="1"/>
  <c r="M987" i="1"/>
  <c r="M986" i="1" s="1"/>
  <c r="L1120" i="1"/>
  <c r="L1026" i="1"/>
  <c r="L1025" i="1" s="1"/>
  <c r="L1022" i="1" s="1"/>
  <c r="L987" i="1"/>
  <c r="L986" i="1" s="1"/>
  <c r="P977" i="1"/>
  <c r="P927" i="1"/>
  <c r="P955" i="1"/>
  <c r="M1435" i="1"/>
  <c r="N1135" i="1"/>
  <c r="M1111" i="1"/>
  <c r="N1073" i="1"/>
  <c r="O977" i="1"/>
  <c r="O1079" i="1"/>
  <c r="O1122" i="1"/>
  <c r="N994" i="1"/>
  <c r="N1007" i="1" s="1"/>
  <c r="M1079" i="1"/>
  <c r="P1037" i="1"/>
  <c r="O1021" i="1"/>
  <c r="O1023" i="1"/>
  <c r="M977" i="1"/>
  <c r="M1273" i="1"/>
  <c r="O1133" i="1"/>
  <c r="M1122" i="1"/>
  <c r="L1101" i="1"/>
  <c r="L1133" i="1"/>
  <c r="M1073" i="1"/>
  <c r="L1122" i="1"/>
  <c r="P1072" i="1"/>
  <c r="P1098" i="1" s="1"/>
  <c r="M1011" i="1"/>
  <c r="M1052" i="1"/>
  <c r="M1049" i="1" s="1"/>
  <c r="M1050" i="1" s="1"/>
  <c r="P1120" i="1"/>
  <c r="N1109" i="1"/>
  <c r="M1060" i="1"/>
  <c r="P1033" i="1"/>
  <c r="P1034" i="1" s="1"/>
  <c r="L1093" i="1"/>
  <c r="N1072" i="1"/>
  <c r="N1098" i="1" s="1"/>
  <c r="L1052" i="1"/>
  <c r="L1049" i="1" s="1"/>
  <c r="L1050" i="1" s="1"/>
  <c r="N1284" i="1"/>
  <c r="P1065" i="1"/>
  <c r="M1037" i="1"/>
  <c r="L1132" i="1"/>
  <c r="L1007" i="1"/>
  <c r="L1126" i="1" s="1"/>
  <c r="N1110" i="1"/>
  <c r="L1033" i="1"/>
  <c r="L1034" i="1" s="1"/>
  <c r="M1007" i="1"/>
  <c r="L992" i="1"/>
  <c r="L993" i="1" s="1"/>
  <c r="M1023" i="1"/>
  <c r="O1137" i="1"/>
  <c r="L1065" i="1"/>
  <c r="L1023" i="1"/>
  <c r="P1036" i="1"/>
  <c r="M974" i="1"/>
  <c r="M1137" i="1"/>
  <c r="L1127" i="1"/>
  <c r="N990" i="1"/>
  <c r="P1306" i="1"/>
  <c r="O1180" i="1"/>
  <c r="M1077" i="1"/>
  <c r="M990" i="1"/>
  <c r="M1113" i="1"/>
  <c r="M1005" i="1"/>
  <c r="M1002" i="1" s="1"/>
  <c r="L990" i="1"/>
  <c r="O1152" i="1"/>
  <c r="O1113" i="1"/>
  <c r="N956" i="1"/>
  <c r="M862" i="1"/>
  <c r="M823" i="1"/>
  <c r="O781" i="1"/>
  <c r="O865" i="1" s="1"/>
  <c r="O864" i="1"/>
  <c r="P769" i="1"/>
  <c r="P861" i="1" s="1"/>
  <c r="M765" i="1"/>
  <c r="M858" i="1" s="1"/>
  <c r="M956" i="1"/>
  <c r="O900" i="1"/>
  <c r="O923" i="1"/>
  <c r="O894" i="1"/>
  <c r="L862" i="1"/>
  <c r="L823" i="1"/>
  <c r="N863" i="1"/>
  <c r="N781" i="1"/>
  <c r="N865" i="1" s="1"/>
  <c r="N661" i="1"/>
  <c r="M661" i="1"/>
  <c r="M641" i="1"/>
  <c r="L604" i="1"/>
  <c r="M949" i="1"/>
  <c r="N923" i="1"/>
  <c r="N894" i="1"/>
  <c r="P823" i="1"/>
  <c r="M784" i="1"/>
  <c r="N877" i="1"/>
  <c r="M810" i="1"/>
  <c r="M879" i="1"/>
  <c r="P713" i="1"/>
  <c r="P712" i="1"/>
  <c r="M900" i="1"/>
  <c r="M923" i="1"/>
  <c r="L863" i="1"/>
  <c r="L781" i="1"/>
  <c r="L865" i="1" s="1"/>
  <c r="L784" i="1"/>
  <c r="N703" i="1"/>
  <c r="O947" i="1"/>
  <c r="O969" i="1"/>
  <c r="O959" i="1"/>
  <c r="O933" i="1"/>
  <c r="P810" i="1"/>
  <c r="P879" i="1"/>
  <c r="N769" i="1"/>
  <c r="N861" i="1" s="1"/>
  <c r="P281" i="1"/>
  <c r="P798" i="1"/>
  <c r="O955" i="1"/>
  <c r="N947" i="1"/>
  <c r="N969" i="1"/>
  <c r="L894" i="1"/>
  <c r="L900" i="1"/>
  <c r="L923" i="1"/>
  <c r="L701" i="1"/>
  <c r="N694" i="1"/>
  <c r="N691" i="1" s="1"/>
  <c r="N700" i="1"/>
  <c r="O626" i="1"/>
  <c r="M959" i="1"/>
  <c r="M933" i="1"/>
  <c r="N850" i="1"/>
  <c r="N880" i="1"/>
  <c r="L771" i="1"/>
  <c r="L768" i="1" s="1"/>
  <c r="L763" i="1" s="1"/>
  <c r="L773" i="1"/>
  <c r="L769" i="1" s="1"/>
  <c r="L861" i="1" s="1"/>
  <c r="P741" i="1"/>
  <c r="P735" i="1" s="1"/>
  <c r="L672" i="1"/>
  <c r="L694" i="1"/>
  <c r="L691" i="1" s="1"/>
  <c r="L959" i="1"/>
  <c r="L933" i="1"/>
  <c r="P894" i="1"/>
  <c r="P900" i="1"/>
  <c r="N660" i="1"/>
  <c r="N651" i="1"/>
  <c r="N795" i="1"/>
  <c r="M103" i="1"/>
  <c r="M196" i="1"/>
  <c r="M193" i="1" s="1"/>
  <c r="N977" i="1"/>
  <c r="O717" i="1"/>
  <c r="O714" i="1" s="1"/>
  <c r="O731" i="1"/>
  <c r="M673" i="1"/>
  <c r="M670" i="1" s="1"/>
  <c r="M671" i="1"/>
  <c r="M693" i="1"/>
  <c r="M660" i="1"/>
  <c r="M651" i="1"/>
  <c r="O646" i="1"/>
  <c r="O644" i="1" s="1"/>
  <c r="O656" i="1"/>
  <c r="M795" i="1"/>
  <c r="N933" i="1"/>
  <c r="N920" i="1"/>
  <c r="M817" i="1"/>
  <c r="O269" i="1"/>
  <c r="O258" i="1" s="1"/>
  <c r="M1004" i="1"/>
  <c r="P993" i="1"/>
  <c r="L864" i="1"/>
  <c r="M538" i="1"/>
  <c r="N992" i="1"/>
  <c r="N993" i="1" s="1"/>
  <c r="L626" i="1"/>
  <c r="L537" i="1"/>
  <c r="M992" i="1"/>
  <c r="M993" i="1" s="1"/>
  <c r="M968" i="1"/>
  <c r="N723" i="1"/>
  <c r="N730" i="1"/>
  <c r="O713" i="1"/>
  <c r="O710" i="1"/>
  <c r="N601" i="1"/>
  <c r="N612" i="1"/>
  <c r="N713" i="1"/>
  <c r="N710" i="1"/>
  <c r="M672" i="1"/>
  <c r="M694" i="1"/>
  <c r="M691" i="1" s="1"/>
  <c r="N970" i="1"/>
  <c r="N917" i="1"/>
  <c r="P864" i="1"/>
  <c r="M859" i="1"/>
  <c r="M612" i="1"/>
  <c r="M601" i="1"/>
  <c r="L879" i="1"/>
  <c r="O659" i="1"/>
  <c r="O655" i="1"/>
  <c r="P599" i="1"/>
  <c r="L554" i="1"/>
  <c r="L917" i="1"/>
  <c r="L970" i="1"/>
  <c r="N864" i="1"/>
  <c r="N826" i="1"/>
  <c r="P730" i="1"/>
  <c r="P715" i="1"/>
  <c r="P695" i="1"/>
  <c r="P704" i="1"/>
  <c r="P987" i="1"/>
  <c r="L888" i="1"/>
  <c r="O282" i="1"/>
  <c r="O799" i="1"/>
  <c r="N70" i="1"/>
  <c r="N75" i="1"/>
  <c r="N74" i="1" s="1"/>
  <c r="N526" i="1"/>
  <c r="P717" i="1"/>
  <c r="L671" i="1"/>
  <c r="L702" i="1"/>
  <c r="O987" i="1"/>
  <c r="P960" i="1"/>
  <c r="P910" i="1"/>
  <c r="P942" i="1" s="1"/>
  <c r="P965" i="1" s="1"/>
  <c r="P909" i="1"/>
  <c r="P941" i="1" s="1"/>
  <c r="P964" i="1" s="1"/>
  <c r="O889" i="1"/>
  <c r="O891" i="1"/>
  <c r="O888" i="1" s="1"/>
  <c r="O887" i="1" s="1"/>
  <c r="P846" i="1"/>
  <c r="P878" i="1"/>
  <c r="N695" i="1"/>
  <c r="N911" i="1"/>
  <c r="N943" i="1" s="1"/>
  <c r="N966" i="1" s="1"/>
  <c r="N518" i="1"/>
  <c r="O910" i="1"/>
  <c r="O942" i="1" s="1"/>
  <c r="O965" i="1" s="1"/>
  <c r="O908" i="1"/>
  <c r="O940" i="1" s="1"/>
  <c r="O963" i="1" s="1"/>
  <c r="O909" i="1"/>
  <c r="O941" i="1" s="1"/>
  <c r="O964" i="1" s="1"/>
  <c r="P598" i="1"/>
  <c r="N442" i="1"/>
  <c r="N443" i="1"/>
  <c r="M566" i="1"/>
  <c r="M800" i="1"/>
  <c r="L997" i="1"/>
  <c r="N908" i="1"/>
  <c r="N940" i="1" s="1"/>
  <c r="N963" i="1" s="1"/>
  <c r="N910" i="1"/>
  <c r="N942" i="1" s="1"/>
  <c r="N965" i="1" s="1"/>
  <c r="M889" i="1"/>
  <c r="M891" i="1"/>
  <c r="M888" i="1" s="1"/>
  <c r="M887" i="1" s="1"/>
  <c r="M969" i="1"/>
  <c r="M960" i="1"/>
  <c r="P970" i="1"/>
  <c r="P949" i="1"/>
  <c r="N784" i="1"/>
  <c r="L765" i="1"/>
  <c r="L858" i="1" s="1"/>
  <c r="L859" i="1"/>
  <c r="L817" i="1"/>
  <c r="M741" i="1"/>
  <c r="M735" i="1" s="1"/>
  <c r="N705" i="1"/>
  <c r="L969" i="1"/>
  <c r="O970" i="1"/>
  <c r="O949" i="1"/>
  <c r="L908" i="1"/>
  <c r="L940" i="1" s="1"/>
  <c r="L963" i="1" s="1"/>
  <c r="L910" i="1"/>
  <c r="L942" i="1" s="1"/>
  <c r="L965" i="1" s="1"/>
  <c r="P862" i="1"/>
  <c r="P656" i="1"/>
  <c r="P459" i="1"/>
  <c r="P580" i="1"/>
  <c r="O240" i="1"/>
  <c r="P881" i="1"/>
  <c r="P852" i="1"/>
  <c r="M714" i="1"/>
  <c r="O956" i="1"/>
  <c r="O912" i="1"/>
  <c r="O967" i="1" s="1"/>
  <c r="O881" i="1"/>
  <c r="O852" i="1"/>
  <c r="N862" i="1"/>
  <c r="N823" i="1"/>
  <c r="P784" i="1"/>
  <c r="N763" i="1"/>
  <c r="L714" i="1"/>
  <c r="O701" i="1"/>
  <c r="N604" i="1"/>
  <c r="N459" i="1"/>
  <c r="N580" i="1"/>
  <c r="P781" i="1"/>
  <c r="P865" i="1" s="1"/>
  <c r="O730" i="1"/>
  <c r="N702" i="1"/>
  <c r="M580" i="1"/>
  <c r="N554" i="1"/>
  <c r="P110" i="1"/>
  <c r="M264" i="1"/>
  <c r="M253" i="1" s="1"/>
  <c r="O82" i="1"/>
  <c r="O529" i="1"/>
  <c r="N64" i="1"/>
  <c r="N522" i="1"/>
  <c r="M826" i="1"/>
  <c r="P672" i="1"/>
  <c r="N461" i="1"/>
  <c r="N581" i="1"/>
  <c r="O379" i="1"/>
  <c r="N145" i="1"/>
  <c r="M894" i="1"/>
  <c r="O694" i="1"/>
  <c r="O691" i="1" s="1"/>
  <c r="O693" i="1"/>
  <c r="L550" i="1"/>
  <c r="L526" i="1"/>
  <c r="O270" i="1"/>
  <c r="O259" i="1" s="1"/>
  <c r="P104" i="1"/>
  <c r="M82" i="1"/>
  <c r="M529" i="1"/>
  <c r="N23" i="1"/>
  <c r="O878" i="1"/>
  <c r="O695" i="1"/>
  <c r="N626" i="1"/>
  <c r="N624" i="1" s="1"/>
  <c r="L613" i="1"/>
  <c r="P442" i="1"/>
  <c r="P441" i="1" s="1"/>
  <c r="P443" i="1"/>
  <c r="P539" i="1"/>
  <c r="P566" i="1"/>
  <c r="P103" i="1"/>
  <c r="P331" i="1" s="1"/>
  <c r="P347" i="1" s="1"/>
  <c r="P426" i="1" s="1"/>
  <c r="P196" i="1"/>
  <c r="P193" i="1" s="1"/>
  <c r="L82" i="1"/>
  <c r="L529" i="1"/>
  <c r="P70" i="1"/>
  <c r="P526" i="1"/>
  <c r="P75" i="1"/>
  <c r="P74" i="1" s="1"/>
  <c r="N878" i="1"/>
  <c r="P819" i="1"/>
  <c r="L800" i="1"/>
  <c r="M599" i="1"/>
  <c r="L549" i="1"/>
  <c r="N298" i="1"/>
  <c r="N302" i="1" s="1"/>
  <c r="M161" i="1"/>
  <c r="L58" i="1"/>
  <c r="M680" i="1"/>
  <c r="O612" i="1"/>
  <c r="L566" i="1"/>
  <c r="N536" i="1"/>
  <c r="M443" i="1"/>
  <c r="M442" i="1"/>
  <c r="M441" i="1" s="1"/>
  <c r="O401" i="1"/>
  <c r="O206" i="1"/>
  <c r="M151" i="1"/>
  <c r="M329" i="1"/>
  <c r="M345" i="1" s="1"/>
  <c r="P149" i="1"/>
  <c r="P659" i="1"/>
  <c r="O173" i="1"/>
  <c r="O823" i="1"/>
  <c r="L799" i="1"/>
  <c r="N646" i="1"/>
  <c r="O605" i="1"/>
  <c r="O604" i="1" s="1"/>
  <c r="N594" i="1"/>
  <c r="O576" i="1"/>
  <c r="M366" i="1"/>
  <c r="P35" i="1"/>
  <c r="P1725" i="1" s="1"/>
  <c r="M877" i="1"/>
  <c r="P401" i="1"/>
  <c r="N288" i="1"/>
  <c r="L269" i="1"/>
  <c r="L258" i="1" s="1"/>
  <c r="P572" i="1"/>
  <c r="M328" i="1"/>
  <c r="M344" i="1" s="1"/>
  <c r="O51" i="1"/>
  <c r="L877" i="1"/>
  <c r="P765" i="1"/>
  <c r="P858" i="1" s="1"/>
  <c r="P655" i="1"/>
  <c r="M646" i="1"/>
  <c r="L612" i="1"/>
  <c r="M576" i="1"/>
  <c r="N401" i="1"/>
  <c r="N377" i="1"/>
  <c r="M536" i="1"/>
  <c r="M350" i="1"/>
  <c r="M495" i="1" s="1"/>
  <c r="M484" i="1" s="1"/>
  <c r="O237" i="1"/>
  <c r="O236" i="1" s="1"/>
  <c r="O238" i="1"/>
  <c r="P577" i="1"/>
  <c r="P222" i="1"/>
  <c r="P221" i="1" s="1"/>
  <c r="L567" i="1"/>
  <c r="L173" i="1"/>
  <c r="O765" i="1"/>
  <c r="O858" i="1" s="1"/>
  <c r="M699" i="1"/>
  <c r="N659" i="1"/>
  <c r="L646" i="1"/>
  <c r="L656" i="1"/>
  <c r="M598" i="1"/>
  <c r="L452" i="1"/>
  <c r="L451" i="1" s="1"/>
  <c r="L449" i="1"/>
  <c r="O268" i="1"/>
  <c r="O257" i="1" s="1"/>
  <c r="P214" i="1"/>
  <c r="P213" i="1" s="1"/>
  <c r="O331" i="1"/>
  <c r="O196" i="1"/>
  <c r="O193" i="1" s="1"/>
  <c r="N267" i="1"/>
  <c r="N256" i="1" s="1"/>
  <c r="P195" i="1"/>
  <c r="N35" i="1"/>
  <c r="N1725" i="1" s="1"/>
  <c r="N765" i="1"/>
  <c r="N858" i="1" s="1"/>
  <c r="L594" i="1"/>
  <c r="P556" i="1"/>
  <c r="O566" i="1"/>
  <c r="M238" i="1"/>
  <c r="O211" i="1"/>
  <c r="O210" i="1" s="1"/>
  <c r="O214" i="1"/>
  <c r="O213" i="1" s="1"/>
  <c r="N110" i="1"/>
  <c r="P891" i="1"/>
  <c r="P888" i="1" s="1"/>
  <c r="O686" i="1"/>
  <c r="M655" i="1"/>
  <c r="O601" i="1"/>
  <c r="L598" i="1"/>
  <c r="O556" i="1"/>
  <c r="M288" i="1"/>
  <c r="N268" i="1"/>
  <c r="N257" i="1" s="1"/>
  <c r="M222" i="1"/>
  <c r="M221" i="1" s="1"/>
  <c r="M219" i="1"/>
  <c r="N202" i="1"/>
  <c r="N205" i="1" s="1"/>
  <c r="M269" i="1"/>
  <c r="M258" i="1" s="1"/>
  <c r="M35" i="1"/>
  <c r="M1725" i="1" s="1"/>
  <c r="L710" i="1"/>
  <c r="L659" i="1"/>
  <c r="P641" i="1"/>
  <c r="N509" i="1"/>
  <c r="L219" i="1"/>
  <c r="M148" i="1"/>
  <c r="N113" i="1"/>
  <c r="P107" i="1"/>
  <c r="M195" i="1"/>
  <c r="M624" i="1"/>
  <c r="M547" i="1"/>
  <c r="M113" i="1"/>
  <c r="L195" i="1"/>
  <c r="N671" i="1"/>
  <c r="L601" i="1"/>
  <c r="O523" i="1"/>
  <c r="O294" i="1"/>
  <c r="P211" i="1"/>
  <c r="P210" i="1" s="1"/>
  <c r="O188" i="1"/>
  <c r="P147" i="1"/>
  <c r="L272" i="1"/>
  <c r="L261" i="1" s="1"/>
  <c r="N266" i="1"/>
  <c r="N255" i="1" s="1"/>
  <c r="N107" i="1"/>
  <c r="P101" i="1"/>
  <c r="P329" i="1" s="1"/>
  <c r="P345" i="1" s="1"/>
  <c r="P531" i="1"/>
  <c r="M686" i="1"/>
  <c r="P417" i="1"/>
  <c r="P416" i="1" s="1"/>
  <c r="N294" i="1"/>
  <c r="N523" i="1"/>
  <c r="P202" i="1"/>
  <c r="P205" i="1" s="1"/>
  <c r="P455" i="1"/>
  <c r="P578" i="1"/>
  <c r="O553" i="1"/>
  <c r="P533" i="1"/>
  <c r="M523" i="1"/>
  <c r="M294" i="1"/>
  <c r="M188" i="1"/>
  <c r="O169" i="1"/>
  <c r="O29" i="1"/>
  <c r="O1720" i="1" s="1"/>
  <c r="P541" i="1"/>
  <c r="P500" i="1"/>
  <c r="O578" i="1"/>
  <c r="O455" i="1"/>
  <c r="N527" i="1"/>
  <c r="L294" i="1"/>
  <c r="L523" i="1"/>
  <c r="O202" i="1"/>
  <c r="O205" i="1" s="1"/>
  <c r="N565" i="1"/>
  <c r="P337" i="1"/>
  <c r="P353" i="1" s="1"/>
  <c r="L75" i="1"/>
  <c r="L74" i="1" s="1"/>
  <c r="P3" i="1"/>
  <c r="P880" i="1"/>
  <c r="P863" i="1"/>
  <c r="P686" i="1"/>
  <c r="L587" i="1"/>
  <c r="L586" i="1" s="1"/>
  <c r="L542" i="1"/>
  <c r="P436" i="1"/>
  <c r="P550" i="1"/>
  <c r="M417" i="1"/>
  <c r="M416" i="1" s="1"/>
  <c r="M415" i="1"/>
  <c r="M414" i="1" s="1"/>
  <c r="M265" i="1"/>
  <c r="M254" i="1" s="1"/>
  <c r="L368" i="1"/>
  <c r="P528" i="1"/>
  <c r="L704" i="1"/>
  <c r="N686" i="1"/>
  <c r="O636" i="1"/>
  <c r="O634" i="1" s="1"/>
  <c r="P614" i="1"/>
  <c r="P581" i="1"/>
  <c r="N503" i="1"/>
  <c r="O531" i="1"/>
  <c r="N305" i="1"/>
  <c r="N469" i="1"/>
  <c r="N468" i="1" s="1"/>
  <c r="P264" i="1"/>
  <c r="P253" i="1" s="1"/>
  <c r="O266" i="1"/>
  <c r="O255" i="1" s="1"/>
  <c r="L576" i="1"/>
  <c r="M208" i="1"/>
  <c r="L518" i="1"/>
  <c r="L169" i="1"/>
  <c r="P801" i="1"/>
  <c r="L686" i="1"/>
  <c r="P631" i="1"/>
  <c r="O581" i="1"/>
  <c r="O528" i="1"/>
  <c r="M367" i="1"/>
  <c r="M542" i="1"/>
  <c r="N151" i="1"/>
  <c r="N106" i="1"/>
  <c r="N334" i="1" s="1"/>
  <c r="N350" i="1" s="1"/>
  <c r="N495" i="1" s="1"/>
  <c r="N484" i="1" s="1"/>
  <c r="N265" i="1"/>
  <c r="N254" i="1" s="1"/>
  <c r="O49" i="1"/>
  <c r="O1616" i="1" s="1"/>
  <c r="O1615" i="1" s="1"/>
  <c r="L42" i="1"/>
  <c r="L880" i="1"/>
  <c r="N636" i="1"/>
  <c r="N634" i="1" s="1"/>
  <c r="P613" i="1"/>
  <c r="P271" i="1"/>
  <c r="P260" i="1" s="1"/>
  <c r="P340" i="1"/>
  <c r="M266" i="1"/>
  <c r="M255" i="1" s="1"/>
  <c r="O187" i="1"/>
  <c r="O186" i="1" s="1"/>
  <c r="O184" i="1"/>
  <c r="N717" i="1"/>
  <c r="N714" i="1" s="1"/>
  <c r="M636" i="1"/>
  <c r="M634" i="1" s="1"/>
  <c r="O281" i="1"/>
  <c r="O798" i="1"/>
  <c r="N183" i="1"/>
  <c r="N187" i="1"/>
  <c r="N186" i="1" s="1"/>
  <c r="N184" i="1"/>
  <c r="M146" i="1"/>
  <c r="O107" i="1"/>
  <c r="L305" i="1"/>
  <c r="M66" i="1"/>
  <c r="O879" i="1"/>
  <c r="P826" i="1"/>
  <c r="P702" i="1"/>
  <c r="N591" i="1"/>
  <c r="O580" i="1"/>
  <c r="O551" i="1"/>
  <c r="M527" i="1"/>
  <c r="L455" i="1"/>
  <c r="N370" i="1"/>
  <c r="N271" i="1"/>
  <c r="N260" i="1" s="1"/>
  <c r="P265" i="1"/>
  <c r="P254" i="1" s="1"/>
  <c r="N204" i="1"/>
  <c r="N197" i="1"/>
  <c r="L545" i="1"/>
  <c r="M541" i="1"/>
  <c r="M270" i="1"/>
  <c r="M259" i="1" s="1"/>
  <c r="O264" i="1"/>
  <c r="O253" i="1" s="1"/>
  <c r="O702" i="1"/>
  <c r="M703" i="1"/>
  <c r="L636" i="1"/>
  <c r="P626" i="1"/>
  <c r="P298" i="1"/>
  <c r="P302" i="1" s="1"/>
  <c r="P303" i="1"/>
  <c r="L201" i="1"/>
  <c r="L197" i="1"/>
  <c r="L183" i="1"/>
  <c r="L184" i="1"/>
  <c r="L187" i="1"/>
  <c r="L186" i="1" s="1"/>
  <c r="O104" i="1"/>
  <c r="L270" i="1"/>
  <c r="L259" i="1" s="1"/>
  <c r="N264" i="1"/>
  <c r="N253" i="1" s="1"/>
  <c r="P82" i="1"/>
  <c r="P99" i="1"/>
  <c r="P327" i="1" s="1"/>
  <c r="P343" i="1" s="1"/>
  <c r="P58" i="1"/>
  <c r="N46" i="1"/>
  <c r="N1735" i="1" s="1"/>
  <c r="N49" i="1"/>
  <c r="M568" i="1"/>
  <c r="M149" i="1"/>
  <c r="O267" i="1"/>
  <c r="O256" i="1" s="1"/>
  <c r="L188" i="1"/>
  <c r="L103" i="1"/>
  <c r="L331" i="1" s="1"/>
  <c r="O70" i="1"/>
  <c r="N58" i="1"/>
  <c r="N222" i="1"/>
  <c r="N221" i="1" s="1"/>
  <c r="N577" i="1"/>
  <c r="L214" i="1"/>
  <c r="L213" i="1" s="1"/>
  <c r="P188" i="1"/>
  <c r="O161" i="1"/>
  <c r="N270" i="1"/>
  <c r="N259" i="1" s="1"/>
  <c r="N195" i="1"/>
  <c r="P525" i="1"/>
  <c r="O35" i="1"/>
  <c r="O1725" i="1" s="1"/>
  <c r="P234" i="1"/>
  <c r="P239" i="1"/>
  <c r="P238" i="1" s="1"/>
  <c r="N219" i="1"/>
  <c r="N210" i="1" s="1"/>
  <c r="M572" i="1"/>
  <c r="L107" i="1"/>
  <c r="L335" i="1" s="1"/>
  <c r="L351" i="1" s="1"/>
  <c r="N101" i="1"/>
  <c r="N329" i="1" s="1"/>
  <c r="N345" i="1" s="1"/>
  <c r="P47" i="1"/>
  <c r="O66" i="1"/>
  <c r="L273" i="1"/>
  <c r="P576" i="1"/>
  <c r="P29" i="1"/>
  <c r="P1720" i="1" s="1"/>
  <c r="P146" i="1"/>
  <c r="P374" i="1" s="1"/>
  <c r="P545" i="1"/>
  <c r="L66" i="1"/>
  <c r="P51" i="1"/>
  <c r="N29" i="1"/>
  <c r="N1720" i="1" s="1"/>
  <c r="O146" i="1"/>
  <c r="O111" i="1"/>
  <c r="O339" i="1" s="1"/>
  <c r="O355" i="1" s="1"/>
  <c r="O541" i="1"/>
  <c r="M29" i="1"/>
  <c r="M1720" i="1" s="1"/>
  <c r="P8" i="1"/>
  <c r="P1747" i="1" s="1"/>
  <c r="M554" i="1"/>
  <c r="L265" i="1"/>
  <c r="L254" i="1" s="1"/>
  <c r="P269" i="1"/>
  <c r="P258" i="1" s="1"/>
  <c r="N578" i="1"/>
  <c r="P187" i="1"/>
  <c r="P186" i="1" s="1"/>
  <c r="L571" i="1"/>
  <c r="L29" i="1"/>
  <c r="L1720" i="1" s="1"/>
  <c r="L47" i="1"/>
  <c r="L1617" i="1" s="1"/>
  <c r="L49" i="1"/>
  <c r="M51" i="1"/>
  <c r="M1740" i="1" s="1"/>
  <c r="L51" i="1"/>
  <c r="P23" i="1"/>
  <c r="O12" i="1"/>
  <c r="O1751" i="1" s="1"/>
  <c r="O3" i="1"/>
  <c r="M305" i="1"/>
  <c r="N337" i="1"/>
  <c r="P169" i="1"/>
  <c r="L544" i="1"/>
  <c r="P64" i="1"/>
  <c r="P522" i="1"/>
  <c r="M34" i="1"/>
  <c r="O23" i="1"/>
  <c r="L8" i="1"/>
  <c r="L1747" i="1" s="1"/>
  <c r="N3" i="1"/>
  <c r="O671" i="1"/>
  <c r="L581" i="1"/>
  <c r="N173" i="1"/>
  <c r="M550" i="1"/>
  <c r="M3" i="1"/>
  <c r="M587" i="1"/>
  <c r="M586" i="1" s="1"/>
  <c r="M449" i="1"/>
  <c r="M452" i="1"/>
  <c r="M451" i="1" s="1"/>
  <c r="N344" i="1"/>
  <c r="P151" i="1"/>
  <c r="L555" i="1"/>
  <c r="L109" i="1"/>
  <c r="O74" i="1"/>
  <c r="P12" i="1"/>
  <c r="P1751" i="1" s="1"/>
  <c r="O102" i="1"/>
  <c r="N99" i="1"/>
  <c r="N327" i="1" s="1"/>
  <c r="N343" i="1" s="1"/>
  <c r="L12" i="1"/>
  <c r="L1751" i="1" s="1"/>
  <c r="L264" i="1"/>
  <c r="L253" i="1" s="1"/>
  <c r="M112" i="1"/>
  <c r="O106" i="1"/>
  <c r="L101" i="1"/>
  <c r="L329" i="1" s="1"/>
  <c r="L345" i="1" s="1"/>
  <c r="N51" i="1"/>
  <c r="M23" i="1"/>
  <c r="L3" i="1"/>
  <c r="M147" i="1"/>
  <c r="P549" i="1"/>
  <c r="M544" i="1"/>
  <c r="N529" i="1"/>
  <c r="N239" i="1"/>
  <c r="L239" i="1"/>
  <c r="M47" i="1"/>
  <c r="L35" i="1"/>
  <c r="L1725" i="1" s="1"/>
  <c r="G106" i="1"/>
  <c r="H106" i="1"/>
  <c r="I103" i="1"/>
  <c r="I107" i="1"/>
  <c r="I102" i="1"/>
  <c r="H110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N1070" i="1" l="1"/>
  <c r="N1071" i="1"/>
  <c r="P738" i="1" a="1"/>
  <c r="P738" i="1" s="1"/>
  <c r="P736" i="1" a="1"/>
  <c r="P736" i="1" s="1"/>
  <c r="L1759" i="1"/>
  <c r="Q1759" i="1"/>
  <c r="N1497" i="1"/>
  <c r="N1511" i="1"/>
  <c r="O575" i="1"/>
  <c r="L441" i="1"/>
  <c r="L440" i="1" s="1"/>
  <c r="O1602" i="1"/>
  <c r="N2272" i="1"/>
  <c r="N882" i="1"/>
  <c r="O1862" i="1"/>
  <c r="M1570" i="1"/>
  <c r="M2050" i="1"/>
  <c r="P1511" i="1"/>
  <c r="P1652" i="1"/>
  <c r="P1005" i="1"/>
  <c r="P1002" i="1" s="1"/>
  <c r="P1000" i="1" s="1"/>
  <c r="M1497" i="1"/>
  <c r="N1658" i="1"/>
  <c r="N1659" i="1" s="1"/>
  <c r="Q200" i="1"/>
  <c r="M738" i="1" a="1"/>
  <c r="M738" i="1" s="1"/>
  <c r="M736" i="1" a="1"/>
  <c r="M736" i="1" s="1"/>
  <c r="L2272" i="1"/>
  <c r="M1047" i="1"/>
  <c r="L644" i="1"/>
  <c r="L634" i="1"/>
  <c r="L1005" i="1"/>
  <c r="L1002" i="1" s="1"/>
  <c r="L1070" i="1"/>
  <c r="M1546" i="1"/>
  <c r="N1602" i="1"/>
  <c r="M1314" i="1"/>
  <c r="Q1862" i="1"/>
  <c r="L1862" i="1"/>
  <c r="P1555" i="1"/>
  <c r="Q1885" i="1"/>
  <c r="Q1160" i="1"/>
  <c r="M1511" i="1"/>
  <c r="L1652" i="1"/>
  <c r="N1555" i="1"/>
  <c r="N1330" i="1"/>
  <c r="O2253" i="1"/>
  <c r="L1570" i="1"/>
  <c r="P1160" i="1"/>
  <c r="M1593" i="1"/>
  <c r="M2295" i="1"/>
  <c r="Q2234" i="1"/>
  <c r="N2050" i="1"/>
  <c r="O1160" i="1"/>
  <c r="O1555" i="1"/>
  <c r="L1618" i="1"/>
  <c r="L1429" i="1"/>
  <c r="L1571" i="1"/>
  <c r="L1207" i="1"/>
  <c r="L1345" i="1"/>
  <c r="L1183" i="1"/>
  <c r="L200" i="1"/>
  <c r="M1070" i="1"/>
  <c r="L1206" i="1"/>
  <c r="L1344" i="1"/>
  <c r="O1885" i="1"/>
  <c r="P1047" i="1"/>
  <c r="L1136" i="1"/>
  <c r="O440" i="1"/>
  <c r="L1428" i="1"/>
  <c r="N1759" i="1"/>
  <c r="Q63" i="1"/>
  <c r="M1602" i="1"/>
  <c r="Q1098" i="1"/>
  <c r="Q1093" i="1" s="1"/>
  <c r="P1862" i="1"/>
  <c r="O1652" i="1"/>
  <c r="L1658" i="1"/>
  <c r="L1659" i="1" s="1"/>
  <c r="Q1740" i="1"/>
  <c r="O1511" i="1"/>
  <c r="L1885" i="1"/>
  <c r="P1759" i="1"/>
  <c r="L1330" i="1"/>
  <c r="P1562" i="1"/>
  <c r="M1824" i="1"/>
  <c r="M1823" i="1" s="1"/>
  <c r="L624" i="1"/>
  <c r="N1593" i="1"/>
  <c r="Q590" i="1"/>
  <c r="M1759" i="1"/>
  <c r="O1740" i="1"/>
  <c r="Q2050" i="1"/>
  <c r="M1071" i="1"/>
  <c r="O1014" i="1"/>
  <c r="O1011" i="1" s="1"/>
  <c r="O1013" i="1"/>
  <c r="O1012" i="1" s="1"/>
  <c r="O1664" i="1"/>
  <c r="O1759" i="1"/>
  <c r="Q210" i="1"/>
  <c r="Q182" i="1" s="1"/>
  <c r="Q1652" i="1"/>
  <c r="M1555" i="1"/>
  <c r="L210" i="1"/>
  <c r="L182" i="1" s="1"/>
  <c r="L181" i="1" s="1"/>
  <c r="O2050" i="1"/>
  <c r="M38" i="1"/>
  <c r="M1330" i="1" s="1"/>
  <c r="M1658" i="1"/>
  <c r="M1659" i="1" s="1"/>
  <c r="N1562" i="1"/>
  <c r="L1593" i="1"/>
  <c r="L1602" i="1"/>
  <c r="M604" i="1"/>
  <c r="M2272" i="1"/>
  <c r="L1546" i="1"/>
  <c r="Q575" i="1"/>
  <c r="Q604" i="1"/>
  <c r="N1824" i="1"/>
  <c r="M1652" i="1"/>
  <c r="O337" i="1"/>
  <c r="O353" i="1" s="1"/>
  <c r="O1069" i="1"/>
  <c r="O1095" i="1"/>
  <c r="O1047" i="1"/>
  <c r="O1096" i="1"/>
  <c r="O1071" i="1"/>
  <c r="O1097" i="1"/>
  <c r="O1070" i="1"/>
  <c r="M273" i="1"/>
  <c r="M102" i="1"/>
  <c r="M330" i="1" s="1"/>
  <c r="O679" i="1"/>
  <c r="Q195" i="1"/>
  <c r="P604" i="1"/>
  <c r="Q469" i="1"/>
  <c r="Q468" i="1" s="1"/>
  <c r="Q1036" i="1"/>
  <c r="L1315" i="1"/>
  <c r="Q673" i="1"/>
  <c r="Q670" i="1" s="1"/>
  <c r="P2050" i="1"/>
  <c r="L1069" i="1"/>
  <c r="M549" i="1"/>
  <c r="Q204" i="1"/>
  <c r="Q397" i="1"/>
  <c r="Q280" i="1"/>
  <c r="Q279" i="1" s="1"/>
  <c r="Q273" i="1"/>
  <c r="Q989" i="1"/>
  <c r="Q988" i="1" s="1"/>
  <c r="Q984" i="1" s="1"/>
  <c r="Q40" i="1"/>
  <c r="Q1665" i="1" s="1"/>
  <c r="P540" i="1"/>
  <c r="L1097" i="1"/>
  <c r="O1731" i="1"/>
  <c r="L113" i="1"/>
  <c r="L341" i="1" s="1"/>
  <c r="L590" i="1"/>
  <c r="L1095" i="1"/>
  <c r="P1014" i="1"/>
  <c r="P1011" i="1" s="1"/>
  <c r="L1071" i="1"/>
  <c r="Q2272" i="1"/>
  <c r="Q330" i="1"/>
  <c r="Q346" i="1" s="1"/>
  <c r="N367" i="1"/>
  <c r="N374" i="1" s="1"/>
  <c r="M679" i="1"/>
  <c r="P338" i="1"/>
  <c r="P354" i="1" s="1"/>
  <c r="P499" i="1" s="1"/>
  <c r="P488" i="1" s="1"/>
  <c r="O112" i="1"/>
  <c r="O340" i="1" s="1"/>
  <c r="O356" i="1" s="1"/>
  <c r="M1083" i="1"/>
  <c r="L1047" i="1"/>
  <c r="M1096" i="1"/>
  <c r="P1070" i="1"/>
  <c r="M378" i="1"/>
  <c r="Q528" i="1"/>
  <c r="O34" i="1"/>
  <c r="O33" i="1" s="1"/>
  <c r="O1723" i="1" s="1"/>
  <c r="O555" i="1"/>
  <c r="O195" i="1"/>
  <c r="O194" i="1" s="1"/>
  <c r="N556" i="1"/>
  <c r="O1004" i="1"/>
  <c r="O1001" i="1" s="1"/>
  <c r="O334" i="1"/>
  <c r="O350" i="1" s="1"/>
  <c r="O495" i="1" s="1"/>
  <c r="O484" i="1" s="1"/>
  <c r="P634" i="1"/>
  <c r="M340" i="1"/>
  <c r="M356" i="1" s="1"/>
  <c r="M501" i="1" s="1"/>
  <c r="M490" i="1" s="1"/>
  <c r="O39" i="1"/>
  <c r="N108" i="1"/>
  <c r="P1007" i="1"/>
  <c r="P1013" i="1" s="1"/>
  <c r="M1095" i="1"/>
  <c r="P1071" i="1"/>
  <c r="L2295" i="1"/>
  <c r="Q1546" i="1"/>
  <c r="L111" i="1"/>
  <c r="L339" i="1" s="1"/>
  <c r="O469" i="1"/>
  <c r="O468" i="1" s="1"/>
  <c r="P535" i="1"/>
  <c r="M539" i="1"/>
  <c r="P40" i="1"/>
  <c r="P1664" i="1"/>
  <c r="O535" i="1"/>
  <c r="N541" i="1"/>
  <c r="Q1824" i="1"/>
  <c r="Q1823" i="1" s="1"/>
  <c r="Q1616" i="1"/>
  <c r="Q1615" i="1" s="1"/>
  <c r="O332" i="1"/>
  <c r="O348" i="1" s="1"/>
  <c r="P1546" i="1"/>
  <c r="P1497" i="1"/>
  <c r="Q338" i="1"/>
  <c r="Q354" i="1" s="1"/>
  <c r="Q499" i="1" s="1"/>
  <c r="Q488" i="1" s="1"/>
  <c r="Q566" i="1"/>
  <c r="Q1088" i="1"/>
  <c r="Q1593" i="1"/>
  <c r="Q1025" i="1"/>
  <c r="M1133" i="1"/>
  <c r="M1640" i="1"/>
  <c r="M797" i="1"/>
  <c r="N958" i="1"/>
  <c r="O1005" i="1"/>
  <c r="O1002" i="1" s="1"/>
  <c r="Q304" i="1"/>
  <c r="Q417" i="1"/>
  <c r="Q416" i="1" s="1"/>
  <c r="Q1083" i="1"/>
  <c r="Q1123" i="1"/>
  <c r="Q1714" i="1"/>
  <c r="Q539" i="1"/>
  <c r="Q2" i="1"/>
  <c r="Q1742" i="1"/>
  <c r="Q39" i="1"/>
  <c r="Q794" i="1"/>
  <c r="Q310" i="1"/>
  <c r="Q263" i="1"/>
  <c r="Q240" i="1"/>
  <c r="Q337" i="1"/>
  <c r="Q353" i="1" s="1"/>
  <c r="Q2233" i="1"/>
  <c r="Q57" i="1"/>
  <c r="Q741" i="1"/>
  <c r="Q735" i="1" s="1"/>
  <c r="Q1736" i="1"/>
  <c r="Q1735" i="1"/>
  <c r="Q733" i="1"/>
  <c r="Q958" i="1"/>
  <c r="Q887" i="1"/>
  <c r="Q882" i="1" s="1"/>
  <c r="Q1738" i="1"/>
  <c r="Q48" i="1"/>
  <c r="Q1737" i="1" s="1"/>
  <c r="Q1136" i="1"/>
  <c r="Q785" i="1"/>
  <c r="Q369" i="1"/>
  <c r="Q553" i="1"/>
  <c r="Q532" i="1"/>
  <c r="Q347" i="1"/>
  <c r="Q533" i="1"/>
  <c r="Q349" i="1"/>
  <c r="Q535" i="1"/>
  <c r="Q368" i="1"/>
  <c r="Q365" i="1" s="1"/>
  <c r="Q203" i="1"/>
  <c r="Q556" i="1"/>
  <c r="Q379" i="1"/>
  <c r="Q436" i="1"/>
  <c r="Q374" i="1"/>
  <c r="Q237" i="1"/>
  <c r="Q236" i="1" s="1"/>
  <c r="Q238" i="1"/>
  <c r="Q485" i="1"/>
  <c r="Q266" i="1"/>
  <c r="Q255" i="1" s="1"/>
  <c r="Q282" i="1"/>
  <c r="Q799" i="1"/>
  <c r="Q1343" i="1"/>
  <c r="Q1342" i="1" s="1"/>
  <c r="Q731" i="1"/>
  <c r="Q144" i="1"/>
  <c r="Q333" i="1"/>
  <c r="Q690" i="1"/>
  <c r="Q692" i="1"/>
  <c r="Q689" i="1" s="1"/>
  <c r="Q540" i="1"/>
  <c r="Q98" i="1"/>
  <c r="Q512" i="1"/>
  <c r="Q265" i="1"/>
  <c r="Q254" i="1" s="1"/>
  <c r="Q106" i="1"/>
  <c r="Q334" i="1" s="1"/>
  <c r="Q350" i="1" s="1"/>
  <c r="Q495" i="1" s="1"/>
  <c r="Q484" i="1" s="1"/>
  <c r="Q1095" i="1"/>
  <c r="Q1097" i="1"/>
  <c r="Q1069" i="1"/>
  <c r="Q1070" i="1"/>
  <c r="Q1003" i="1"/>
  <c r="Q1071" i="1"/>
  <c r="Q29" i="1"/>
  <c r="Q1720" i="1" s="1"/>
  <c r="Q1721" i="1"/>
  <c r="Q34" i="1"/>
  <c r="Q1047" i="1"/>
  <c r="Q1001" i="1"/>
  <c r="Q1000" i="1" s="1"/>
  <c r="Q370" i="1"/>
  <c r="Q377" i="1"/>
  <c r="Q1497" i="1"/>
  <c r="Q714" i="1"/>
  <c r="Q536" i="1"/>
  <c r="Q1427" i="1"/>
  <c r="Q1426" i="1" s="1"/>
  <c r="Q1006" i="1"/>
  <c r="Q1013" i="1"/>
  <c r="Q1012" i="1" s="1"/>
  <c r="Q2253" i="1"/>
  <c r="Q1205" i="1"/>
  <c r="Q1204" i="1" s="1"/>
  <c r="Q352" i="1"/>
  <c r="Q41" i="1"/>
  <c r="Q1730" i="1" s="1"/>
  <c r="Q1731" i="1"/>
  <c r="Q1399" i="1"/>
  <c r="Q371" i="1"/>
  <c r="Q378" i="1"/>
  <c r="Q373" i="1"/>
  <c r="Q113" i="1"/>
  <c r="Q341" i="1" s="1"/>
  <c r="Q357" i="1" s="1"/>
  <c r="Q502" i="1" s="1"/>
  <c r="Q491" i="1" s="1"/>
  <c r="Q1315" i="1"/>
  <c r="Q1569" i="1"/>
  <c r="Q1568" i="1" s="1"/>
  <c r="Q672" i="1"/>
  <c r="O1123" i="1"/>
  <c r="O1083" i="1"/>
  <c r="N105" i="1"/>
  <c r="N333" i="1" s="1"/>
  <c r="N349" i="1" s="1"/>
  <c r="O624" i="1"/>
  <c r="L1399" i="1"/>
  <c r="O2272" i="1"/>
  <c r="N989" i="1"/>
  <c r="N988" i="1" s="1"/>
  <c r="N984" i="1" s="1"/>
  <c r="N1004" i="1"/>
  <c r="N1001" i="1" s="1"/>
  <c r="N40" i="1"/>
  <c r="N1664" i="1"/>
  <c r="L556" i="1"/>
  <c r="P1125" i="1"/>
  <c r="P1086" i="1"/>
  <c r="P339" i="1"/>
  <c r="P355" i="1" s="1"/>
  <c r="N397" i="1"/>
  <c r="N673" i="1"/>
  <c r="N670" i="1" s="1"/>
  <c r="M63" i="1"/>
  <c r="N200" i="1"/>
  <c r="L1004" i="1"/>
  <c r="L1003" i="1" s="1"/>
  <c r="M109" i="1"/>
  <c r="M337" i="1" s="1"/>
  <c r="M353" i="1" s="1"/>
  <c r="M498" i="1" s="1"/>
  <c r="M487" i="1" s="1"/>
  <c r="M268" i="1"/>
  <c r="M257" i="1" s="1"/>
  <c r="N1125" i="1"/>
  <c r="N1086" i="1"/>
  <c r="P34" i="1"/>
  <c r="L496" i="1"/>
  <c r="L485" i="1" s="1"/>
  <c r="O108" i="1"/>
  <c r="O336" i="1" s="1"/>
  <c r="O352" i="1" s="1"/>
  <c r="O497" i="1" s="1"/>
  <c r="P527" i="1"/>
  <c r="O335" i="1"/>
  <c r="O351" i="1" s="1"/>
  <c r="L40" i="1"/>
  <c r="L1664" i="1"/>
  <c r="N63" i="1"/>
  <c r="N1123" i="1"/>
  <c r="N1083" i="1"/>
  <c r="O105" i="1"/>
  <c r="O333" i="1" s="1"/>
  <c r="O349" i="1" s="1"/>
  <c r="O494" i="1" s="1"/>
  <c r="O483" i="1" s="1"/>
  <c r="L438" i="1"/>
  <c r="N1047" i="1"/>
  <c r="N1069" i="1"/>
  <c r="M341" i="1"/>
  <c r="M357" i="1" s="1"/>
  <c r="O310" i="1"/>
  <c r="M989" i="1"/>
  <c r="M988" i="1" s="1"/>
  <c r="M984" i="1" s="1"/>
  <c r="O341" i="1"/>
  <c r="O357" i="1" s="1"/>
  <c r="O502" i="1" s="1"/>
  <c r="O491" i="1" s="1"/>
  <c r="O263" i="1"/>
  <c r="O252" i="1" s="1"/>
  <c r="O251" i="1" s="1"/>
  <c r="M210" i="1"/>
  <c r="P237" i="1"/>
  <c r="P236" i="1" s="1"/>
  <c r="N269" i="1"/>
  <c r="N258" i="1" s="1"/>
  <c r="L1640" i="1"/>
  <c r="P333" i="1"/>
  <c r="P349" i="1" s="1"/>
  <c r="P494" i="1" s="1"/>
  <c r="P483" i="1" s="1"/>
  <c r="N371" i="1"/>
  <c r="N378" i="1"/>
  <c r="L268" i="1"/>
  <c r="L257" i="1" s="1"/>
  <c r="M374" i="1"/>
  <c r="P1731" i="1"/>
  <c r="M40" i="1"/>
  <c r="M1664" i="1"/>
  <c r="L147" i="1"/>
  <c r="L375" i="1" s="1"/>
  <c r="N549" i="1"/>
  <c r="N272" i="1"/>
  <c r="N261" i="1" s="1"/>
  <c r="N1005" i="1"/>
  <c r="N1002" i="1" s="1"/>
  <c r="O1086" i="1"/>
  <c r="O1125" i="1"/>
  <c r="M907" i="1"/>
  <c r="M939" i="1" s="1"/>
  <c r="M962" i="1" s="1"/>
  <c r="M940" i="1"/>
  <c r="M963" i="1" s="1"/>
  <c r="L1083" i="1"/>
  <c r="O1729" i="1"/>
  <c r="O1665" i="1"/>
  <c r="N590" i="1"/>
  <c r="P38" i="1"/>
  <c r="P1330" i="1" s="1"/>
  <c r="O958" i="1"/>
  <c r="N1014" i="1"/>
  <c r="N1011" i="1" s="1"/>
  <c r="P1399" i="1"/>
  <c r="M2253" i="1"/>
  <c r="M2233" i="1" s="1"/>
  <c r="L22" i="1"/>
  <c r="L1713" i="1" s="1"/>
  <c r="P624" i="1"/>
  <c r="P183" i="1"/>
  <c r="P182" i="1" s="1"/>
  <c r="O2233" i="1"/>
  <c r="P679" i="1"/>
  <c r="P102" i="1"/>
  <c r="L38" i="1"/>
  <c r="L1609" i="1" s="1"/>
  <c r="P1823" i="1"/>
  <c r="M39" i="1"/>
  <c r="M1003" i="1"/>
  <c r="P39" i="1"/>
  <c r="M194" i="1"/>
  <c r="O1119" i="1"/>
  <c r="P1136" i="1"/>
  <c r="M440" i="1"/>
  <c r="M1399" i="1"/>
  <c r="O882" i="1"/>
  <c r="N1546" i="1"/>
  <c r="P440" i="1"/>
  <c r="M144" i="1"/>
  <c r="N38" i="1"/>
  <c r="P266" i="1"/>
  <c r="P255" i="1" s="1"/>
  <c r="L63" i="1"/>
  <c r="M644" i="1"/>
  <c r="P368" i="1"/>
  <c r="P546" i="1"/>
  <c r="P358" i="1"/>
  <c r="P734" i="1"/>
  <c r="M734" i="1"/>
  <c r="P370" i="1"/>
  <c r="P377" i="1"/>
  <c r="P548" i="1"/>
  <c r="L431" i="1"/>
  <c r="L434" i="1" s="1"/>
  <c r="L1021" i="1"/>
  <c r="L1020" i="1" s="1"/>
  <c r="L1119" i="1"/>
  <c r="P108" i="1"/>
  <c r="P336" i="1" s="1"/>
  <c r="P352" i="1" s="1"/>
  <c r="P497" i="1" s="1"/>
  <c r="P486" i="1" s="1"/>
  <c r="P267" i="1"/>
  <c r="P256" i="1" s="1"/>
  <c r="L196" i="1"/>
  <c r="L193" i="1" s="1"/>
  <c r="N102" i="1"/>
  <c r="N330" i="1" s="1"/>
  <c r="N346" i="1" s="1"/>
  <c r="M370" i="1"/>
  <c r="M377" i="1"/>
  <c r="P423" i="1"/>
  <c r="N369" i="1"/>
  <c r="L540" i="1"/>
  <c r="L338" i="1"/>
  <c r="L354" i="1" s="1"/>
  <c r="L263" i="1"/>
  <c r="L252" i="1"/>
  <c r="L240" i="1"/>
  <c r="L233" i="1" s="1"/>
  <c r="L310" i="1"/>
  <c r="L794" i="1"/>
  <c r="M282" i="1"/>
  <c r="M799" i="1"/>
  <c r="N692" i="1"/>
  <c r="N689" i="1" s="1"/>
  <c r="N785" i="1"/>
  <c r="O1136" i="1"/>
  <c r="O1569" i="1"/>
  <c r="O1568" i="1" s="1"/>
  <c r="L46" i="1"/>
  <c r="L1735" i="1" s="1"/>
  <c r="L1736" i="1"/>
  <c r="N335" i="1"/>
  <c r="N351" i="1" s="1"/>
  <c r="N496" i="1" s="1"/>
  <c r="M369" i="1"/>
  <c r="P282" i="1"/>
  <c r="P799" i="1"/>
  <c r="O986" i="1"/>
  <c r="O989" i="1"/>
  <c r="O988" i="1" s="1"/>
  <c r="M137" i="1"/>
  <c r="N1099" i="1"/>
  <c r="N1132" i="1"/>
  <c r="N1343" i="1"/>
  <c r="N1342" i="1" s="1"/>
  <c r="N1640" i="1"/>
  <c r="N238" i="1"/>
  <c r="N237" i="1"/>
  <c r="N236" i="1" s="1"/>
  <c r="P33" i="1"/>
  <c r="P1723" i="1" s="1"/>
  <c r="P1724" i="1"/>
  <c r="N192" i="1"/>
  <c r="M202" i="1"/>
  <c r="M205" i="1" s="1"/>
  <c r="P469" i="1"/>
  <c r="P468" i="1" s="1"/>
  <c r="O201" i="1"/>
  <c r="O200" i="1" s="1"/>
  <c r="O197" i="1"/>
  <c r="P194" i="1"/>
  <c r="P192" i="1"/>
  <c r="P191" i="1" s="1"/>
  <c r="M98" i="1"/>
  <c r="L57" i="1"/>
  <c r="L1740" i="1"/>
  <c r="M105" i="1"/>
  <c r="M333" i="1" s="1"/>
  <c r="M349" i="1" s="1"/>
  <c r="N148" i="1"/>
  <c r="N144" i="1" s="1"/>
  <c r="N679" i="1"/>
  <c r="N1126" i="1"/>
  <c r="N1088" i="1"/>
  <c r="P1101" i="1"/>
  <c r="P1133" i="1"/>
  <c r="O1824" i="1"/>
  <c r="L369" i="1"/>
  <c r="L358" i="1"/>
  <c r="L538" i="1"/>
  <c r="N48" i="1"/>
  <c r="N1737" i="1" s="1"/>
  <c r="N1738" i="1"/>
  <c r="N336" i="1"/>
  <c r="N352" i="1" s="1"/>
  <c r="N497" i="1" s="1"/>
  <c r="P536" i="1"/>
  <c r="O673" i="1"/>
  <c r="O670" i="1" s="1"/>
  <c r="M1013" i="1"/>
  <c r="M1012" i="1" s="1"/>
  <c r="M1006" i="1"/>
  <c r="N2" i="1"/>
  <c r="N1742" i="1"/>
  <c r="L267" i="1"/>
  <c r="L256" i="1" s="1"/>
  <c r="L108" i="1"/>
  <c r="L336" i="1" s="1"/>
  <c r="L352" i="1" s="1"/>
  <c r="O547" i="1"/>
  <c r="O369" i="1"/>
  <c r="P495" i="1"/>
  <c r="P484" i="1" s="1"/>
  <c r="P498" i="1"/>
  <c r="O690" i="1"/>
  <c r="O692" i="1"/>
  <c r="O689" i="1" s="1"/>
  <c r="N575" i="1"/>
  <c r="N441" i="1"/>
  <c r="N440" i="1" s="1"/>
  <c r="N1021" i="1"/>
  <c r="N1020" i="1" s="1"/>
  <c r="N1119" i="1"/>
  <c r="L785" i="1"/>
  <c r="P1083" i="1"/>
  <c r="P1124" i="1"/>
  <c r="O1315" i="1"/>
  <c r="O1399" i="1"/>
  <c r="O1126" i="1"/>
  <c r="O1088" i="1"/>
  <c r="L733" i="1"/>
  <c r="L693" i="1"/>
  <c r="L673" i="1"/>
  <c r="L670" i="1" s="1"/>
  <c r="O1843" i="1"/>
  <c r="L379" i="1"/>
  <c r="L337" i="1"/>
  <c r="L353" i="1" s="1"/>
  <c r="M33" i="1"/>
  <c r="M1723" i="1" s="1"/>
  <c r="M1724" i="1"/>
  <c r="M346" i="1"/>
  <c r="P335" i="1"/>
  <c r="P351" i="1" s="1"/>
  <c r="O533" i="1"/>
  <c r="O347" i="1"/>
  <c r="L679" i="1"/>
  <c r="L1006" i="1"/>
  <c r="L1013" i="1"/>
  <c r="L1012" i="1" s="1"/>
  <c r="N1885" i="1"/>
  <c r="L137" i="1"/>
  <c r="L367" i="1"/>
  <c r="O192" i="1"/>
  <c r="O191" i="1" s="1"/>
  <c r="N341" i="1"/>
  <c r="N357" i="1" s="1"/>
  <c r="P575" i="1"/>
  <c r="O367" i="1"/>
  <c r="O374" i="1" s="1"/>
  <c r="P1315" i="1"/>
  <c r="M22" i="1"/>
  <c r="M1714" i="1"/>
  <c r="P63" i="1"/>
  <c r="L377" i="1"/>
  <c r="L370" i="1"/>
  <c r="L39" i="1"/>
  <c r="O63" i="1"/>
  <c r="N553" i="1"/>
  <c r="O512" i="1"/>
  <c r="L105" i="1"/>
  <c r="L333" i="1" s="1"/>
  <c r="L349" i="1" s="1"/>
  <c r="O907" i="1"/>
  <c r="O939" i="1" s="1"/>
  <c r="O962" i="1" s="1"/>
  <c r="P731" i="1"/>
  <c r="P733" i="1"/>
  <c r="P1126" i="1"/>
  <c r="P1088" i="1"/>
  <c r="P1003" i="1"/>
  <c r="P240" i="1"/>
  <c r="P263" i="1"/>
  <c r="P252" i="1" s="1"/>
  <c r="P310" i="1"/>
  <c r="P794" i="1"/>
  <c r="L102" i="1"/>
  <c r="L330" i="1" s="1"/>
  <c r="L346" i="1" s="1"/>
  <c r="L425" i="1" s="1"/>
  <c r="L989" i="1"/>
  <c r="L988" i="1" s="1"/>
  <c r="L984" i="1" s="1"/>
  <c r="N1205" i="1"/>
  <c r="N1204" i="1" s="1"/>
  <c r="O1020" i="1"/>
  <c r="N137" i="1"/>
  <c r="N366" i="1"/>
  <c r="N528" i="1"/>
  <c r="N566" i="1"/>
  <c r="L355" i="1"/>
  <c r="L500" i="1"/>
  <c r="P397" i="1"/>
  <c r="L541" i="1"/>
  <c r="N182" i="1"/>
  <c r="P958" i="1"/>
  <c r="P887" i="1"/>
  <c r="P882" i="1" s="1"/>
  <c r="N22" i="1"/>
  <c r="N1714" i="1"/>
  <c r="O863" i="1"/>
  <c r="O784" i="1"/>
  <c r="N353" i="1"/>
  <c r="P369" i="1"/>
  <c r="P547" i="1"/>
  <c r="O48" i="1"/>
  <c r="O1737" i="1" s="1"/>
  <c r="O1738" i="1"/>
  <c r="O534" i="1"/>
  <c r="N338" i="1"/>
  <c r="N354" i="1" s="1"/>
  <c r="M553" i="1"/>
  <c r="O436" i="1"/>
  <c r="O550" i="1"/>
  <c r="P330" i="1"/>
  <c r="P346" i="1" s="1"/>
  <c r="P714" i="1"/>
  <c r="O1205" i="1"/>
  <c r="O1204" i="1" s="1"/>
  <c r="O1314" i="1"/>
  <c r="N1569" i="1"/>
  <c r="N1568" i="1" s="1"/>
  <c r="O741" i="1"/>
  <c r="O735" i="1" s="1"/>
  <c r="P371" i="1"/>
  <c r="P378" i="1"/>
  <c r="M785" i="1"/>
  <c r="M1105" i="1"/>
  <c r="M1135" i="1"/>
  <c r="N733" i="1"/>
  <c r="N731" i="1"/>
  <c r="N263" i="1"/>
  <c r="N240" i="1"/>
  <c r="N233" i="1" s="1"/>
  <c r="N794" i="1"/>
  <c r="L427" i="1"/>
  <c r="P98" i="1"/>
  <c r="P356" i="1"/>
  <c r="P542" i="1"/>
  <c r="O1099" i="1"/>
  <c r="O1132" i="1"/>
  <c r="N379" i="1"/>
  <c r="N436" i="1"/>
  <c r="L146" i="1"/>
  <c r="N412" i="1"/>
  <c r="M575" i="1"/>
  <c r="O539" i="1"/>
  <c r="M99" i="1"/>
  <c r="M327" i="1" s="1"/>
  <c r="M343" i="1" s="1"/>
  <c r="O1427" i="1"/>
  <c r="O1426" i="1" s="1"/>
  <c r="O733" i="1"/>
  <c r="M1021" i="1"/>
  <c r="M1020" i="1" s="1"/>
  <c r="M1119" i="1"/>
  <c r="N1427" i="1"/>
  <c r="N1426" i="1" s="1"/>
  <c r="N1315" i="1"/>
  <c r="P22" i="1"/>
  <c r="P1714" i="1"/>
  <c r="L553" i="1"/>
  <c r="L192" i="1"/>
  <c r="P113" i="1"/>
  <c r="P341" i="1" s="1"/>
  <c r="P357" i="1" s="1"/>
  <c r="P502" i="1" s="1"/>
  <c r="P491" i="1" s="1"/>
  <c r="P272" i="1"/>
  <c r="P261" i="1" s="1"/>
  <c r="M2" i="1"/>
  <c r="M1742" i="1"/>
  <c r="L204" i="1"/>
  <c r="L203" i="1" s="1"/>
  <c r="O98" i="1"/>
  <c r="P785" i="1"/>
  <c r="L887" i="1"/>
  <c r="L882" i="1" s="1"/>
  <c r="L958" i="1"/>
  <c r="O540" i="1"/>
  <c r="O338" i="1"/>
  <c r="O354" i="1" s="1"/>
  <c r="O499" i="1" s="1"/>
  <c r="P1021" i="1"/>
  <c r="P1020" i="1" s="1"/>
  <c r="P1119" i="1"/>
  <c r="L48" i="1"/>
  <c r="L1737" i="1" s="1"/>
  <c r="L1738" i="1"/>
  <c r="O1728" i="1"/>
  <c r="P2" i="1"/>
  <c r="P1742" i="1"/>
  <c r="M110" i="1"/>
  <c r="M338" i="1" s="1"/>
  <c r="M354" i="1" s="1"/>
  <c r="O99" i="1"/>
  <c r="O327" i="1" s="1"/>
  <c r="O343" i="1" s="1"/>
  <c r="N532" i="1"/>
  <c r="M201" i="1"/>
  <c r="M197" i="1"/>
  <c r="P464" i="1"/>
  <c r="N196" i="1"/>
  <c r="N193" i="1" s="1"/>
  <c r="N103" i="1"/>
  <c r="N331" i="1" s="1"/>
  <c r="N347" i="1" s="1"/>
  <c r="P57" i="1"/>
  <c r="P1740" i="1"/>
  <c r="P487" i="1"/>
  <c r="O22" i="1"/>
  <c r="O1714" i="1"/>
  <c r="L464" i="1"/>
  <c r="L528" i="1"/>
  <c r="L469" i="1"/>
  <c r="L468" i="1" s="1"/>
  <c r="M518" i="1"/>
  <c r="M111" i="1"/>
  <c r="M339" i="1" s="1"/>
  <c r="M355" i="1" s="1"/>
  <c r="N543" i="1"/>
  <c r="M263" i="1"/>
  <c r="M252" i="1" s="1"/>
  <c r="M310" i="1"/>
  <c r="M240" i="1"/>
  <c r="M794" i="1"/>
  <c r="M733" i="1"/>
  <c r="M731" i="1"/>
  <c r="M272" i="1"/>
  <c r="M261" i="1" s="1"/>
  <c r="P1097" i="1"/>
  <c r="P1093" i="1"/>
  <c r="P1095" i="1"/>
  <c r="P1096" i="1"/>
  <c r="O1593" i="1"/>
  <c r="L304" i="1"/>
  <c r="L417" i="1"/>
  <c r="L416" i="1" s="1"/>
  <c r="L298" i="1"/>
  <c r="L302" i="1" s="1"/>
  <c r="M690" i="1"/>
  <c r="M692" i="1"/>
  <c r="M689" i="1" s="1"/>
  <c r="M335" i="1"/>
  <c r="M351" i="1" s="1"/>
  <c r="P46" i="1"/>
  <c r="P1735" i="1" s="1"/>
  <c r="P49" i="1"/>
  <c r="P1427" i="1" s="1"/>
  <c r="P1426" i="1" s="1"/>
  <c r="P1736" i="1"/>
  <c r="N368" i="1"/>
  <c r="N546" i="1"/>
  <c r="L41" i="1"/>
  <c r="L1731" i="1"/>
  <c r="P201" i="1"/>
  <c r="P200" i="1" s="1"/>
  <c r="P197" i="1"/>
  <c r="M373" i="1"/>
  <c r="P273" i="1"/>
  <c r="P280" i="1"/>
  <c r="P279" i="1" s="1"/>
  <c r="P797" i="1"/>
  <c r="N203" i="1"/>
  <c r="L741" i="1"/>
  <c r="L735" i="1" s="1"/>
  <c r="P518" i="1"/>
  <c r="M882" i="1"/>
  <c r="N98" i="1"/>
  <c r="N555" i="1"/>
  <c r="M528" i="1"/>
  <c r="M464" i="1"/>
  <c r="M469" i="1"/>
  <c r="M468" i="1" s="1"/>
  <c r="M1136" i="1"/>
  <c r="N1006" i="1"/>
  <c r="N1013" i="1"/>
  <c r="N1616" i="1"/>
  <c r="N1615" i="1" s="1"/>
  <c r="N2253" i="1"/>
  <c r="N2233" i="1" s="1"/>
  <c r="O137" i="1"/>
  <c r="O366" i="1"/>
  <c r="N644" i="1"/>
  <c r="P673" i="1"/>
  <c r="P670" i="1" s="1"/>
  <c r="P694" i="1"/>
  <c r="L731" i="1"/>
  <c r="O532" i="1"/>
  <c r="O2" i="1"/>
  <c r="O1742" i="1"/>
  <c r="L347" i="1"/>
  <c r="L533" i="1"/>
  <c r="L564" i="1"/>
  <c r="N501" i="1"/>
  <c r="N490" i="1" s="1"/>
  <c r="N907" i="1"/>
  <c r="N939" i="1" s="1"/>
  <c r="N962" i="1" s="1"/>
  <c r="M1001" i="1"/>
  <c r="M1000" i="1" s="1"/>
  <c r="P1205" i="1"/>
  <c r="P1204" i="1" s="1"/>
  <c r="M1315" i="1"/>
  <c r="N1136" i="1"/>
  <c r="N1823" i="1"/>
  <c r="M46" i="1"/>
  <c r="M1735" i="1" s="1"/>
  <c r="M49" i="1"/>
  <c r="M1736" i="1"/>
  <c r="P907" i="1"/>
  <c r="P939" i="1" s="1"/>
  <c r="P962" i="1" s="1"/>
  <c r="O298" i="1"/>
  <c r="O302" i="1" s="1"/>
  <c r="O304" i="1"/>
  <c r="O417" i="1"/>
  <c r="O416" i="1" s="1"/>
  <c r="N512" i="1"/>
  <c r="L907" i="1"/>
  <c r="L939" i="1" s="1"/>
  <c r="L962" i="1" s="1"/>
  <c r="O1343" i="1"/>
  <c r="O1342" i="1" s="1"/>
  <c r="N538" i="1"/>
  <c r="O262" i="1"/>
  <c r="O145" i="1"/>
  <c r="O144" i="1" s="1"/>
  <c r="L2" i="1"/>
  <c r="L1742" i="1"/>
  <c r="L565" i="1"/>
  <c r="L539" i="1"/>
  <c r="M397" i="1"/>
  <c r="M438" i="1"/>
  <c r="M564" i="1"/>
  <c r="L357" i="1"/>
  <c r="N57" i="1"/>
  <c r="N1740" i="1"/>
  <c r="N467" i="1"/>
  <c r="N466" i="1" s="1"/>
  <c r="N464" i="1"/>
  <c r="P145" i="1"/>
  <c r="P144" i="1" s="1"/>
  <c r="P137" i="1"/>
  <c r="P366" i="1"/>
  <c r="O549" i="1"/>
  <c r="O371" i="1"/>
  <c r="O378" i="1"/>
  <c r="O330" i="1"/>
  <c r="O346" i="1" s="1"/>
  <c r="O425" i="1" s="1"/>
  <c r="O280" i="1"/>
  <c r="O279" i="1" s="1"/>
  <c r="O797" i="1"/>
  <c r="O273" i="1"/>
  <c r="O233" i="1" s="1"/>
  <c r="N542" i="1"/>
  <c r="P415" i="1"/>
  <c r="P414" i="1" s="1"/>
  <c r="P412" i="1"/>
  <c r="L98" i="1"/>
  <c r="M108" i="1"/>
  <c r="M336" i="1" s="1"/>
  <c r="M352" i="1" s="1"/>
  <c r="M497" i="1" s="1"/>
  <c r="M486" i="1" s="1"/>
  <c r="M267" i="1"/>
  <c r="M256" i="1" s="1"/>
  <c r="N33" i="1"/>
  <c r="N1723" i="1" s="1"/>
  <c r="N1724" i="1"/>
  <c r="O397" i="1"/>
  <c r="N417" i="1"/>
  <c r="N416" i="1" s="1"/>
  <c r="L99" i="1"/>
  <c r="L327" i="1" s="1"/>
  <c r="L343" i="1" s="1"/>
  <c r="M958" i="1"/>
  <c r="M1126" i="1"/>
  <c r="L1314" i="1"/>
  <c r="N1399" i="1"/>
  <c r="P2233" i="1"/>
  <c r="O2295" i="1"/>
  <c r="O1546" i="1"/>
  <c r="L237" i="1"/>
  <c r="L236" i="1" s="1"/>
  <c r="L238" i="1"/>
  <c r="P543" i="1"/>
  <c r="L33" i="1"/>
  <c r="L1723" i="1" s="1"/>
  <c r="L1724" i="1"/>
  <c r="O183" i="1"/>
  <c r="O182" i="1" s="1"/>
  <c r="M192" i="1"/>
  <c r="M191" i="1" s="1"/>
  <c r="O672" i="1"/>
  <c r="N552" i="1"/>
  <c r="M183" i="1"/>
  <c r="M182" i="1" s="1"/>
  <c r="P986" i="1"/>
  <c r="P989" i="1"/>
  <c r="P988" i="1" s="1"/>
  <c r="O1105" i="1"/>
  <c r="O1135" i="1"/>
  <c r="O1010" i="1"/>
  <c r="O1009" i="1" s="1"/>
  <c r="N741" i="1"/>
  <c r="N735" i="1" s="1"/>
  <c r="M331" i="1"/>
  <c r="M347" i="1" s="1"/>
  <c r="N39" i="1"/>
  <c r="N1652" i="1" s="1"/>
  <c r="M540" i="1"/>
  <c r="P553" i="1"/>
  <c r="N1095" i="1"/>
  <c r="N1093" i="1"/>
  <c r="N1096" i="1"/>
  <c r="N1097" i="1"/>
  <c r="P1006" i="1"/>
  <c r="P1593" i="1"/>
  <c r="G1665" i="1"/>
  <c r="H1665" i="1"/>
  <c r="I1665" i="1"/>
  <c r="F1665" i="1"/>
  <c r="I37" i="1"/>
  <c r="H37" i="1"/>
  <c r="G37" i="1"/>
  <c r="F37" i="1"/>
  <c r="I1664" i="1"/>
  <c r="H1664" i="1"/>
  <c r="G1664" i="1"/>
  <c r="F1664" i="1"/>
  <c r="P1012" i="1" l="1"/>
  <c r="P1010" i="1"/>
  <c r="P1009" i="1" s="1"/>
  <c r="Q736" i="1" a="1"/>
  <c r="Q736" i="1" s="1"/>
  <c r="Q737" i="1" s="1"/>
  <c r="Q738" i="1" a="1"/>
  <c r="Q738" i="1" s="1"/>
  <c r="O1724" i="1"/>
  <c r="P1653" i="1"/>
  <c r="P1512" i="1"/>
  <c r="P1161" i="1"/>
  <c r="P1603" i="1"/>
  <c r="P1556" i="1"/>
  <c r="P1554" i="1" s="1"/>
  <c r="P1553" i="1" s="1"/>
  <c r="M1345" i="1"/>
  <c r="M1207" i="1"/>
  <c r="M1618" i="1"/>
  <c r="M1571" i="1"/>
  <c r="M1429" i="1"/>
  <c r="L1603" i="1"/>
  <c r="L1601" i="1" s="1"/>
  <c r="L1600" i="1" s="1"/>
  <c r="L1512" i="1"/>
  <c r="L1510" i="1" s="1"/>
  <c r="L1509" i="1" s="1"/>
  <c r="L1653" i="1"/>
  <c r="L1651" i="1" s="1"/>
  <c r="L1650" i="1" s="1"/>
  <c r="L1556" i="1"/>
  <c r="L1161" i="1"/>
  <c r="Q1161" i="1"/>
  <c r="Q1159" i="1" s="1"/>
  <c r="Q1158" i="1" s="1"/>
  <c r="Q1603" i="1"/>
  <c r="Q1601" i="1" s="1"/>
  <c r="Q1600" i="1" s="1"/>
  <c r="Q1512" i="1"/>
  <c r="Q1556" i="1"/>
  <c r="Q1653" i="1"/>
  <c r="Q1330" i="1"/>
  <c r="Q22" i="1"/>
  <c r="L736" i="1" a="1"/>
  <c r="L736" i="1" s="1"/>
  <c r="L738" i="1" a="1"/>
  <c r="L738" i="1" s="1"/>
  <c r="L1511" i="1"/>
  <c r="O38" i="1"/>
  <c r="O1658" i="1" s="1"/>
  <c r="N1331" i="1"/>
  <c r="N1184" i="1"/>
  <c r="N1610" i="1"/>
  <c r="N1415" i="1"/>
  <c r="N1563" i="1"/>
  <c r="N1561" i="1" s="1"/>
  <c r="N1560" i="1" s="1"/>
  <c r="N1012" i="1"/>
  <c r="M1727" i="1"/>
  <c r="N1414" i="1"/>
  <c r="O1414" i="1"/>
  <c r="M37" i="1"/>
  <c r="M1726" i="1" s="1"/>
  <c r="M1653" i="1"/>
  <c r="M1651" i="1" s="1"/>
  <c r="M1650" i="1" s="1"/>
  <c r="M1603" i="1"/>
  <c r="M1601" i="1" s="1"/>
  <c r="M1600" i="1" s="1"/>
  <c r="M1512" i="1"/>
  <c r="M1510" i="1" s="1"/>
  <c r="M1509" i="1" s="1"/>
  <c r="M1556" i="1"/>
  <c r="M1554" i="1" s="1"/>
  <c r="M1553" i="1" s="1"/>
  <c r="M1161" i="1"/>
  <c r="M1159" i="1" s="1"/>
  <c r="M1158" i="1" s="1"/>
  <c r="P1658" i="1"/>
  <c r="P1659" i="1" s="1"/>
  <c r="P1602" i="1"/>
  <c r="P1601" i="1" s="1"/>
  <c r="P1600" i="1" s="1"/>
  <c r="N1609" i="1"/>
  <c r="N1608" i="1" s="1"/>
  <c r="N1607" i="1" s="1"/>
  <c r="M1206" i="1"/>
  <c r="M1562" i="1"/>
  <c r="M1561" i="1" s="1"/>
  <c r="M1560" i="1" s="1"/>
  <c r="O467" i="1"/>
  <c r="O466" i="1" s="1"/>
  <c r="L1563" i="1"/>
  <c r="L1331" i="1"/>
  <c r="L1415" i="1"/>
  <c r="L1610" i="1"/>
  <c r="L1184" i="1"/>
  <c r="Q1602" i="1"/>
  <c r="M1563" i="1"/>
  <c r="M1610" i="1"/>
  <c r="M1331" i="1"/>
  <c r="M1329" i="1" s="1"/>
  <c r="M1328" i="1" s="1"/>
  <c r="M1415" i="1"/>
  <c r="M1184" i="1"/>
  <c r="P1609" i="1"/>
  <c r="P1414" i="1"/>
  <c r="Q1658" i="1"/>
  <c r="Q1659" i="1" s="1"/>
  <c r="O736" i="1" a="1"/>
  <c r="O736" i="1" s="1"/>
  <c r="O737" i="1" s="1"/>
  <c r="O738" i="1" a="1"/>
  <c r="O738" i="1" s="1"/>
  <c r="P1331" i="1"/>
  <c r="P1610" i="1"/>
  <c r="P1563" i="1"/>
  <c r="P1415" i="1"/>
  <c r="P1184" i="1"/>
  <c r="M200" i="1"/>
  <c r="M1428" i="1"/>
  <c r="O1603" i="1"/>
  <c r="O1601" i="1" s="1"/>
  <c r="O1600" i="1" s="1"/>
  <c r="O1512" i="1"/>
  <c r="O1510" i="1" s="1"/>
  <c r="O1509" i="1" s="1"/>
  <c r="O1653" i="1"/>
  <c r="O1651" i="1" s="1"/>
  <c r="O1650" i="1" s="1"/>
  <c r="O1556" i="1"/>
  <c r="O1554" i="1" s="1"/>
  <c r="O1553" i="1" s="1"/>
  <c r="O1161" i="1"/>
  <c r="O1159" i="1" s="1"/>
  <c r="O1158" i="1" s="1"/>
  <c r="L1414" i="1"/>
  <c r="L144" i="1"/>
  <c r="M1414" i="1"/>
  <c r="M1183" i="1"/>
  <c r="M1182" i="1" s="1"/>
  <c r="M1181" i="1" s="1"/>
  <c r="L1562" i="1"/>
  <c r="Q1022" i="1"/>
  <c r="Q1021" i="1" s="1"/>
  <c r="Q1020" i="1" s="1"/>
  <c r="P1183" i="1"/>
  <c r="Q1511" i="1"/>
  <c r="Q1555" i="1"/>
  <c r="Q233" i="1"/>
  <c r="Q181" i="1" s="1"/>
  <c r="L1555" i="1"/>
  <c r="L1160" i="1"/>
  <c r="M1344" i="1"/>
  <c r="N1603" i="1"/>
  <c r="N1601" i="1" s="1"/>
  <c r="N1600" i="1" s="1"/>
  <c r="N1512" i="1"/>
  <c r="N1653" i="1"/>
  <c r="N1556" i="1"/>
  <c r="N1554" i="1" s="1"/>
  <c r="N1553" i="1" s="1"/>
  <c r="N1161" i="1"/>
  <c r="O1000" i="1"/>
  <c r="N738" i="1" a="1"/>
  <c r="N738" i="1" s="1"/>
  <c r="N736" i="1" a="1"/>
  <c r="N736" i="1" s="1"/>
  <c r="M1728" i="1"/>
  <c r="M1609" i="1"/>
  <c r="M1608" i="1" s="1"/>
  <c r="M1607" i="1" s="1"/>
  <c r="N1160" i="1"/>
  <c r="N1183" i="1"/>
  <c r="N1182" i="1" s="1"/>
  <c r="N1181" i="1" s="1"/>
  <c r="M1160" i="1"/>
  <c r="M1617" i="1"/>
  <c r="Q552" i="1"/>
  <c r="O1003" i="1"/>
  <c r="Q426" i="1"/>
  <c r="M467" i="1"/>
  <c r="M466" i="1" s="1"/>
  <c r="L1001" i="1"/>
  <c r="L1000" i="1" s="1"/>
  <c r="O501" i="1"/>
  <c r="O490" i="1" s="1"/>
  <c r="Q192" i="1"/>
  <c r="Q191" i="1" s="1"/>
  <c r="Q194" i="1"/>
  <c r="P1729" i="1"/>
  <c r="P1665" i="1"/>
  <c r="Q467" i="1"/>
  <c r="Q466" i="1" s="1"/>
  <c r="Q494" i="1"/>
  <c r="O426" i="1"/>
  <c r="O424" i="1" s="1"/>
  <c r="Q1729" i="1"/>
  <c r="P332" i="1"/>
  <c r="P348" i="1" s="1"/>
  <c r="P342" i="1" s="1"/>
  <c r="P326" i="1" s="1"/>
  <c r="L494" i="1"/>
  <c r="L483" i="1" s="1"/>
  <c r="M426" i="1"/>
  <c r="M423" i="1" s="1"/>
  <c r="L1616" i="1"/>
  <c r="L1615" i="1" s="1"/>
  <c r="P1569" i="1"/>
  <c r="P1568" i="1" s="1"/>
  <c r="L1182" i="1"/>
  <c r="L1181" i="1" s="1"/>
  <c r="Q1510" i="1"/>
  <c r="Q1509" i="1" s="1"/>
  <c r="Q412" i="1"/>
  <c r="Q415" i="1"/>
  <c r="Q414" i="1" s="1"/>
  <c r="Q527" i="1"/>
  <c r="M496" i="1"/>
  <c r="Q734" i="1"/>
  <c r="Q1724" i="1"/>
  <c r="Q33" i="1"/>
  <c r="Q1723" i="1" s="1"/>
  <c r="Q376" i="1"/>
  <c r="Q432" i="1"/>
  <c r="Q435" i="1" s="1"/>
  <c r="Q262" i="1"/>
  <c r="Q1010" i="1"/>
  <c r="Q1009" i="1" s="1"/>
  <c r="Q252" i="1"/>
  <c r="Q251" i="1" s="1"/>
  <c r="Q1713" i="1"/>
  <c r="Q1711" i="1" s="1"/>
  <c r="Q20" i="1"/>
  <c r="Q38" i="1"/>
  <c r="Q425" i="1"/>
  <c r="Q424" i="1" s="1"/>
  <c r="Q497" i="1"/>
  <c r="Q486" i="1" s="1"/>
  <c r="Q792" i="1"/>
  <c r="Q835" i="1" s="1"/>
  <c r="Q868" i="1" s="1"/>
  <c r="Q1728" i="1"/>
  <c r="Q510" i="1"/>
  <c r="Q509" i="1" s="1"/>
  <c r="Q503" i="1"/>
  <c r="Q418" i="1"/>
  <c r="Q550" i="1"/>
  <c r="Q547" i="1"/>
  <c r="Q332" i="1"/>
  <c r="Q348" i="1" s="1"/>
  <c r="Q534" i="1"/>
  <c r="Q291" i="1"/>
  <c r="Q498" i="1"/>
  <c r="Q487" i="1" s="1"/>
  <c r="Q427" i="1"/>
  <c r="Q725" i="1"/>
  <c r="Q722" i="1" s="1"/>
  <c r="Q721" i="1" s="1"/>
  <c r="Q375" i="1"/>
  <c r="Q372" i="1" s="1"/>
  <c r="Q431" i="1"/>
  <c r="Q430" i="1" s="1"/>
  <c r="Q546" i="1"/>
  <c r="Q483" i="1"/>
  <c r="Q538" i="1"/>
  <c r="Q423" i="1"/>
  <c r="Q548" i="1"/>
  <c r="M1729" i="1"/>
  <c r="M1665" i="1"/>
  <c r="L1665" i="1"/>
  <c r="L1729" i="1"/>
  <c r="P496" i="1"/>
  <c r="P485" i="1" s="1"/>
  <c r="N1000" i="1"/>
  <c r="O542" i="1"/>
  <c r="N1727" i="1"/>
  <c r="P1727" i="1"/>
  <c r="M499" i="1"/>
  <c r="M488" i="1" s="1"/>
  <c r="L498" i="1"/>
  <c r="L487" i="1" s="1"/>
  <c r="L512" i="1"/>
  <c r="P1182" i="1"/>
  <c r="P1181" i="1" s="1"/>
  <c r="M251" i="1"/>
  <c r="P1329" i="1"/>
  <c r="P1328" i="1" s="1"/>
  <c r="P1413" i="1"/>
  <c r="P1412" i="1" s="1"/>
  <c r="L497" i="1"/>
  <c r="L486" i="1" s="1"/>
  <c r="P251" i="1"/>
  <c r="L251" i="1"/>
  <c r="O1823" i="1"/>
  <c r="L262" i="1"/>
  <c r="P425" i="1"/>
  <c r="P424" i="1" s="1"/>
  <c r="L499" i="1"/>
  <c r="L488" i="1" s="1"/>
  <c r="M1010" i="1"/>
  <c r="M1009" i="1" s="1"/>
  <c r="L502" i="1"/>
  <c r="O984" i="1"/>
  <c r="L527" i="1"/>
  <c r="N1665" i="1"/>
  <c r="N1729" i="1"/>
  <c r="L291" i="1"/>
  <c r="N426" i="1"/>
  <c r="L1727" i="1"/>
  <c r="N1003" i="1"/>
  <c r="P467" i="1"/>
  <c r="P466" i="1" s="1"/>
  <c r="N262" i="1"/>
  <c r="L1608" i="1"/>
  <c r="L1607" i="1" s="1"/>
  <c r="P1616" i="1"/>
  <c r="P1615" i="1" s="1"/>
  <c r="O1727" i="1"/>
  <c r="P233" i="1"/>
  <c r="P181" i="1" s="1"/>
  <c r="L37" i="1"/>
  <c r="L1726" i="1" s="1"/>
  <c r="O37" i="1"/>
  <c r="O1726" i="1" s="1"/>
  <c r="N181" i="1"/>
  <c r="P1343" i="1"/>
  <c r="P1342" i="1" s="1"/>
  <c r="M204" i="1"/>
  <c r="M203" i="1" s="1"/>
  <c r="P37" i="1"/>
  <c r="P1726" i="1" s="1"/>
  <c r="P1728" i="1"/>
  <c r="N252" i="1"/>
  <c r="N251" i="1" s="1"/>
  <c r="P1510" i="1"/>
  <c r="P1509" i="1" s="1"/>
  <c r="L1205" i="1"/>
  <c r="L1204" i="1" s="1"/>
  <c r="L1569" i="1"/>
  <c r="L1568" i="1" s="1"/>
  <c r="N37" i="1"/>
  <c r="N1726" i="1" s="1"/>
  <c r="L1010" i="1"/>
  <c r="L1009" i="1" s="1"/>
  <c r="M1413" i="1"/>
  <c r="M1412" i="1" s="1"/>
  <c r="N734" i="1"/>
  <c r="L734" i="1"/>
  <c r="O734" i="1"/>
  <c r="M750" i="1"/>
  <c r="M745" i="1"/>
  <c r="M746" i="1"/>
  <c r="M747" i="1"/>
  <c r="M748" i="1"/>
  <c r="M749" i="1"/>
  <c r="O785" i="1"/>
  <c r="N373" i="1"/>
  <c r="N365" i="1"/>
  <c r="M761" i="1"/>
  <c r="M757" i="1"/>
  <c r="M758" i="1"/>
  <c r="M759" i="1"/>
  <c r="M760" i="1"/>
  <c r="M762" i="1"/>
  <c r="M425" i="1"/>
  <c r="M737" i="1"/>
  <c r="N499" i="1"/>
  <c r="N502" i="1"/>
  <c r="N491" i="1" s="1"/>
  <c r="O725" i="1"/>
  <c r="O722" i="1" s="1"/>
  <c r="O721" i="1" s="1"/>
  <c r="P501" i="1"/>
  <c r="P490" i="1" s="1"/>
  <c r="L1561" i="1"/>
  <c r="L1560" i="1" s="1"/>
  <c r="M502" i="1"/>
  <c r="M491" i="1" s="1"/>
  <c r="N1713" i="1"/>
  <c r="N1711" i="1" s="1"/>
  <c r="N20" i="1"/>
  <c r="M485" i="1"/>
  <c r="N488" i="1"/>
  <c r="M537" i="1"/>
  <c r="M565" i="1"/>
  <c r="L1159" i="1"/>
  <c r="L1158" i="1" s="1"/>
  <c r="L510" i="1"/>
  <c r="L509" i="1" s="1"/>
  <c r="L503" i="1"/>
  <c r="O370" i="1"/>
  <c r="O377" i="1"/>
  <c r="O548" i="1"/>
  <c r="L552" i="1"/>
  <c r="M494" i="1"/>
  <c r="M483" i="1" s="1"/>
  <c r="M512" i="1"/>
  <c r="M379" i="1"/>
  <c r="N425" i="1"/>
  <c r="N535" i="1"/>
  <c r="O373" i="1"/>
  <c r="L792" i="1"/>
  <c r="L835" i="1"/>
  <c r="L868" i="1" s="1"/>
  <c r="N422" i="1"/>
  <c r="N418" i="1"/>
  <c r="P984" i="1"/>
  <c r="P565" i="1"/>
  <c r="O181" i="1"/>
  <c r="L422" i="1"/>
  <c r="L418" i="1"/>
  <c r="L532" i="1"/>
  <c r="M1657" i="1"/>
  <c r="M1656" i="1" s="1"/>
  <c r="P725" i="1"/>
  <c r="P722" i="1" s="1"/>
  <c r="P721" i="1" s="1"/>
  <c r="O486" i="1"/>
  <c r="O538" i="1"/>
  <c r="P418" i="1"/>
  <c r="P411" i="1" s="1"/>
  <c r="P410" i="1" s="1"/>
  <c r="N332" i="1"/>
  <c r="N348" i="1" s="1"/>
  <c r="L534" i="1"/>
  <c r="L332" i="1"/>
  <c r="L348" i="1" s="1"/>
  <c r="L493" i="1" s="1"/>
  <c r="M1713" i="1"/>
  <c r="M1711" i="1" s="1"/>
  <c r="M20" i="1"/>
  <c r="O1713" i="1"/>
  <c r="O1711" i="1" s="1"/>
  <c r="O20" i="1"/>
  <c r="O470" i="1"/>
  <c r="L415" i="1"/>
  <c r="L414" i="1" s="1"/>
  <c r="L412" i="1"/>
  <c r="L467" i="1"/>
  <c r="L466" i="1" s="1"/>
  <c r="O493" i="1"/>
  <c r="P537" i="1"/>
  <c r="N423" i="1"/>
  <c r="M422" i="1"/>
  <c r="M418" i="1"/>
  <c r="M532" i="1"/>
  <c r="O342" i="1"/>
  <c r="O326" i="1" s="1"/>
  <c r="N486" i="1"/>
  <c r="P365" i="1"/>
  <c r="P373" i="1"/>
  <c r="N494" i="1"/>
  <c r="N483" i="1" s="1"/>
  <c r="N792" i="1"/>
  <c r="O537" i="1"/>
  <c r="O518" i="1"/>
  <c r="O565" i="1"/>
  <c r="O496" i="1"/>
  <c r="O485" i="1" s="1"/>
  <c r="L491" i="1"/>
  <c r="M533" i="1"/>
  <c r="O498" i="1"/>
  <c r="P512" i="1"/>
  <c r="P379" i="1"/>
  <c r="P291" i="1" s="1"/>
  <c r="P552" i="1"/>
  <c r="P762" i="1"/>
  <c r="P757" i="1"/>
  <c r="P758" i="1"/>
  <c r="P759" i="1"/>
  <c r="P761" i="1"/>
  <c r="P760" i="1"/>
  <c r="P749" i="1"/>
  <c r="P750" i="1"/>
  <c r="P745" i="1"/>
  <c r="P746" i="1"/>
  <c r="P747" i="1"/>
  <c r="P748" i="1"/>
  <c r="O422" i="1"/>
  <c r="O418" i="1"/>
  <c r="L692" i="1"/>
  <c r="L689" i="1" s="1"/>
  <c r="L690" i="1"/>
  <c r="P737" i="1"/>
  <c r="O368" i="1"/>
  <c r="O365" i="1" s="1"/>
  <c r="O546" i="1"/>
  <c r="O358" i="1"/>
  <c r="O291" i="1" s="1"/>
  <c r="N310" i="1"/>
  <c r="L1343" i="1"/>
  <c r="L1342" i="1" s="1"/>
  <c r="L374" i="1"/>
  <c r="L365" i="1"/>
  <c r="O432" i="1"/>
  <c r="O435" i="1" s="1"/>
  <c r="O376" i="1"/>
  <c r="M543" i="1"/>
  <c r="L1730" i="1"/>
  <c r="L1711" i="1" s="1"/>
  <c r="L20" i="1"/>
  <c r="L194" i="1"/>
  <c r="P792" i="1"/>
  <c r="P840" i="1" s="1"/>
  <c r="P873" i="1" s="1"/>
  <c r="O527" i="1"/>
  <c r="L426" i="1"/>
  <c r="L424" i="1" s="1"/>
  <c r="L191" i="1"/>
  <c r="P534" i="1"/>
  <c r="L725" i="1"/>
  <c r="L722" i="1" s="1"/>
  <c r="L721" i="1" s="1"/>
  <c r="O204" i="1"/>
  <c r="O203" i="1" s="1"/>
  <c r="N485" i="1"/>
  <c r="N537" i="1"/>
  <c r="N435" i="1"/>
  <c r="N547" i="1"/>
  <c r="L543" i="1"/>
  <c r="P692" i="1"/>
  <c r="P689" i="1" s="1"/>
  <c r="P691" i="1"/>
  <c r="O792" i="1"/>
  <c r="O838" i="1" s="1"/>
  <c r="O871" i="1" s="1"/>
  <c r="N725" i="1"/>
  <c r="N722" i="1" s="1"/>
  <c r="N721" i="1" s="1"/>
  <c r="P204" i="1"/>
  <c r="P203" i="1" s="1"/>
  <c r="O487" i="1"/>
  <c r="N1728" i="1"/>
  <c r="N1657" i="1"/>
  <c r="N1656" i="1" s="1"/>
  <c r="L1329" i="1"/>
  <c r="L1328" i="1" s="1"/>
  <c r="N427" i="1"/>
  <c r="M233" i="1"/>
  <c r="M181" i="1" s="1"/>
  <c r="N415" i="1"/>
  <c r="N414" i="1" s="1"/>
  <c r="N376" i="1"/>
  <c r="N432" i="1"/>
  <c r="P503" i="1"/>
  <c r="P510" i="1"/>
  <c r="P509" i="1" s="1"/>
  <c r="M725" i="1"/>
  <c r="M722" i="1" s="1"/>
  <c r="M721" i="1" s="1"/>
  <c r="M376" i="1"/>
  <c r="M432" i="1"/>
  <c r="M435" i="1" s="1"/>
  <c r="L535" i="1"/>
  <c r="P438" i="1"/>
  <c r="P564" i="1"/>
  <c r="M792" i="1"/>
  <c r="M835" i="1"/>
  <c r="M868" i="1" s="1"/>
  <c r="N375" i="1"/>
  <c r="N431" i="1"/>
  <c r="N434" i="1" s="1"/>
  <c r="M534" i="1"/>
  <c r="M332" i="1"/>
  <c r="M348" i="1" s="1"/>
  <c r="P262" i="1"/>
  <c r="M48" i="1"/>
  <c r="M1737" i="1" s="1"/>
  <c r="M1738" i="1"/>
  <c r="M1343" i="1"/>
  <c r="M1342" i="1" s="1"/>
  <c r="L432" i="1"/>
  <c r="L430" i="1" s="1"/>
  <c r="L376" i="1"/>
  <c r="O552" i="1"/>
  <c r="O415" i="1"/>
  <c r="O414" i="1" s="1"/>
  <c r="O412" i="1"/>
  <c r="N1010" i="1"/>
  <c r="N1009" i="1" s="1"/>
  <c r="M262" i="1"/>
  <c r="M546" i="1"/>
  <c r="M368" i="1"/>
  <c r="M358" i="1"/>
  <c r="L1728" i="1"/>
  <c r="L1427" i="1"/>
  <c r="L1426" i="1" s="1"/>
  <c r="P48" i="1"/>
  <c r="P1737" i="1" s="1"/>
  <c r="P1738" i="1"/>
  <c r="P1713" i="1"/>
  <c r="P1711" i="1" s="1"/>
  <c r="P20" i="1"/>
  <c r="N550" i="1"/>
  <c r="P376" i="1"/>
  <c r="P432" i="1"/>
  <c r="P435" i="1" s="1"/>
  <c r="L548" i="1"/>
  <c r="N194" i="1"/>
  <c r="M510" i="1"/>
  <c r="M509" i="1" s="1"/>
  <c r="M503" i="1"/>
  <c r="M548" i="1"/>
  <c r="P427" i="1"/>
  <c r="N533" i="1"/>
  <c r="N540" i="1"/>
  <c r="O488" i="1"/>
  <c r="N498" i="1"/>
  <c r="N487" i="1" s="1"/>
  <c r="L1657" i="1"/>
  <c r="L1656" i="1" s="1"/>
  <c r="N191" i="1"/>
  <c r="P532" i="1"/>
  <c r="P375" i="1"/>
  <c r="P431" i="1"/>
  <c r="N539" i="1"/>
  <c r="L547" i="1"/>
  <c r="M535" i="1"/>
  <c r="K36" i="1"/>
  <c r="K40" i="1" s="1"/>
  <c r="K1665" i="1" s="1"/>
  <c r="J36" i="1"/>
  <c r="J40" i="1" s="1"/>
  <c r="J1665" i="1" s="1"/>
  <c r="K1664" i="1"/>
  <c r="O1659" i="1" l="1"/>
  <c r="O1657" i="1"/>
  <c r="O1656" i="1" s="1"/>
  <c r="O1330" i="1"/>
  <c r="O1183" i="1"/>
  <c r="Q1331" i="1"/>
  <c r="Q1329" i="1" s="1"/>
  <c r="Q1328" i="1" s="1"/>
  <c r="Q1610" i="1"/>
  <c r="Q1184" i="1"/>
  <c r="Q1563" i="1"/>
  <c r="Q1415" i="1"/>
  <c r="Q1414" i="1"/>
  <c r="Q1562" i="1"/>
  <c r="Q1609" i="1"/>
  <c r="P1657" i="1"/>
  <c r="P1656" i="1" s="1"/>
  <c r="Q1119" i="1"/>
  <c r="O1609" i="1"/>
  <c r="O1415" i="1"/>
  <c r="O1413" i="1" s="1"/>
  <c r="O1412" i="1" s="1"/>
  <c r="O1331" i="1"/>
  <c r="O1329" i="1" s="1"/>
  <c r="O1328" i="1" s="1"/>
  <c r="O1563" i="1"/>
  <c r="O1610" i="1"/>
  <c r="O1184" i="1"/>
  <c r="O1562" i="1"/>
  <c r="O1561" i="1" s="1"/>
  <c r="O1560" i="1" s="1"/>
  <c r="L1413" i="1"/>
  <c r="L1412" i="1" s="1"/>
  <c r="Q1183" i="1"/>
  <c r="P422" i="1"/>
  <c r="P421" i="1" s="1"/>
  <c r="O423" i="1"/>
  <c r="O421" i="1" s="1"/>
  <c r="N1159" i="1"/>
  <c r="N1158" i="1" s="1"/>
  <c r="O1608" i="1"/>
  <c r="O1607" i="1" s="1"/>
  <c r="N1510" i="1"/>
  <c r="N1509" i="1" s="1"/>
  <c r="N424" i="1"/>
  <c r="L1554" i="1"/>
  <c r="L1553" i="1" s="1"/>
  <c r="L492" i="1"/>
  <c r="M424" i="1"/>
  <c r="P1608" i="1"/>
  <c r="P1607" i="1" s="1"/>
  <c r="N1413" i="1"/>
  <c r="N1412" i="1" s="1"/>
  <c r="Q751" i="1"/>
  <c r="Q752" i="1"/>
  <c r="Q753" i="1"/>
  <c r="Q754" i="1"/>
  <c r="Q755" i="1"/>
  <c r="Q756" i="1"/>
  <c r="Q493" i="1"/>
  <c r="Q492" i="1" s="1"/>
  <c r="Q342" i="1"/>
  <c r="Q326" i="1" s="1"/>
  <c r="Q434" i="1"/>
  <c r="Q433" i="1" s="1"/>
  <c r="Q482" i="1"/>
  <c r="Q481" i="1" s="1"/>
  <c r="Q470" i="1"/>
  <c r="Q463" i="1" s="1"/>
  <c r="Q834" i="1"/>
  <c r="Q867" i="1" s="1"/>
  <c r="Q842" i="1"/>
  <c r="Q875" i="1" s="1"/>
  <c r="Q839" i="1"/>
  <c r="Q872" i="1" s="1"/>
  <c r="Q837" i="1"/>
  <c r="Q870" i="1" s="1"/>
  <c r="Q838" i="1"/>
  <c r="Q871" i="1" s="1"/>
  <c r="Q836" i="1"/>
  <c r="Q869" i="1" s="1"/>
  <c r="Q841" i="1"/>
  <c r="Q874" i="1" s="1"/>
  <c r="Q840" i="1"/>
  <c r="Q873" i="1" s="1"/>
  <c r="Q1561" i="1"/>
  <c r="Q1560" i="1" s="1"/>
  <c r="Q1413" i="1"/>
  <c r="Q1412" i="1" s="1"/>
  <c r="Q1727" i="1"/>
  <c r="Q37" i="1"/>
  <c r="Q1726" i="1" s="1"/>
  <c r="Q411" i="1"/>
  <c r="Q410" i="1" s="1"/>
  <c r="Q422" i="1"/>
  <c r="Q421" i="1" s="1"/>
  <c r="Q762" i="1"/>
  <c r="Q757" i="1"/>
  <c r="Q758" i="1"/>
  <c r="Q759" i="1"/>
  <c r="Q760" i="1"/>
  <c r="Q761" i="1"/>
  <c r="Q1657" i="1"/>
  <c r="Q1656" i="1" s="1"/>
  <c r="Q745" i="1"/>
  <c r="Q746" i="1"/>
  <c r="Q747" i="1"/>
  <c r="Q748" i="1"/>
  <c r="Q749" i="1"/>
  <c r="Q750" i="1"/>
  <c r="Q1554" i="1"/>
  <c r="Q1553" i="1" s="1"/>
  <c r="Q1651" i="1"/>
  <c r="Q1650" i="1" s="1"/>
  <c r="L435" i="1"/>
  <c r="L433" i="1" s="1"/>
  <c r="M1427" i="1"/>
  <c r="M1426" i="1" s="1"/>
  <c r="P1561" i="1"/>
  <c r="P1560" i="1" s="1"/>
  <c r="O1182" i="1"/>
  <c r="O1181" i="1" s="1"/>
  <c r="M421" i="1"/>
  <c r="L372" i="1"/>
  <c r="O492" i="1"/>
  <c r="L423" i="1"/>
  <c r="L421" i="1" s="1"/>
  <c r="N1651" i="1"/>
  <c r="N1650" i="1" s="1"/>
  <c r="N1329" i="1"/>
  <c r="N1328" i="1" s="1"/>
  <c r="P1651" i="1"/>
  <c r="P1650" i="1" s="1"/>
  <c r="P372" i="1"/>
  <c r="M1205" i="1"/>
  <c r="M1204" i="1" s="1"/>
  <c r="N421" i="1"/>
  <c r="M291" i="1"/>
  <c r="N411" i="1"/>
  <c r="N410" i="1" s="1"/>
  <c r="P1159" i="1"/>
  <c r="P1158" i="1" s="1"/>
  <c r="L411" i="1"/>
  <c r="L410" i="1" s="1"/>
  <c r="N493" i="1"/>
  <c r="N492" i="1" s="1"/>
  <c r="N342" i="1"/>
  <c r="N326" i="1" s="1"/>
  <c r="M493" i="1"/>
  <c r="M492" i="1" s="1"/>
  <c r="M342" i="1"/>
  <c r="M326" i="1" s="1"/>
  <c r="O756" i="1"/>
  <c r="O751" i="1"/>
  <c r="O752" i="1"/>
  <c r="O753" i="1"/>
  <c r="O755" i="1"/>
  <c r="O754" i="1"/>
  <c r="L470" i="1"/>
  <c r="L463" i="1" s="1"/>
  <c r="L482" i="1"/>
  <c r="L481" i="1" s="1"/>
  <c r="M839" i="1"/>
  <c r="M872" i="1" s="1"/>
  <c r="M834" i="1"/>
  <c r="M867" i="1" s="1"/>
  <c r="M837" i="1"/>
  <c r="M870" i="1" s="1"/>
  <c r="M842" i="1"/>
  <c r="M875" i="1" s="1"/>
  <c r="M836" i="1"/>
  <c r="M869" i="1" s="1"/>
  <c r="M838" i="1"/>
  <c r="M871" i="1" s="1"/>
  <c r="M841" i="1"/>
  <c r="M874" i="1" s="1"/>
  <c r="O761" i="1"/>
  <c r="O762" i="1"/>
  <c r="O757" i="1"/>
  <c r="O758" i="1"/>
  <c r="O759" i="1"/>
  <c r="O760" i="1"/>
  <c r="M427" i="1"/>
  <c r="M411" i="1" s="1"/>
  <c r="M410" i="1" s="1"/>
  <c r="L839" i="1"/>
  <c r="L872" i="1" s="1"/>
  <c r="L837" i="1"/>
  <c r="L870" i="1" s="1"/>
  <c r="L834" i="1"/>
  <c r="L867" i="1" s="1"/>
  <c r="L842" i="1"/>
  <c r="L875" i="1" s="1"/>
  <c r="L836" i="1"/>
  <c r="L869" i="1" s="1"/>
  <c r="L838" i="1"/>
  <c r="L871" i="1" s="1"/>
  <c r="L840" i="1"/>
  <c r="L873" i="1" s="1"/>
  <c r="L841" i="1"/>
  <c r="L874" i="1" s="1"/>
  <c r="P430" i="1"/>
  <c r="P756" i="1"/>
  <c r="P751" i="1"/>
  <c r="P752" i="1"/>
  <c r="P753" i="1"/>
  <c r="P754" i="1"/>
  <c r="P755" i="1"/>
  <c r="O749" i="1"/>
  <c r="O750" i="1"/>
  <c r="O745" i="1"/>
  <c r="O746" i="1"/>
  <c r="O747" i="1"/>
  <c r="O748" i="1"/>
  <c r="L750" i="1"/>
  <c r="L745" i="1"/>
  <c r="L746" i="1"/>
  <c r="L747" i="1"/>
  <c r="L749" i="1"/>
  <c r="L748" i="1"/>
  <c r="L762" i="1"/>
  <c r="L757" i="1"/>
  <c r="L758" i="1"/>
  <c r="L759" i="1"/>
  <c r="L760" i="1"/>
  <c r="L761" i="1"/>
  <c r="L737" i="1"/>
  <c r="M1569" i="1"/>
  <c r="M1568" i="1" s="1"/>
  <c r="O482" i="1"/>
  <c r="O481" i="1" s="1"/>
  <c r="L342" i="1"/>
  <c r="L326" i="1" s="1"/>
  <c r="P493" i="1"/>
  <c r="P492" i="1" s="1"/>
  <c r="O837" i="1"/>
  <c r="O870" i="1" s="1"/>
  <c r="O836" i="1"/>
  <c r="O869" i="1" s="1"/>
  <c r="O842" i="1"/>
  <c r="O875" i="1" s="1"/>
  <c r="O835" i="1"/>
  <c r="O868" i="1" s="1"/>
  <c r="O841" i="1"/>
  <c r="O874" i="1" s="1"/>
  <c r="O834" i="1"/>
  <c r="O867" i="1" s="1"/>
  <c r="O839" i="1"/>
  <c r="O872" i="1" s="1"/>
  <c r="O840" i="1"/>
  <c r="O873" i="1" s="1"/>
  <c r="N291" i="1"/>
  <c r="O427" i="1"/>
  <c r="O411" i="1" s="1"/>
  <c r="O410" i="1" s="1"/>
  <c r="O375" i="1"/>
  <c r="O372" i="1" s="1"/>
  <c r="O431" i="1"/>
  <c r="O430" i="1" s="1"/>
  <c r="N750" i="1"/>
  <c r="N745" i="1"/>
  <c r="N746" i="1"/>
  <c r="N747" i="1"/>
  <c r="N749" i="1"/>
  <c r="N748" i="1"/>
  <c r="P434" i="1"/>
  <c r="P433" i="1" s="1"/>
  <c r="N757" i="1"/>
  <c r="N758" i="1"/>
  <c r="N759" i="1"/>
  <c r="N761" i="1"/>
  <c r="N762" i="1"/>
  <c r="N760" i="1"/>
  <c r="N372" i="1"/>
  <c r="N470" i="1"/>
  <c r="N463" i="1" s="1"/>
  <c r="N534" i="1"/>
  <c r="M552" i="1"/>
  <c r="M840" i="1"/>
  <c r="M873" i="1" s="1"/>
  <c r="M1616" i="1"/>
  <c r="M1615" i="1" s="1"/>
  <c r="M756" i="1"/>
  <c r="M751" i="1"/>
  <c r="M752" i="1"/>
  <c r="M753" i="1"/>
  <c r="M755" i="1"/>
  <c r="M754" i="1"/>
  <c r="P470" i="1"/>
  <c r="P463" i="1" s="1"/>
  <c r="P409" i="1" s="1"/>
  <c r="N433" i="1"/>
  <c r="N839" i="1"/>
  <c r="N872" i="1" s="1"/>
  <c r="N834" i="1"/>
  <c r="N867" i="1" s="1"/>
  <c r="N837" i="1"/>
  <c r="N870" i="1" s="1"/>
  <c r="N842" i="1"/>
  <c r="N875" i="1" s="1"/>
  <c r="N838" i="1"/>
  <c r="N871" i="1" s="1"/>
  <c r="N840" i="1"/>
  <c r="N873" i="1" s="1"/>
  <c r="N841" i="1"/>
  <c r="N874" i="1" s="1"/>
  <c r="N836" i="1"/>
  <c r="N869" i="1" s="1"/>
  <c r="O510" i="1"/>
  <c r="O509" i="1" s="1"/>
  <c r="O503" i="1"/>
  <c r="O463" i="1" s="1"/>
  <c r="P837" i="1"/>
  <c r="P870" i="1" s="1"/>
  <c r="P836" i="1"/>
  <c r="P869" i="1" s="1"/>
  <c r="P841" i="1"/>
  <c r="P874" i="1" s="1"/>
  <c r="P834" i="1"/>
  <c r="P867" i="1" s="1"/>
  <c r="P842" i="1"/>
  <c r="P875" i="1" s="1"/>
  <c r="P839" i="1"/>
  <c r="P872" i="1" s="1"/>
  <c r="N835" i="1"/>
  <c r="N868" i="1" s="1"/>
  <c r="M470" i="1"/>
  <c r="M463" i="1" s="1"/>
  <c r="P835" i="1"/>
  <c r="P868" i="1" s="1"/>
  <c r="P838" i="1"/>
  <c r="P871" i="1" s="1"/>
  <c r="M375" i="1"/>
  <c r="M372" i="1" s="1"/>
  <c r="M431" i="1"/>
  <c r="M430" i="1" s="1"/>
  <c r="M365" i="1"/>
  <c r="N430" i="1"/>
  <c r="N737" i="1"/>
  <c r="J1664" i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M409" i="1" l="1"/>
  <c r="Q1182" i="1"/>
  <c r="Q1181" i="1" s="1"/>
  <c r="Q1608" i="1"/>
  <c r="Q1607" i="1" s="1"/>
  <c r="Q409" i="1"/>
  <c r="N409" i="1"/>
  <c r="N482" i="1"/>
  <c r="N481" i="1" s="1"/>
  <c r="O409" i="1"/>
  <c r="M482" i="1"/>
  <c r="M481" i="1" s="1"/>
  <c r="O434" i="1"/>
  <c r="O433" i="1" s="1"/>
  <c r="L409" i="1"/>
  <c r="P482" i="1"/>
  <c r="P481" i="1" s="1"/>
  <c r="L756" i="1"/>
  <c r="L751" i="1"/>
  <c r="L752" i="1"/>
  <c r="L753" i="1"/>
  <c r="L754" i="1"/>
  <c r="L755" i="1"/>
  <c r="N755" i="1"/>
  <c r="N756" i="1"/>
  <c r="N751" i="1"/>
  <c r="N752" i="1"/>
  <c r="N753" i="1"/>
  <c r="N754" i="1"/>
  <c r="M434" i="1"/>
  <c r="M433" i="1" s="1"/>
  <c r="G2315" i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J2240" i="1"/>
  <c r="F2254" i="1"/>
  <c r="I2254" i="1"/>
  <c r="H2259" i="1"/>
  <c r="K2259" i="1"/>
  <c r="F2273" i="1"/>
  <c r="K2273" i="1"/>
  <c r="J2276" i="1"/>
  <c r="J2301" i="1"/>
  <c r="I2240" i="1"/>
  <c r="K2240" i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K2295" i="1" l="1"/>
  <c r="K2234" i="1"/>
  <c r="K2253" i="1"/>
  <c r="G2234" i="1"/>
  <c r="I2253" i="1"/>
  <c r="G2253" i="1"/>
  <c r="G2233" i="1" s="1"/>
  <c r="I2234" i="1"/>
  <c r="I2233" i="1" s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F1653" i="1" l="1"/>
  <c r="H1653" i="1"/>
  <c r="G1653" i="1"/>
  <c r="I1653" i="1"/>
  <c r="E1658" i="1"/>
  <c r="E1663" i="1"/>
  <c r="E1659" i="1"/>
  <c r="E1660" i="1" s="1"/>
  <c r="E1661" i="1" s="1"/>
  <c r="E1662" i="1" s="1"/>
  <c r="E1664" i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I1571" i="1"/>
  <c r="G1618" i="1"/>
  <c r="F1571" i="1"/>
  <c r="H1571" i="1"/>
  <c r="F1618" i="1"/>
  <c r="H1618" i="1"/>
  <c r="I1618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556" i="1" l="1"/>
  <c r="G1610" i="1"/>
  <c r="G1556" i="1"/>
  <c r="F1563" i="1"/>
  <c r="H1603" i="1"/>
  <c r="F1610" i="1"/>
  <c r="H1610" i="1"/>
  <c r="I1603" i="1"/>
  <c r="I1610" i="1"/>
  <c r="F1603" i="1"/>
  <c r="I1556" i="1"/>
  <c r="I1563" i="1"/>
  <c r="G1603" i="1"/>
  <c r="H1556" i="1"/>
  <c r="H1563" i="1"/>
  <c r="G1563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415" i="1" l="1"/>
  <c r="I1429" i="1"/>
  <c r="H1512" i="1"/>
  <c r="F1415" i="1"/>
  <c r="H1429" i="1"/>
  <c r="F1512" i="1"/>
  <c r="G1429" i="1"/>
  <c r="I1512" i="1"/>
  <c r="G1512" i="1"/>
  <c r="G1415" i="1"/>
  <c r="H1415" i="1"/>
  <c r="F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I1331" i="1" l="1"/>
  <c r="I1345" i="1"/>
  <c r="H1331" i="1"/>
  <c r="F1345" i="1"/>
  <c r="H1345" i="1"/>
  <c r="G1331" i="1"/>
  <c r="F1331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F1207" i="1" l="1"/>
  <c r="F1184" i="1"/>
  <c r="H1207" i="1"/>
  <c r="I1207" i="1"/>
  <c r="G1184" i="1"/>
  <c r="H1184" i="1"/>
  <c r="G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36" i="1" s="1" a="1"/>
  <c r="H736" i="1" s="1"/>
  <c r="F741" i="1"/>
  <c r="F735" i="1" s="1"/>
  <c r="F736" i="1" s="1" a="1"/>
  <c r="F736" i="1" s="1"/>
  <c r="I741" i="1"/>
  <c r="I735" i="1" s="1"/>
  <c r="I736" i="1" s="1" a="1"/>
  <c r="I736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G736" i="1" s="1" a="1"/>
  <c r="G736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 a="1"/>
  <c r="K738" i="1" s="1"/>
  <c r="K736" i="1" a="1"/>
  <c r="K736" i="1" s="1"/>
  <c r="J736" i="1" a="1"/>
  <c r="J736" i="1" s="1"/>
  <c r="J745" i="1" s="1"/>
  <c r="J738" i="1" a="1"/>
  <c r="J738" i="1" s="1"/>
  <c r="J758" i="1" s="1"/>
  <c r="I747" i="1"/>
  <c r="H752" i="1"/>
  <c r="H749" i="1"/>
  <c r="F734" i="1"/>
  <c r="F748" i="1"/>
  <c r="J734" i="1"/>
  <c r="H758" i="1"/>
  <c r="H734" i="1"/>
  <c r="H755" i="1"/>
  <c r="H751" i="1"/>
  <c r="H762" i="1"/>
  <c r="H754" i="1"/>
  <c r="H761" i="1"/>
  <c r="F755" i="1"/>
  <c r="I759" i="1"/>
  <c r="I757" i="1"/>
  <c r="I754" i="1"/>
  <c r="I755" i="1"/>
  <c r="I751" i="1"/>
  <c r="I761" i="1"/>
  <c r="H759" i="1"/>
  <c r="I758" i="1"/>
  <c r="I734" i="1"/>
  <c r="H756" i="1"/>
  <c r="H753" i="1"/>
  <c r="F756" i="1"/>
  <c r="F760" i="1"/>
  <c r="F753" i="1"/>
  <c r="F754" i="1"/>
  <c r="F757" i="1"/>
  <c r="F759" i="1"/>
  <c r="F751" i="1"/>
  <c r="F761" i="1"/>
  <c r="F758" i="1"/>
  <c r="F752" i="1"/>
  <c r="F762" i="1"/>
  <c r="H760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F746" i="1" l="1"/>
  <c r="H750" i="1"/>
  <c r="H746" i="1"/>
  <c r="F745" i="1"/>
  <c r="H748" i="1"/>
  <c r="H747" i="1"/>
  <c r="I748" i="1"/>
  <c r="F747" i="1"/>
  <c r="H745" i="1"/>
  <c r="F749" i="1"/>
  <c r="F750" i="1"/>
  <c r="I750" i="1"/>
  <c r="I749" i="1"/>
  <c r="I745" i="1"/>
  <c r="I746" i="1"/>
  <c r="J759" i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0" i="1" s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4" i="1"/>
  <c r="C1659" i="1"/>
  <c r="C1664" i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I1570" i="1" l="1"/>
  <c r="I1617" i="1"/>
  <c r="I1428" i="1"/>
  <c r="I1427" i="1" s="1"/>
  <c r="I1426" i="1" s="1"/>
  <c r="I1344" i="1"/>
  <c r="I1343" i="1" s="1"/>
  <c r="I1342" i="1" s="1"/>
  <c r="I1206" i="1"/>
  <c r="I1205" i="1" s="1"/>
  <c r="I1204" i="1" s="1"/>
  <c r="G1570" i="1"/>
  <c r="G1617" i="1"/>
  <c r="G1428" i="1"/>
  <c r="G1427" i="1" s="1"/>
  <c r="G1426" i="1" s="1"/>
  <c r="G1344" i="1"/>
  <c r="G1206" i="1"/>
  <c r="F1570" i="1"/>
  <c r="F1569" i="1" s="1"/>
  <c r="F1568" i="1" s="1"/>
  <c r="F1617" i="1"/>
  <c r="F1428" i="1"/>
  <c r="F1344" i="1"/>
  <c r="F1206" i="1"/>
  <c r="H1617" i="1"/>
  <c r="H1570" i="1"/>
  <c r="H1428" i="1"/>
  <c r="H1427" i="1" s="1"/>
  <c r="H1426" i="1" s="1"/>
  <c r="H1344" i="1"/>
  <c r="H1343" i="1" s="1"/>
  <c r="H1342" i="1" s="1"/>
  <c r="H1206" i="1"/>
  <c r="H1205" i="1" s="1"/>
  <c r="H1204" i="1" s="1"/>
  <c r="F1616" i="1"/>
  <c r="F1615" i="1" s="1"/>
  <c r="F1427" i="1"/>
  <c r="F1426" i="1" s="1"/>
  <c r="F1343" i="1"/>
  <c r="F1342" i="1" s="1"/>
  <c r="F1205" i="1"/>
  <c r="F1204" i="1" s="1"/>
  <c r="H1616" i="1"/>
  <c r="H1615" i="1" s="1"/>
  <c r="H1569" i="1"/>
  <c r="H1568" i="1" s="1"/>
  <c r="I1616" i="1"/>
  <c r="I1615" i="1" s="1"/>
  <c r="I1569" i="1"/>
  <c r="I1568" i="1" s="1"/>
  <c r="G1616" i="1"/>
  <c r="G1615" i="1" s="1"/>
  <c r="G1569" i="1"/>
  <c r="G1568" i="1" s="1"/>
  <c r="G1343" i="1"/>
  <c r="G1342" i="1" s="1"/>
  <c r="G1205" i="1"/>
  <c r="G1204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617" i="1" s="1"/>
  <c r="J49" i="1"/>
  <c r="J1206" i="1" s="1"/>
  <c r="K1570" i="1" l="1"/>
  <c r="J1345" i="1"/>
  <c r="J1429" i="1"/>
  <c r="J1571" i="1"/>
  <c r="J1207" i="1"/>
  <c r="J1618" i="1"/>
  <c r="K1206" i="1"/>
  <c r="J1570" i="1"/>
  <c r="K1429" i="1"/>
  <c r="K1571" i="1"/>
  <c r="K1207" i="1"/>
  <c r="K1345" i="1"/>
  <c r="K1618" i="1"/>
  <c r="K1344" i="1"/>
  <c r="K1428" i="1"/>
  <c r="J1344" i="1"/>
  <c r="J1428" i="1"/>
  <c r="J1617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F1658" i="1" l="1"/>
  <c r="F1659" i="1" s="1"/>
  <c r="F1562" i="1"/>
  <c r="F1609" i="1"/>
  <c r="F1414" i="1"/>
  <c r="F1330" i="1"/>
  <c r="F1183" i="1"/>
  <c r="H1658" i="1"/>
  <c r="H1659" i="1" s="1"/>
  <c r="H1562" i="1"/>
  <c r="H1609" i="1"/>
  <c r="H1414" i="1"/>
  <c r="H1330" i="1"/>
  <c r="H1329" i="1" s="1"/>
  <c r="H1328" i="1" s="1"/>
  <c r="H1183" i="1"/>
  <c r="H1182" i="1" s="1"/>
  <c r="H1181" i="1" s="1"/>
  <c r="G1652" i="1"/>
  <c r="G1555" i="1"/>
  <c r="G1602" i="1"/>
  <c r="G1511" i="1"/>
  <c r="G1160" i="1"/>
  <c r="G1159" i="1" s="1"/>
  <c r="G1158" i="1" s="1"/>
  <c r="I1652" i="1"/>
  <c r="I1651" i="1" s="1"/>
  <c r="I1555" i="1"/>
  <c r="I1554" i="1" s="1"/>
  <c r="I1553" i="1" s="1"/>
  <c r="I1602" i="1"/>
  <c r="I1601" i="1" s="1"/>
  <c r="I1600" i="1" s="1"/>
  <c r="I1511" i="1"/>
  <c r="I1160" i="1"/>
  <c r="I1159" i="1" s="1"/>
  <c r="I1158" i="1" s="1"/>
  <c r="G1658" i="1"/>
  <c r="G1659" i="1" s="1"/>
  <c r="G1609" i="1"/>
  <c r="G1608" i="1" s="1"/>
  <c r="G1607" i="1" s="1"/>
  <c r="G1562" i="1"/>
  <c r="G1561" i="1" s="1"/>
  <c r="G1560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562" i="1"/>
  <c r="I1609" i="1"/>
  <c r="I1414" i="1"/>
  <c r="I1330" i="1"/>
  <c r="I1183" i="1"/>
  <c r="I1182" i="1" s="1"/>
  <c r="I1181" i="1" s="1"/>
  <c r="H1652" i="1"/>
  <c r="H1555" i="1"/>
  <c r="H1602" i="1"/>
  <c r="H1511" i="1"/>
  <c r="H1160" i="1"/>
  <c r="F1652" i="1"/>
  <c r="F1555" i="1"/>
  <c r="F1602" i="1"/>
  <c r="F1511" i="1"/>
  <c r="F1160" i="1"/>
  <c r="I1510" i="1"/>
  <c r="I1509" i="1" s="1"/>
  <c r="F1608" i="1"/>
  <c r="F1607" i="1" s="1"/>
  <c r="F1561" i="1"/>
  <c r="F1560" i="1" s="1"/>
  <c r="F1413" i="1"/>
  <c r="F1412" i="1" s="1"/>
  <c r="F1329" i="1"/>
  <c r="F1328" i="1" s="1"/>
  <c r="F1182" i="1"/>
  <c r="F1181" i="1" s="1"/>
  <c r="H1608" i="1"/>
  <c r="H1607" i="1" s="1"/>
  <c r="I1608" i="1"/>
  <c r="I1607" i="1" s="1"/>
  <c r="I1561" i="1"/>
  <c r="I1560" i="1" s="1"/>
  <c r="I1413" i="1"/>
  <c r="I1412" i="1" s="1"/>
  <c r="I1329" i="1"/>
  <c r="I1328" i="1" s="1"/>
  <c r="H1651" i="1"/>
  <c r="H1554" i="1"/>
  <c r="H1553" i="1" s="1"/>
  <c r="H1601" i="1"/>
  <c r="H1600" i="1" s="1"/>
  <c r="H1510" i="1"/>
  <c r="H1509" i="1" s="1"/>
  <c r="H1159" i="1"/>
  <c r="H1158" i="1" s="1"/>
  <c r="F1651" i="1"/>
  <c r="F1601" i="1"/>
  <c r="F1600" i="1" s="1"/>
  <c r="F1554" i="1"/>
  <c r="F1553" i="1" s="1"/>
  <c r="F1510" i="1"/>
  <c r="F1509" i="1" s="1"/>
  <c r="F1159" i="1"/>
  <c r="F1158" i="1" s="1"/>
  <c r="H1561" i="1"/>
  <c r="H1560" i="1" s="1"/>
  <c r="H1413" i="1"/>
  <c r="H1412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J1160" i="1" l="1"/>
  <c r="F1740" i="1"/>
  <c r="K1652" i="1"/>
  <c r="K1602" i="1"/>
  <c r="K1555" i="1"/>
  <c r="K1511" i="1"/>
  <c r="K1160" i="1"/>
  <c r="G1657" i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511" i="1" s="1"/>
  <c r="K39" i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609" i="1" s="1"/>
  <c r="K38" i="1"/>
  <c r="K1414" i="1" s="1"/>
  <c r="K1658" i="1" l="1"/>
  <c r="K1659" i="1" s="1"/>
  <c r="K1183" i="1"/>
  <c r="K1609" i="1"/>
  <c r="J1658" i="1"/>
  <c r="J1659" i="1" s="1"/>
  <c r="J1330" i="1"/>
  <c r="K1653" i="1"/>
  <c r="K1603" i="1"/>
  <c r="K1512" i="1"/>
  <c r="K1556" i="1"/>
  <c r="K1161" i="1"/>
  <c r="J1653" i="1"/>
  <c r="J1603" i="1"/>
  <c r="J1556" i="1"/>
  <c r="J1161" i="1"/>
  <c r="J1512" i="1"/>
  <c r="J1602" i="1"/>
  <c r="J1555" i="1"/>
  <c r="K1184" i="1"/>
  <c r="K1331" i="1"/>
  <c r="K1610" i="1"/>
  <c r="K1563" i="1"/>
  <c r="K1415" i="1"/>
  <c r="J1184" i="1"/>
  <c r="J1610" i="1"/>
  <c r="J1331" i="1"/>
  <c r="J1563" i="1"/>
  <c r="J1415" i="1"/>
  <c r="K1330" i="1"/>
  <c r="K1562" i="1"/>
  <c r="J1183" i="1"/>
  <c r="J1414" i="1"/>
  <c r="J1562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331" i="1"/>
  <c r="H347" i="1" s="1"/>
  <c r="H426" i="1" s="1"/>
  <c r="H423" i="1" s="1"/>
  <c r="G196" i="1"/>
  <c r="G193" i="1" s="1"/>
  <c r="G331" i="1"/>
  <c r="G347" i="1" s="1"/>
  <c r="G426" i="1" s="1"/>
  <c r="G423" i="1" s="1"/>
  <c r="I196" i="1"/>
  <c r="I193" i="1" s="1"/>
  <c r="I331" i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338" i="1" l="1"/>
  <c r="G354" i="1" s="1"/>
  <c r="G499" i="1" s="1"/>
  <c r="G488" i="1" s="1"/>
  <c r="G336" i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336" i="1"/>
  <c r="I352" i="1" s="1"/>
  <c r="I497" i="1" s="1"/>
  <c r="I486" i="1" s="1"/>
  <c r="I267" i="1"/>
  <c r="I256" i="1" s="1"/>
  <c r="H338" i="1"/>
  <c r="H354" i="1" s="1"/>
  <c r="H499" i="1" s="1"/>
  <c r="H488" i="1" s="1"/>
  <c r="H269" i="1"/>
  <c r="H258" i="1" s="1"/>
  <c r="H336" i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338" i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148" i="1"/>
  <c r="F376" i="1" s="1"/>
  <c r="K202" i="1"/>
  <c r="K205" i="1" s="1"/>
  <c r="K148" i="1"/>
  <c r="K376" i="1" s="1"/>
  <c r="J202" i="1"/>
  <c r="J205" i="1" s="1"/>
  <c r="F205" i="1" l="1"/>
  <c r="K547" i="1"/>
  <c r="H432" i="1"/>
  <c r="H435" i="1" s="1"/>
  <c r="F432" i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F435" i="1" l="1"/>
  <c r="J546" i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368" i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431" i="1" l="1"/>
  <c r="F204" i="1"/>
  <c r="F200" i="1"/>
  <c r="F430" i="1"/>
  <c r="F434" i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F433" i="1" l="1"/>
  <c r="F203" i="1"/>
  <c r="K566" i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341" i="1"/>
  <c r="H357" i="1" s="1"/>
  <c r="H502" i="1" s="1"/>
  <c r="H491" i="1" s="1"/>
  <c r="H272" i="1"/>
  <c r="H261" i="1" s="1"/>
  <c r="I334" i="1"/>
  <c r="I350" i="1" s="1"/>
  <c r="I495" i="1" s="1"/>
  <c r="I484" i="1" s="1"/>
  <c r="G334" i="1"/>
  <c r="G350" i="1" s="1"/>
  <c r="G495" i="1" s="1"/>
  <c r="G484" i="1" s="1"/>
  <c r="H334" i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328" i="1"/>
  <c r="H344" i="1" s="1"/>
  <c r="J100" i="1"/>
  <c r="J328" i="1" s="1"/>
  <c r="J344" i="1" s="1"/>
  <c r="G328" i="1"/>
  <c r="G344" i="1" s="1"/>
  <c r="H329" i="1"/>
  <c r="H345" i="1" s="1"/>
  <c r="G270" i="1"/>
  <c r="G259" i="1" s="1"/>
  <c r="I328" i="1"/>
  <c r="I344" i="1" s="1"/>
  <c r="K100" i="1"/>
  <c r="K328" i="1" s="1"/>
  <c r="K344" i="1" s="1"/>
  <c r="G329" i="1"/>
  <c r="G345" i="1" s="1"/>
  <c r="I329" i="1"/>
  <c r="I345" i="1" s="1"/>
  <c r="J101" i="1"/>
  <c r="J329" i="1" s="1"/>
  <c r="J345" i="1" s="1"/>
  <c r="J102" i="1"/>
  <c r="K102" i="1"/>
  <c r="H74" i="1"/>
  <c r="I74" i="1"/>
  <c r="G74" i="1"/>
  <c r="K74" i="1"/>
  <c r="G151" i="1"/>
  <c r="I173" i="1"/>
  <c r="F66" i="1"/>
  <c r="H327" i="1"/>
  <c r="H343" i="1" s="1"/>
  <c r="H151" i="1"/>
  <c r="G327" i="1"/>
  <c r="G343" i="1" s="1"/>
  <c r="I327" i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337" i="1"/>
  <c r="I353" i="1" s="1"/>
  <c r="I498" i="1" s="1"/>
  <c r="I487" i="1" s="1"/>
  <c r="I268" i="1"/>
  <c r="I257" i="1" s="1"/>
  <c r="I335" i="1"/>
  <c r="I351" i="1" s="1"/>
  <c r="I496" i="1" s="1"/>
  <c r="I485" i="1" s="1"/>
  <c r="I266" i="1"/>
  <c r="I255" i="1" s="1"/>
  <c r="G337" i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337" i="1"/>
  <c r="H353" i="1" s="1"/>
  <c r="H498" i="1" s="1"/>
  <c r="H487" i="1" s="1"/>
  <c r="H268" i="1"/>
  <c r="H257" i="1" s="1"/>
  <c r="H335" i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335" i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332" i="1"/>
  <c r="G348" i="1" s="1"/>
  <c r="G493" i="1" s="1"/>
  <c r="H332" i="1"/>
  <c r="H348" i="1" s="1"/>
  <c r="H493" i="1" s="1"/>
  <c r="H333" i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333" i="1"/>
  <c r="G349" i="1" s="1"/>
  <c r="G494" i="1" s="1"/>
  <c r="G483" i="1" s="1"/>
  <c r="I98" i="1"/>
  <c r="I332" i="1"/>
  <c r="I348" i="1" s="1"/>
  <c r="I493" i="1" s="1"/>
  <c r="K98" i="1"/>
  <c r="I333" i="1"/>
  <c r="I349" i="1" s="1"/>
  <c r="I494" i="1" s="1"/>
  <c r="I483" i="1" s="1"/>
  <c r="G98" i="1"/>
  <c r="F264" i="1"/>
  <c r="F253" i="1" s="1"/>
  <c r="J98" i="1"/>
  <c r="H98" i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410" i="1" l="1"/>
  <c r="F9" i="4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<sst xmlns="http://schemas.openxmlformats.org/spreadsheetml/2006/main" count="5309" uniqueCount="2482">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</sst>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"/>
    <numFmt numFmtId="165" formatCode="0.000"/>
    <numFmt numFmtId="166" formatCode="_-[$€-2]* #,##0.00_-;\-[$€-2]* #,##0.00_-;_-[$€-2]* &quot;-&quot;??_-"/>
    <numFmt numFmtId="167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0" fillId="22" borderId="11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22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0" fontId="4" fillId="0" borderId="0" xfId="0" applyFont="1"/>
    <xf numFmtId="164" fontId="4" fillId="0" borderId="0" xfId="0" quotePrefix="1" applyNumberFormat="1" applyFont="1"/>
    <xf numFmtId="2" fontId="0" fillId="0" borderId="0" xfId="0" applyNumberFormat="1"/>
    <xf numFmtId="165" fontId="0" fillId="0" borderId="0" xfId="0" applyNumberFormat="1"/>
    <xf numFmtId="0" fontId="5" fillId="0" borderId="0" xfId="0" applyFont="1"/>
    <xf numFmtId="164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quotePrefix="1"/>
    <xf numFmtId="164" fontId="0" fillId="0" borderId="0" xfId="0" quotePrefix="1" applyNumberFormat="1"/>
    <xf numFmtId="164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1_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_2050"/>
      <sheetName val="Elc_Dispatch_2070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Nuclear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2.6352850049744295E-3</v>
          </cell>
          <cell r="H4">
            <v>6.4125629645539028E-4</v>
          </cell>
          <cell r="I4">
            <v>1.4049645106194292E-2</v>
          </cell>
          <cell r="J4">
            <v>1.4051624093594339E-3</v>
          </cell>
          <cell r="K4">
            <v>8.9875961051826089E-2</v>
          </cell>
          <cell r="L4">
            <v>3.4189116462898808</v>
          </cell>
          <cell r="M4">
            <v>3.5335620172445195</v>
          </cell>
          <cell r="N4">
            <v>3.6252944890978718</v>
          </cell>
          <cell r="O4">
            <v>3.6877785754418242</v>
          </cell>
          <cell r="P4">
            <v>3.7503234951571853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7.7993246353655148E-4</v>
          </cell>
          <cell r="H5">
            <v>1.5557262403928537E-4</v>
          </cell>
          <cell r="I5">
            <v>7.9679802722791536E-3</v>
          </cell>
          <cell r="J5">
            <v>3.2814062707782384E-4</v>
          </cell>
          <cell r="K5">
            <v>8.8075599449637512E-2</v>
          </cell>
          <cell r="L5">
            <v>1.8936707720143164</v>
          </cell>
          <cell r="M5">
            <v>2.0171832106074863</v>
          </cell>
          <cell r="N5">
            <v>1.855624411047168</v>
          </cell>
          <cell r="O5">
            <v>1.6438196929891875</v>
          </cell>
          <cell r="P5">
            <v>1.3627615271944928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3.6971221892913682E-4</v>
          </cell>
          <cell r="H6">
            <v>8.7158321529285857E-5</v>
          </cell>
          <cell r="I6">
            <v>1.1789676182077939E-3</v>
          </cell>
          <cell r="J6">
            <v>1.9700664466474208E-4</v>
          </cell>
          <cell r="K6">
            <v>3.3936058721011569E-4</v>
          </cell>
          <cell r="L6">
            <v>0.27999207710288787</v>
          </cell>
          <cell r="M6">
            <v>0.28167233739814418</v>
          </cell>
          <cell r="N6">
            <v>0.32110619925404105</v>
          </cell>
          <cell r="O6">
            <v>0.36808044147130975</v>
          </cell>
          <cell r="P6">
            <v>0.41496199103013881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1.0199890431324767E-4</v>
          </cell>
          <cell r="H7">
            <v>6.1714597263513561E-5</v>
          </cell>
          <cell r="I7">
            <v>1.3265327766573512E-4</v>
          </cell>
          <cell r="J7">
            <v>1.0975763626945447E-4</v>
          </cell>
          <cell r="K7">
            <v>1.2899313161681206E-4</v>
          </cell>
          <cell r="L7">
            <v>2.6462536382641891E-4</v>
          </cell>
          <cell r="M7">
            <v>2.5559561335302821E-4</v>
          </cell>
          <cell r="N7">
            <v>3.2116947197849291E-4</v>
          </cell>
          <cell r="O7">
            <v>3.2315932525600979E-4</v>
          </cell>
          <cell r="P7">
            <v>3.9461766253676367E-4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3.7325515123018112E-4</v>
          </cell>
          <cell r="H8">
            <v>8.7812733291177459E-5</v>
          </cell>
          <cell r="I8">
            <v>1.2227982612425237E-3</v>
          </cell>
          <cell r="J8">
            <v>1.9896752466372586E-4</v>
          </cell>
          <cell r="K8">
            <v>3.4495265797267546E-4</v>
          </cell>
          <cell r="L8">
            <v>0.3649368242589105</v>
          </cell>
          <cell r="M8">
            <v>0.37476169748258653</v>
          </cell>
          <cell r="N8">
            <v>0.4235747821952533</v>
          </cell>
          <cell r="O8">
            <v>0.49463172260729821</v>
          </cell>
          <cell r="P8">
            <v>0.56935031269918102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3.7531429877596612E-4</v>
          </cell>
          <cell r="H9">
            <v>8.7496876539922219E-5</v>
          </cell>
          <cell r="I9">
            <v>1.219961639759477E-3</v>
          </cell>
          <cell r="J9">
            <v>1.9734867102822243E-4</v>
          </cell>
          <cell r="K9">
            <v>3.3996446069585755E-4</v>
          </cell>
          <cell r="L9">
            <v>0.37085780743374736</v>
          </cell>
          <cell r="M9">
            <v>0.37149011569969376</v>
          </cell>
          <cell r="N9">
            <v>0.43988322250716727</v>
          </cell>
          <cell r="O9">
            <v>0.49729192914930165</v>
          </cell>
          <cell r="P9">
            <v>0.59403642410508661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2.6666134010386902E-4</v>
          </cell>
          <cell r="H10">
            <v>7.4352102148517437E-5</v>
          </cell>
          <cell r="I10">
            <v>1.1481358253953831E-3</v>
          </cell>
          <cell r="J10">
            <v>1.7687996992136015E-4</v>
          </cell>
          <cell r="K10">
            <v>3.0762662370269824E-4</v>
          </cell>
          <cell r="L10">
            <v>0.22967207210334065</v>
          </cell>
          <cell r="M10">
            <v>0.20680570198983836</v>
          </cell>
          <cell r="N10">
            <v>0.2639699704385608</v>
          </cell>
          <cell r="O10">
            <v>0.31587635068894482</v>
          </cell>
          <cell r="P10">
            <v>0.39440061395187681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3.6838442289861996E-4</v>
          </cell>
          <cell r="H11">
            <v>8.7136864982051535E-5</v>
          </cell>
          <cell r="I11">
            <v>1.1791327305834248E-3</v>
          </cell>
          <cell r="J11">
            <v>1.9704728662472154E-4</v>
          </cell>
          <cell r="K11">
            <v>3.3944974483300351E-4</v>
          </cell>
          <cell r="L11">
            <v>0.27951745336277528</v>
          </cell>
          <cell r="M11">
            <v>0.28139334331445931</v>
          </cell>
          <cell r="N11">
            <v>0.32081471786476556</v>
          </cell>
          <cell r="O11">
            <v>0.36775526198266884</v>
          </cell>
          <cell r="P11">
            <v>0.41441800851387256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3.9282347527862449E-3</v>
          </cell>
          <cell r="G12">
            <v>4.6226768922446992E-3</v>
          </cell>
          <cell r="H12">
            <v>4.7200224331907193E-3</v>
          </cell>
          <cell r="I12">
            <v>0.20144064332270276</v>
          </cell>
          <cell r="J12">
            <v>0.37186639579680864</v>
          </cell>
          <cell r="K12">
            <v>1.7969824958093856</v>
          </cell>
          <cell r="L12">
            <v>2.7089609153365481</v>
          </cell>
          <cell r="M12">
            <v>2.7089487577548801</v>
          </cell>
          <cell r="N12">
            <v>2.7089694849274539</v>
          </cell>
          <cell r="O12">
            <v>2.7089682636405863</v>
          </cell>
          <cell r="P12">
            <v>2.708970812824735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3.9282347527862449E-3</v>
          </cell>
          <cell r="G13">
            <v>4.6226768922446992E-3</v>
          </cell>
          <cell r="H13">
            <v>4.7200224331907193E-3</v>
          </cell>
          <cell r="I13">
            <v>0.20144064332270276</v>
          </cell>
          <cell r="J13">
            <v>0.37186639579680864</v>
          </cell>
          <cell r="K13">
            <v>1.7969824958093856</v>
          </cell>
          <cell r="L13">
            <v>2.7089609153365481</v>
          </cell>
          <cell r="M13">
            <v>2.7089487577548801</v>
          </cell>
          <cell r="N13">
            <v>2.7089694849274539</v>
          </cell>
          <cell r="O13">
            <v>2.7089682636405863</v>
          </cell>
          <cell r="P13">
            <v>2.708970812824735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4.9317228637385502E-4</v>
          </cell>
          <cell r="G14">
            <v>1.5008807317978301E-2</v>
          </cell>
          <cell r="H14">
            <v>2.2070977048033399E-2</v>
          </cell>
          <cell r="I14">
            <v>0.16773093828527799</v>
          </cell>
          <cell r="J14">
            <v>6.8402538135008906E-2</v>
          </cell>
          <cell r="K14">
            <v>2.1141887914773301E-7</v>
          </cell>
          <cell r="L14">
            <v>4.2407015492108802E-7</v>
          </cell>
          <cell r="M14">
            <v>3.8114648270656502E-7</v>
          </cell>
          <cell r="N14">
            <v>3.2613675051811202E-6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4.9317228637385502E-4</v>
          </cell>
          <cell r="G15">
            <v>4.9317228637385502E-4</v>
          </cell>
          <cell r="H15">
            <v>4.9317228637385502E-4</v>
          </cell>
          <cell r="I15">
            <v>2.0817065416349499E-2</v>
          </cell>
          <cell r="J15">
            <v>3.7572956652385602E-2</v>
          </cell>
          <cell r="K15">
            <v>0.18630348383457701</v>
          </cell>
          <cell r="L15">
            <v>0.27370643307267301</v>
          </cell>
          <cell r="M15">
            <v>0.27370661200617902</v>
          </cell>
          <cell r="N15">
            <v>0.27370716034859299</v>
          </cell>
          <cell r="O15">
            <v>0.27370744970819</v>
          </cell>
          <cell r="P15">
            <v>0.273710711075695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3.2682087032691127</v>
          </cell>
          <cell r="F16">
            <v>3.8319839468679704</v>
          </cell>
          <cell r="G16">
            <v>3.7300912274921778</v>
          </cell>
          <cell r="H16">
            <v>3.8838281901602056</v>
          </cell>
          <cell r="I16">
            <v>4.0221926541642308</v>
          </cell>
          <cell r="J16">
            <v>4.1349462042296556</v>
          </cell>
          <cell r="K16">
            <v>4.2268024060054783</v>
          </cell>
          <cell r="L16">
            <v>4.3149863949958593</v>
          </cell>
          <cell r="M16">
            <v>4.3776695274172832</v>
          </cell>
          <cell r="N16">
            <v>4.4490382277723679</v>
          </cell>
          <cell r="O16">
            <v>4.4491101396872734</v>
          </cell>
          <cell r="P16">
            <v>4.4491278382053734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3.2682087032691127</v>
          </cell>
          <cell r="F17">
            <v>3.8319839468679704</v>
          </cell>
          <cell r="G17">
            <v>3.7300912274921778</v>
          </cell>
          <cell r="H17">
            <v>3.8838281901602056</v>
          </cell>
          <cell r="I17">
            <v>4.0221926541642308</v>
          </cell>
          <cell r="J17">
            <v>4.1349462042296556</v>
          </cell>
          <cell r="K17">
            <v>4.2268024060054783</v>
          </cell>
          <cell r="L17">
            <v>4.3149863949958593</v>
          </cell>
          <cell r="M17">
            <v>4.3776695274172832</v>
          </cell>
          <cell r="N17">
            <v>4.4490382277723679</v>
          </cell>
          <cell r="O17">
            <v>4.4491101396872734</v>
          </cell>
          <cell r="P17">
            <v>4.4491278382053734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0.66996282385178585</v>
          </cell>
          <cell r="F18">
            <v>0.41870674029202692</v>
          </cell>
          <cell r="G18">
            <v>5.3586524901168768E-2</v>
          </cell>
          <cell r="H18">
            <v>0.41596620270893214</v>
          </cell>
          <cell r="I18">
            <v>0.26048009521079918</v>
          </cell>
          <cell r="J18">
            <v>0.66116512056489574</v>
          </cell>
          <cell r="K18">
            <v>0.42264103701140693</v>
          </cell>
          <cell r="L18">
            <v>0.42389179006300376</v>
          </cell>
          <cell r="M18">
            <v>0.42365224470961199</v>
          </cell>
          <cell r="N18">
            <v>0.35550444091670746</v>
          </cell>
          <cell r="O18">
            <v>0.42374715356674625</v>
          </cell>
          <cell r="P18">
            <v>0.42402283963971149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2.0850189604111393</v>
          </cell>
          <cell r="F19">
            <v>1.2201901421723433</v>
          </cell>
          <cell r="G19">
            <v>0.14024976015921334</v>
          </cell>
          <cell r="H19">
            <v>0.8828361399622906</v>
          </cell>
          <cell r="I19">
            <v>0.4239291129499419</v>
          </cell>
          <cell r="J19">
            <v>0.74884096896742181</v>
          </cell>
          <cell r="K19">
            <v>0.47290811392110482</v>
          </cell>
          <cell r="L19">
            <v>0.46851197849068932</v>
          </cell>
          <cell r="M19">
            <v>0.46824721783694156</v>
          </cell>
          <cell r="N19">
            <v>0.39292596101320393</v>
          </cell>
          <cell r="O19">
            <v>0.46835211710008873</v>
          </cell>
          <cell r="P19">
            <v>0.46865682275968257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108.233152902998</v>
          </cell>
          <cell r="F20">
            <v>67.096414490999607</v>
          </cell>
          <cell r="G20">
            <v>8.5998413560286302</v>
          </cell>
          <cell r="H20">
            <v>65.172445687968604</v>
          </cell>
          <cell r="I20">
            <v>41.322414282370602</v>
          </cell>
          <cell r="J20">
            <v>103.921589429078</v>
          </cell>
          <cell r="K20">
            <v>66.924131731548698</v>
          </cell>
          <cell r="L20">
            <v>66.894073339360105</v>
          </cell>
          <cell r="M20">
            <v>66.830582260722906</v>
          </cell>
          <cell r="N20">
            <v>56.051371084325503</v>
          </cell>
          <cell r="O20">
            <v>66.900385260581999</v>
          </cell>
          <cell r="P20">
            <v>67.007623723713394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1.9190275337410936</v>
          </cell>
          <cell r="F21">
            <v>1.1896527392021219</v>
          </cell>
          <cell r="G21">
            <v>0.15247945666717422</v>
          </cell>
          <cell r="H21">
            <v>1.1555398171625644</v>
          </cell>
          <cell r="I21">
            <v>0.73266691990018817</v>
          </cell>
          <cell r="J21">
            <v>1.8425813728559945</v>
          </cell>
          <cell r="K21">
            <v>1.1865980803466087</v>
          </cell>
          <cell r="L21">
            <v>1.1860651301304981</v>
          </cell>
          <cell r="M21">
            <v>1.1849394017858659</v>
          </cell>
          <cell r="N21">
            <v>0.99381863624690703</v>
          </cell>
          <cell r="O21">
            <v>1.1861770436273391</v>
          </cell>
          <cell r="P21">
            <v>1.1880784348176132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4.8382476227362305E-7</v>
          </cell>
          <cell r="G22">
            <v>2.6179959703700202E-6</v>
          </cell>
          <cell r="H22">
            <v>1.3996669963660601E-2</v>
          </cell>
          <cell r="I22">
            <v>3.4375302427807203E-2</v>
          </cell>
          <cell r="J22">
            <v>2.0200898836181199E-2</v>
          </cell>
          <cell r="K22">
            <v>3.2950737023844502E-6</v>
          </cell>
          <cell r="L22">
            <v>4.7582232896782803E-3</v>
          </cell>
          <cell r="M22">
            <v>2.2008600459293301E-2</v>
          </cell>
          <cell r="N22">
            <v>1.6795039668144E-2</v>
          </cell>
          <cell r="O22">
            <v>1.3663907213140701E-2</v>
          </cell>
          <cell r="P22">
            <v>2.9868131884727901E-4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2.7085020896106406E-2</v>
          </cell>
          <cell r="F23">
            <v>2.0032512769356775E-2</v>
          </cell>
          <cell r="G23">
            <v>1.2744883093550249E-2</v>
          </cell>
          <cell r="H23">
            <v>1.7867325646491697E-2</v>
          </cell>
          <cell r="I23">
            <v>4.837425030467455E-2</v>
          </cell>
          <cell r="J23">
            <v>6.8574120427645935E-2</v>
          </cell>
          <cell r="K23">
            <v>6.4133796980773677E-2</v>
          </cell>
          <cell r="L23">
            <v>5.9335940133184481E-2</v>
          </cell>
          <cell r="M23">
            <v>5.4727541145037431E-2</v>
          </cell>
          <cell r="N23">
            <v>4.3563042354965949E-2</v>
          </cell>
          <cell r="O23">
            <v>5.7223719312280943E-2</v>
          </cell>
          <cell r="P23">
            <v>5.2763383287784002E-2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6.7990982882914626</v>
          </cell>
          <cell r="F24">
            <v>3.474111008020381E-4</v>
          </cell>
          <cell r="G24">
            <v>3.1014682166350332E-4</v>
          </cell>
          <cell r="H24">
            <v>1.4300434604661304E-4</v>
          </cell>
          <cell r="I24">
            <v>1.9493786517779297E-4</v>
          </cell>
          <cell r="J24">
            <v>2.2275934030754449E-4</v>
          </cell>
          <cell r="K24">
            <v>2.3987145834649079E-4</v>
          </cell>
          <cell r="L24">
            <v>2.4067858176497964E-4</v>
          </cell>
          <cell r="M24">
            <v>1.8987305811119751E-4</v>
          </cell>
          <cell r="N24">
            <v>2.1500995538750937E-4</v>
          </cell>
          <cell r="O24">
            <v>2.0792168238955558E-4</v>
          </cell>
          <cell r="P24">
            <v>3.5177998367068184E-4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6.7990982882914626</v>
          </cell>
          <cell r="F25">
            <v>3.474111008020381E-4</v>
          </cell>
          <cell r="G25">
            <v>3.1014682166350332E-4</v>
          </cell>
          <cell r="H25">
            <v>1.4300434604661304E-4</v>
          </cell>
          <cell r="I25">
            <v>1.9493786517779297E-4</v>
          </cell>
          <cell r="J25">
            <v>2.2275934030754449E-4</v>
          </cell>
          <cell r="K25">
            <v>2.3987145834649079E-4</v>
          </cell>
          <cell r="L25">
            <v>2.4067858176497964E-4</v>
          </cell>
          <cell r="M25">
            <v>1.8987305811119751E-4</v>
          </cell>
          <cell r="N25">
            <v>2.1500995538750937E-4</v>
          </cell>
          <cell r="O25">
            <v>2.0792168238955558E-4</v>
          </cell>
          <cell r="P25">
            <v>3.5177998367068184E-4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1.8268402676741699E-6</v>
          </cell>
          <cell r="F26">
            <v>1.4829698631428901E-6</v>
          </cell>
          <cell r="G26">
            <v>1.71345057826738E-6</v>
          </cell>
          <cell r="H26">
            <v>1.8064898517155901E-6</v>
          </cell>
          <cell r="I26">
            <v>2.0225052018463801E-6</v>
          </cell>
          <cell r="J26">
            <v>2.46872277527548E-6</v>
          </cell>
          <cell r="K26">
            <v>1.9780699645687899E-6</v>
          </cell>
          <cell r="L26">
            <v>5.50795905803004E-6</v>
          </cell>
          <cell r="M26">
            <v>4.5366791459053903E-6</v>
          </cell>
          <cell r="N26">
            <v>2.5694533209267699E-4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1.4620841051768707</v>
          </cell>
          <cell r="F27">
            <v>3.9086072954996887E-4</v>
          </cell>
          <cell r="G27">
            <v>3.8760422270001094E-4</v>
          </cell>
          <cell r="H27">
            <v>3.8677168911860349E-4</v>
          </cell>
          <cell r="I27">
            <v>3.8830267772804739E-4</v>
          </cell>
          <cell r="J27">
            <v>3.8779337377081724E-4</v>
          </cell>
          <cell r="K27">
            <v>3.8841210070739152E-4</v>
          </cell>
          <cell r="L27">
            <v>3.8890281335790533E-4</v>
          </cell>
          <cell r="M27">
            <v>3.8865591632619712E-4</v>
          </cell>
          <cell r="N27">
            <v>3.9350705454621604E-4</v>
          </cell>
          <cell r="O27">
            <v>3.9443364547664395E-4</v>
          </cell>
          <cell r="P27">
            <v>6.4938669884906375E-4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7.6348197231023611E-4</v>
          </cell>
          <cell r="F28">
            <v>7.631608291782053E-4</v>
          </cell>
          <cell r="G28">
            <v>7.6551109010405559E-4</v>
          </cell>
          <cell r="H28">
            <v>3.9335832256712243E-2</v>
          </cell>
          <cell r="I28">
            <v>0.10914978087928801</v>
          </cell>
          <cell r="J28">
            <v>7.9406088800320143E-2</v>
          </cell>
          <cell r="K28">
            <v>5.8084492019711241E-2</v>
          </cell>
          <cell r="L28">
            <v>9.6361101466474419E-2</v>
          </cell>
          <cell r="M28">
            <v>0.11367871114470507</v>
          </cell>
          <cell r="N28">
            <v>9.8813639987284888E-2</v>
          </cell>
          <cell r="O28">
            <v>8.746870278049465E-2</v>
          </cell>
          <cell r="P28">
            <v>0.11352827828244388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7.6348197231023535E-4</v>
          </cell>
          <cell r="F29">
            <v>7.6316082917820421E-4</v>
          </cell>
          <cell r="G29">
            <v>7.6551109010405515E-4</v>
          </cell>
          <cell r="H29">
            <v>3.9335832256712208E-2</v>
          </cell>
          <cell r="I29">
            <v>0.10914978087928784</v>
          </cell>
          <cell r="J29">
            <v>7.940608880032006E-2</v>
          </cell>
          <cell r="K29">
            <v>5.8084492019711172E-2</v>
          </cell>
          <cell r="L29">
            <v>9.636110146647435E-2</v>
          </cell>
          <cell r="M29">
            <v>0.11367871114470497</v>
          </cell>
          <cell r="N29">
            <v>9.8813639987284763E-2</v>
          </cell>
          <cell r="O29">
            <v>8.7468702780494526E-2</v>
          </cell>
          <cell r="P29">
            <v>0.11352827828244375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8.4451722871266603E-4</v>
          </cell>
          <cell r="F30">
            <v>8.4421607192970585E-4</v>
          </cell>
          <cell r="G30">
            <v>8.4670709161790026E-4</v>
          </cell>
          <cell r="H30">
            <v>4.3500229744792104E-2</v>
          </cell>
          <cell r="I30">
            <v>0.12070501756770058</v>
          </cell>
          <cell r="J30">
            <v>8.7812434749413956E-2</v>
          </cell>
          <cell r="K30">
            <v>6.4233658980745928E-2</v>
          </cell>
          <cell r="L30">
            <v>0.10656267996683642</v>
          </cell>
          <cell r="M30">
            <v>0.12571343549994449</v>
          </cell>
          <cell r="N30">
            <v>0.10927499736028488</v>
          </cell>
          <cell r="O30">
            <v>9.6728815246615973E-2</v>
          </cell>
          <cell r="P30">
            <v>0.12554742231271387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8.4451722871266603E-4</v>
          </cell>
          <cell r="F31">
            <v>8.4421607192970585E-4</v>
          </cell>
          <cell r="G31">
            <v>8.4670709161790026E-4</v>
          </cell>
          <cell r="H31">
            <v>4.3500229744792104E-2</v>
          </cell>
          <cell r="I31">
            <v>0.12070501756770058</v>
          </cell>
          <cell r="J31">
            <v>8.7812434749413956E-2</v>
          </cell>
          <cell r="K31">
            <v>6.4233658980745928E-2</v>
          </cell>
          <cell r="L31">
            <v>0.10656267996683642</v>
          </cell>
          <cell r="M31">
            <v>0.12571343549994449</v>
          </cell>
          <cell r="N31">
            <v>0.10927499736028488</v>
          </cell>
          <cell r="O31">
            <v>9.6728815246615973E-2</v>
          </cell>
          <cell r="P31">
            <v>0.12554742231271387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3.10306531239125E-4</v>
          </cell>
          <cell r="F32">
            <v>4.9096113756956602E-7</v>
          </cell>
          <cell r="G32">
            <v>1.32721536247115E-6</v>
          </cell>
          <cell r="H32">
            <v>2.64460105759044E-2</v>
          </cell>
          <cell r="I32">
            <v>1.8682971505944199E-2</v>
          </cell>
          <cell r="J32">
            <v>1.11085110943268E-2</v>
          </cell>
          <cell r="K32">
            <v>6.5775239885834799E-3</v>
          </cell>
          <cell r="L32">
            <v>2.9121849743177899E-2</v>
          </cell>
          <cell r="M32">
            <v>1.44891798327726E-2</v>
          </cell>
          <cell r="N32">
            <v>1.10663288545301E-2</v>
          </cell>
          <cell r="O32">
            <v>2.2196287714559601E-2</v>
          </cell>
          <cell r="P32">
            <v>1.6840402664912799E-2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3.1266854021912307E-4</v>
          </cell>
          <cell r="F33">
            <v>3.1301360768668754E-4</v>
          </cell>
          <cell r="G33">
            <v>3.1403796467868191E-4</v>
          </cell>
          <cell r="H33">
            <v>2.6674357702079207E-2</v>
          </cell>
          <cell r="I33">
            <v>4.5129400079313826E-2</v>
          </cell>
          <cell r="J33">
            <v>3.53447832956661E-2</v>
          </cell>
          <cell r="K33">
            <v>2.7373045333994896E-2</v>
          </cell>
          <cell r="L33">
            <v>3.9493341485001603E-2</v>
          </cell>
          <cell r="M33">
            <v>4.6569250043718875E-2</v>
          </cell>
          <cell r="N33">
            <v>4.0475136918184614E-2</v>
          </cell>
          <cell r="O33">
            <v>3.5828358163597043E-2</v>
          </cell>
          <cell r="P33">
            <v>4.6503802835493095E-2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9.1619821999054122E-6</v>
          </cell>
          <cell r="F34">
            <v>4.5691057156338012E-5</v>
          </cell>
          <cell r="G34">
            <v>1.1899977464252601E-2</v>
          </cell>
          <cell r="H34">
            <v>0.14138836245899747</v>
          </cell>
          <cell r="I34">
            <v>1.2135822451119054</v>
          </cell>
          <cell r="J34">
            <v>1.3018027222213073</v>
          </cell>
          <cell r="K34">
            <v>2.1709853588011825E-5</v>
          </cell>
          <cell r="L34">
            <v>4.4776573076195594E-5</v>
          </cell>
          <cell r="M34">
            <v>1.117118899945002E-2</v>
          </cell>
          <cell r="N34">
            <v>2.6257657298554532E-2</v>
          </cell>
          <cell r="O34">
            <v>2.114959396631539E-2</v>
          </cell>
          <cell r="P34">
            <v>4.4627636887489219E-2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9.1619821999053969E-6</v>
          </cell>
          <cell r="F35">
            <v>4.5653741199291313E-5</v>
          </cell>
          <cell r="G35">
            <v>1.1884798921568603E-2</v>
          </cell>
          <cell r="H35">
            <v>0.14138836245899766</v>
          </cell>
          <cell r="I35">
            <v>1.2122338203951162</v>
          </cell>
          <cell r="J35">
            <v>1.301802722221308</v>
          </cell>
          <cell r="K35">
            <v>2.1688652559117324E-5</v>
          </cell>
          <cell r="L35">
            <v>4.4776573076195601E-5</v>
          </cell>
          <cell r="M35">
            <v>1.117118899945002E-2</v>
          </cell>
          <cell r="N35">
            <v>2.6257657298554535E-2</v>
          </cell>
          <cell r="O35">
            <v>2.114959396631539E-2</v>
          </cell>
          <cell r="P35">
            <v>4.4627636887489233E-2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7.5420173449395571E-6</v>
          </cell>
          <cell r="F36">
            <v>5.5532878671838437E-5</v>
          </cell>
          <cell r="G36">
            <v>1.4166319205552225E-2</v>
          </cell>
          <cell r="H36">
            <v>0.16251534606121845</v>
          </cell>
          <cell r="I36">
            <v>1.3484246317251498</v>
          </cell>
          <cell r="J36">
            <v>1.3997878733562412</v>
          </cell>
          <cell r="K36">
            <v>2.1709853588011825E-5</v>
          </cell>
          <cell r="L36">
            <v>4.4776573076195594E-5</v>
          </cell>
          <cell r="M36">
            <v>1.1283990031212797E-2</v>
          </cell>
          <cell r="N36">
            <v>2.6523833655753244E-2</v>
          </cell>
          <cell r="O36">
            <v>2.1363206598014328E-2</v>
          </cell>
          <cell r="P36">
            <v>4.5079468062881774E-2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7.5420173449395571E-6</v>
          </cell>
          <cell r="F37">
            <v>5.5532878671838437E-5</v>
          </cell>
          <cell r="G37">
            <v>1.4166319205552225E-2</v>
          </cell>
          <cell r="H37">
            <v>0.16251534606121845</v>
          </cell>
          <cell r="I37">
            <v>1.3484246317251498</v>
          </cell>
          <cell r="J37">
            <v>1.3997878733562412</v>
          </cell>
          <cell r="K37">
            <v>2.1709853588011825E-5</v>
          </cell>
          <cell r="L37">
            <v>4.4776573076195594E-5</v>
          </cell>
          <cell r="M37">
            <v>1.1283990031212797E-2</v>
          </cell>
          <cell r="N37">
            <v>2.6523833655753244E-2</v>
          </cell>
          <cell r="O37">
            <v>2.1363206598014328E-2</v>
          </cell>
          <cell r="P37">
            <v>4.5079468062881774E-2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1.79701067142935E-3</v>
          </cell>
          <cell r="F38">
            <v>2.17508540666576E-5</v>
          </cell>
          <cell r="G38">
            <v>3.2106920791930802E-5</v>
          </cell>
          <cell r="H38">
            <v>3.1648392844208298E-2</v>
          </cell>
          <cell r="I38">
            <v>4.3797925929060698E-2</v>
          </cell>
          <cell r="J38">
            <v>1.18107707557261E-2</v>
          </cell>
          <cell r="K38">
            <v>1.1686435020174E-5</v>
          </cell>
          <cell r="L38">
            <v>1.5850378913395501E-4</v>
          </cell>
          <cell r="M38">
            <v>9.4938230518547902E-4</v>
          </cell>
          <cell r="N38">
            <v>1.59993630992197E-3</v>
          </cell>
          <cell r="O38">
            <v>1.07836369935672E-4</v>
          </cell>
          <cell r="P38">
            <v>3.1886059718118499E-3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1.79701067142935E-3</v>
          </cell>
          <cell r="F39">
            <v>1.8165497376068161E-3</v>
          </cell>
          <cell r="G39">
            <v>1.8431501955783662E-3</v>
          </cell>
          <cell r="H39">
            <v>3.347695013254065E-2</v>
          </cell>
          <cell r="I39">
            <v>7.5910193384163993E-2</v>
          </cell>
          <cell r="J39">
            <v>8.1232609475513751E-2</v>
          </cell>
          <cell r="K39">
            <v>2.5457058762134999E-3</v>
          </cell>
          <cell r="L39">
            <v>2.5725060752767401E-3</v>
          </cell>
          <cell r="M39">
            <v>1.4737986765330198E-3</v>
          </cell>
          <cell r="N39">
            <v>2.6883280084276429E-3</v>
          </cell>
          <cell r="O39">
            <v>2.3524271887743939E-3</v>
          </cell>
          <cell r="P39">
            <v>4.8743458239270589E-3</v>
          </cell>
        </row>
        <row r="40">
          <cell r="B40" t="str">
            <v>ENUC_AMR_BEZ_IV</v>
          </cell>
          <cell r="C40" t="str">
            <v>VAR_fout</v>
          </cell>
          <cell r="D40" t="str">
            <v>HTH</v>
          </cell>
          <cell r="J40"/>
          <cell r="K40"/>
          <cell r="L40"/>
          <cell r="M40">
            <v>0.81228710773058277</v>
          </cell>
          <cell r="N40">
            <v>1.9510797809913296</v>
          </cell>
          <cell r="O40">
            <v>1.7766065488550704</v>
          </cell>
          <cell r="P40">
            <v>1.8286981854383237</v>
          </cell>
        </row>
        <row r="41">
          <cell r="B41" t="str">
            <v>ENUC_AMR_BEZ_IV</v>
          </cell>
          <cell r="C41" t="str">
            <v>VAR_fout</v>
          </cell>
          <cell r="D41" t="str">
            <v>ELC</v>
          </cell>
          <cell r="J41"/>
          <cell r="K41"/>
          <cell r="L41"/>
          <cell r="M41">
            <v>2.8655484048259776</v>
          </cell>
          <cell r="N41">
            <v>6.9595126516936654</v>
          </cell>
          <cell r="O41">
            <v>6.9785968663959217</v>
          </cell>
          <cell r="P41">
            <v>7.0170161870610723</v>
          </cell>
        </row>
        <row r="42">
          <cell r="B42" t="str">
            <v>ENUC_AMR_BEZ_IV</v>
          </cell>
          <cell r="C42" t="str">
            <v>VAR_fin</v>
          </cell>
          <cell r="D42" t="str">
            <v>URN</v>
          </cell>
          <cell r="J42"/>
          <cell r="K42"/>
          <cell r="L42"/>
          <cell r="M42">
            <v>7.2311823444391106</v>
          </cell>
          <cell r="N42">
            <v>17.539189829379573</v>
          </cell>
          <cell r="O42">
            <v>17.396169449719043</v>
          </cell>
          <cell r="P42">
            <v>17.536903808970827</v>
          </cell>
        </row>
        <row r="43">
          <cell r="B43" t="str">
            <v>ENUC_AMR_BEZ_IV</v>
          </cell>
          <cell r="C43" t="str">
            <v>VAR_ncap</v>
          </cell>
          <cell r="D43" t="str">
            <v>-</v>
          </cell>
          <cell r="J43"/>
          <cell r="K43"/>
          <cell r="L43"/>
          <cell r="M43">
            <v>0.29999587248245702</v>
          </cell>
          <cell r="N43">
            <v>2.1892445342001599E-7</v>
          </cell>
          <cell r="O43">
            <v>3.6148822428579501E-7</v>
          </cell>
        </row>
        <row r="44">
          <cell r="B44" t="str">
            <v>ENUC_AMR_BEZ_IV</v>
          </cell>
          <cell r="C44" t="str">
            <v>VAR_cap</v>
          </cell>
          <cell r="D44" t="str">
            <v>-</v>
          </cell>
          <cell r="M44">
            <v>0.122250194517957</v>
          </cell>
          <cell r="N44">
            <v>0.29999587248245702</v>
          </cell>
          <cell r="O44">
            <v>0.29999620600362598</v>
          </cell>
          <cell r="P44">
            <v>0.29999645289513399</v>
          </cell>
        </row>
        <row r="45">
          <cell r="B45" t="str">
            <v>ENUC_AMR_BMGL_IV</v>
          </cell>
          <cell r="C45" t="str">
            <v>VAR_fout</v>
          </cell>
          <cell r="D45" t="str">
            <v>HTH</v>
          </cell>
          <cell r="K45"/>
          <cell r="L45"/>
          <cell r="M45">
            <v>6.1251214758627832E-2</v>
          </cell>
          <cell r="N45">
            <v>0.16078878245693379</v>
          </cell>
          <cell r="O45">
            <v>0.14308199151078643</v>
          </cell>
          <cell r="P45">
            <v>0.11693517275252184</v>
          </cell>
        </row>
        <row r="46">
          <cell r="B46" t="str">
            <v>ENUC_AMR_BMGL_IV</v>
          </cell>
          <cell r="C46" t="str">
            <v>VAR_fout</v>
          </cell>
          <cell r="D46" t="str">
            <v>ELC</v>
          </cell>
          <cell r="J46"/>
          <cell r="K46"/>
          <cell r="L46"/>
          <cell r="M46">
            <v>0.16488654689187576</v>
          </cell>
          <cell r="N46">
            <v>0.38699693387045569</v>
          </cell>
          <cell r="O46">
            <v>0.40691298684752292</v>
          </cell>
          <cell r="P46">
            <v>0.40822432498549238</v>
          </cell>
        </row>
        <row r="47">
          <cell r="B47" t="str">
            <v>ENUC_AMR_BMGL_IV</v>
          </cell>
          <cell r="C47" t="str">
            <v>VAR_fin</v>
          </cell>
          <cell r="D47" t="str">
            <v>URN</v>
          </cell>
          <cell r="J47"/>
          <cell r="K47"/>
          <cell r="L47"/>
          <cell r="M47">
            <v>0.43150914800320139</v>
          </cell>
          <cell r="N47">
            <v>1.0308746156173425</v>
          </cell>
          <cell r="O47">
            <v>1.0563144398740405</v>
          </cell>
          <cell r="P47">
            <v>1.0314346369384582</v>
          </cell>
        </row>
        <row r="48">
          <cell r="B48" t="str">
            <v>ENUC_AMR_BMGL_IV</v>
          </cell>
          <cell r="C48" t="str">
            <v>VAR_ncap</v>
          </cell>
          <cell r="D48" t="str">
            <v>-</v>
          </cell>
          <cell r="J48"/>
          <cell r="K48"/>
          <cell r="L48"/>
          <cell r="M48">
            <v>1.7139155930939402E-2</v>
          </cell>
          <cell r="N48">
            <v>3.74953025651397E-7</v>
          </cell>
          <cell r="O48">
            <v>7.0781277927134098E-7</v>
          </cell>
        </row>
        <row r="49">
          <cell r="B49" t="str">
            <v>ENUC_AMR_BMGL_IV</v>
          </cell>
          <cell r="C49" t="str">
            <v>VAR_cap</v>
          </cell>
          <cell r="D49" t="str">
            <v>-</v>
          </cell>
          <cell r="J49"/>
          <cell r="K49"/>
          <cell r="L49"/>
          <cell r="M49">
            <v>6.9843132476879802E-3</v>
          </cell>
          <cell r="N49">
            <v>1.7139155930939402E-2</v>
          </cell>
          <cell r="O49">
            <v>1.7139755270306301E-2</v>
          </cell>
          <cell r="P49">
            <v>1.71402386967443E-2</v>
          </cell>
        </row>
        <row r="50">
          <cell r="B50" t="str">
            <v>CURTAIL1</v>
          </cell>
          <cell r="C50" t="str">
            <v>VAR_fout</v>
          </cell>
          <cell r="D50" t="str">
            <v>CLOAD</v>
          </cell>
          <cell r="G50">
            <v>7.711804077345782E-4</v>
          </cell>
          <cell r="H50">
            <v>2.9567623032593544E-4</v>
          </cell>
          <cell r="I50">
            <v>6.1562131854212563E-4</v>
          </cell>
          <cell r="J50">
            <v>5.1775188649617453E-4</v>
          </cell>
          <cell r="K50">
            <v>5.2300366192921453E-4</v>
          </cell>
          <cell r="L50">
            <v>1.3497737178671085E-3</v>
          </cell>
          <cell r="M50">
            <v>8.4424338237019459E-4</v>
          </cell>
          <cell r="N50">
            <v>1.819508104382107E-3</v>
          </cell>
          <cell r="O50">
            <v>1.500577411867574E-3</v>
          </cell>
          <cell r="P50">
            <v>3.6950183839221007E-3</v>
          </cell>
        </row>
        <row r="51">
          <cell r="B51" t="str">
            <v>CURTAIL1</v>
          </cell>
          <cell r="C51" t="str">
            <v>VAR_fin</v>
          </cell>
          <cell r="D51" t="str">
            <v>ELC35</v>
          </cell>
          <cell r="G51">
            <v>2.1854604623435439E-4</v>
          </cell>
          <cell r="H51">
            <v>7.7059433469473798E-5</v>
          </cell>
          <cell r="I51">
            <v>1.5374124475321804E-4</v>
          </cell>
          <cell r="J51">
            <v>1.2791147743564926E-4</v>
          </cell>
          <cell r="K51">
            <v>1.2919988204986379E-4</v>
          </cell>
          <cell r="L51">
            <v>3.4700965887571604E-4</v>
          </cell>
          <cell r="M51">
            <v>2.2043082566535485E-4</v>
          </cell>
          <cell r="N51">
            <v>4.8567222896633367E-4</v>
          </cell>
          <cell r="O51">
            <v>3.949970398958933E-4</v>
          </cell>
          <cell r="P51">
            <v>1.0029095734456152E-3</v>
          </cell>
        </row>
        <row r="52">
          <cell r="B52" t="str">
            <v>CURTAIL1</v>
          </cell>
          <cell r="C52" t="str">
            <v>VAR_fin</v>
          </cell>
          <cell r="D52" t="str">
            <v>RHEM_SOL_ELC</v>
          </cell>
          <cell r="G52">
            <v>9.089607494185519E-5</v>
          </cell>
          <cell r="H52">
            <v>3.5253288681450126E-5</v>
          </cell>
          <cell r="I52">
            <v>7.2345328540385435E-5</v>
          </cell>
          <cell r="J52">
            <v>6.1249988498674254E-5</v>
          </cell>
          <cell r="K52">
            <v>5.9849600915692324E-5</v>
          </cell>
          <cell r="L52">
            <v>1.51452895397618E-4</v>
          </cell>
          <cell r="M52">
            <v>8.9324109424662542E-5</v>
          </cell>
          <cell r="N52">
            <v>1.9478127604683886E-4</v>
          </cell>
          <cell r="O52">
            <v>1.5639661844422847E-4</v>
          </cell>
          <cell r="P52">
            <v>3.6154902769285812E-4</v>
          </cell>
        </row>
        <row r="53">
          <cell r="B53" t="str">
            <v>CURTAIL1</v>
          </cell>
          <cell r="C53" t="str">
            <v>VAR_fin</v>
          </cell>
          <cell r="D53" t="str">
            <v>RHNS_SOL_ELC</v>
          </cell>
          <cell r="G53">
            <v>4.9320774739937801E-5</v>
          </cell>
          <cell r="H53">
            <v>2.8726697851888119E-5</v>
          </cell>
          <cell r="I53">
            <v>5.2651035611649027E-5</v>
          </cell>
          <cell r="J53">
            <v>4.6552416477529002E-5</v>
          </cell>
          <cell r="K53">
            <v>4.608900220034906E-5</v>
          </cell>
          <cell r="L53">
            <v>9.369817435947591E-5</v>
          </cell>
          <cell r="M53">
            <v>6.5750433691158777E-5</v>
          </cell>
          <cell r="N53">
            <v>1.2020964823118821E-4</v>
          </cell>
          <cell r="O53">
            <v>1.0520112582876261E-4</v>
          </cell>
          <cell r="P53">
            <v>1.8586212819887699E-4</v>
          </cell>
        </row>
        <row r="54">
          <cell r="B54" t="str">
            <v>CURTAIL1</v>
          </cell>
          <cell r="C54" t="str">
            <v>VAR_fin</v>
          </cell>
          <cell r="D54" t="str">
            <v>RHES_SOL_ELC</v>
          </cell>
          <cell r="G54">
            <v>9.1734381577936443E-5</v>
          </cell>
          <cell r="H54">
            <v>3.5400487116694705E-5</v>
          </cell>
          <cell r="I54">
            <v>7.4495135474528321E-5</v>
          </cell>
          <cell r="J54">
            <v>6.3080479608687196E-5</v>
          </cell>
          <cell r="K54">
            <v>6.3551505058550905E-5</v>
          </cell>
          <cell r="L54">
            <v>1.6502607504571639E-4</v>
          </cell>
          <cell r="M54">
            <v>9.9254250385996573E-5</v>
          </cell>
          <cell r="N54">
            <v>2.1812902406938839E-4</v>
          </cell>
          <cell r="O54">
            <v>1.776311577236753E-4</v>
          </cell>
          <cell r="P54">
            <v>4.0175236664425674E-4</v>
          </cell>
        </row>
        <row r="55">
          <cell r="B55" t="str">
            <v>CURTAIL1</v>
          </cell>
          <cell r="C55" t="str">
            <v>VAR_fin</v>
          </cell>
          <cell r="D55" t="str">
            <v>SCOM_SOL_ELC</v>
          </cell>
          <cell r="G55">
            <v>1.2089196155740861E-4</v>
          </cell>
          <cell r="H55">
            <v>4.3741742914344545E-5</v>
          </cell>
          <cell r="I55">
            <v>9.8579898828428074E-5</v>
          </cell>
          <cell r="J55">
            <v>8.2009138904071385E-5</v>
          </cell>
          <cell r="K55">
            <v>8.536276864424454E-5</v>
          </cell>
          <cell r="L55">
            <v>2.3224619243973835E-4</v>
          </cell>
          <cell r="M55">
            <v>1.4717289037057807E-4</v>
          </cell>
          <cell r="N55">
            <v>3.2016611923199817E-4</v>
          </cell>
          <cell r="O55">
            <v>2.6977082651803393E-4</v>
          </cell>
          <cell r="P55">
            <v>7.4017756553155525E-4</v>
          </cell>
        </row>
        <row r="56">
          <cell r="B56" t="str">
            <v>CURTAIL1</v>
          </cell>
          <cell r="C56" t="str">
            <v>VAR_fin</v>
          </cell>
          <cell r="D56" t="str">
            <v>ITOT_SOL_ELC</v>
          </cell>
          <cell r="G56">
            <v>1.0898490343542074E-4</v>
          </cell>
          <cell r="H56">
            <v>4.0233592513515925E-5</v>
          </cell>
          <cell r="I56">
            <v>9.1417271994192247E-5</v>
          </cell>
          <cell r="J56">
            <v>7.5657722293208613E-5</v>
          </cell>
          <cell r="K56">
            <v>7.9039543508090652E-5</v>
          </cell>
          <cell r="L56">
            <v>2.087202058681423E-4</v>
          </cell>
          <cell r="M56">
            <v>1.3293516481122775E-4</v>
          </cell>
          <cell r="N56">
            <v>2.8581514745263731E-4</v>
          </cell>
          <cell r="O56">
            <v>2.401123884256748E-4</v>
          </cell>
          <cell r="P56">
            <v>6.4113108198528984E-4</v>
          </cell>
        </row>
        <row r="57">
          <cell r="B57" t="str">
            <v>CURTAIL1</v>
          </cell>
          <cell r="C57" t="str">
            <v>VAR_fin</v>
          </cell>
          <cell r="D57" t="str">
            <v>RHNM_SOL_ELC</v>
          </cell>
          <cell r="G57">
            <v>9.0780271076841795E-5</v>
          </cell>
          <cell r="H57">
            <v>3.5248989754505031E-5</v>
          </cell>
          <cell r="I57">
            <v>7.2376060948745806E-5</v>
          </cell>
          <cell r="J57">
            <v>6.1276707611265834E-5</v>
          </cell>
          <cell r="K57">
            <v>5.9897073574477971E-5</v>
          </cell>
          <cell r="L57">
            <v>1.5160590432136651E-4</v>
          </cell>
          <cell r="M57">
            <v>8.9360673825478106E-5</v>
          </cell>
          <cell r="N57">
            <v>1.9471838007031412E-4</v>
          </cell>
          <cell r="O57">
            <v>1.5645109553661879E-4</v>
          </cell>
          <cell r="P57">
            <v>3.6163664042365088E-4</v>
          </cell>
        </row>
        <row r="58">
          <cell r="B58" t="str">
            <v>D-EH2</v>
          </cell>
          <cell r="C58" t="str">
            <v>VAR_fout</v>
          </cell>
          <cell r="D58" t="str">
            <v>EH2</v>
          </cell>
          <cell r="J58">
            <v>0.54720912643056374</v>
          </cell>
          <cell r="K58">
            <v>1.4072751632597762</v>
          </cell>
          <cell r="L58">
            <v>2.0929558268707602</v>
          </cell>
          <cell r="M58">
            <v>2.4790276885427991</v>
          </cell>
          <cell r="N58">
            <v>2.5529326120761016</v>
          </cell>
          <cell r="O58">
            <v>2.554317851149202</v>
          </cell>
          <cell r="P58">
            <v>2.545820002392134</v>
          </cell>
        </row>
        <row r="59">
          <cell r="B59" t="str">
            <v>D-EH2</v>
          </cell>
          <cell r="C59" t="str">
            <v>VAR_fin</v>
          </cell>
          <cell r="D59" t="str">
            <v>H2</v>
          </cell>
          <cell r="J59">
            <v>0.55273649134400415</v>
          </cell>
          <cell r="K59">
            <v>1.421490063898764</v>
          </cell>
          <cell r="L59">
            <v>2.1140967948189489</v>
          </cell>
          <cell r="M59">
            <v>2.5040683722654573</v>
          </cell>
          <cell r="N59">
            <v>2.5787198101778817</v>
          </cell>
          <cell r="O59">
            <v>2.5801190415648483</v>
          </cell>
          <cell r="P59">
            <v>2.5715353559516507</v>
          </cell>
        </row>
        <row r="60">
          <cell r="B60" t="str">
            <v>D-EH2</v>
          </cell>
          <cell r="C60" t="str">
            <v>VAR_ncap</v>
          </cell>
          <cell r="D60" t="str">
            <v>-</v>
          </cell>
          <cell r="H60">
            <v>4.5728024968712099E-7</v>
          </cell>
          <cell r="I60">
            <v>1.2372560147032001E-6</v>
          </cell>
          <cell r="J60">
            <v>3.9086125018196298E-2</v>
          </cell>
          <cell r="K60">
            <v>9.7504947938318404E-2</v>
          </cell>
          <cell r="L60">
            <v>2.05221121538481E-2</v>
          </cell>
          <cell r="M60">
            <v>8.7752484462834505E-3</v>
          </cell>
          <cell r="N60">
            <v>4.4116899524062198E-3</v>
          </cell>
          <cell r="O60">
            <v>1.14237276160538E-2</v>
          </cell>
          <cell r="P60">
            <v>4.1409269543703902E-5</v>
          </cell>
        </row>
        <row r="61">
          <cell r="B61" t="str">
            <v>D-EH2</v>
          </cell>
          <cell r="C61" t="str">
            <v>VAR_cap</v>
          </cell>
          <cell r="D61" t="str">
            <v>-</v>
          </cell>
          <cell r="H61">
            <v>4.5728024968712099E-7</v>
          </cell>
          <cell r="I61">
            <v>1.69453626439033E-6</v>
          </cell>
          <cell r="J61">
            <v>3.9087819554460702E-2</v>
          </cell>
          <cell r="K61">
            <v>0.13659276749277899</v>
          </cell>
          <cell r="L61">
            <v>0.15711487964662699</v>
          </cell>
          <cell r="M61">
            <v>0.16589012809291101</v>
          </cell>
          <cell r="N61">
            <v>0.17030181804531699</v>
          </cell>
          <cell r="O61">
            <v>0.181725400697271</v>
          </cell>
          <cell r="P61">
            <v>0.18176649765066499</v>
          </cell>
        </row>
        <row r="62">
          <cell r="B62" t="str">
            <v>ITOT-EBAT</v>
          </cell>
          <cell r="C62" t="str">
            <v>VAR_fout</v>
          </cell>
          <cell r="D62" t="str">
            <v>AUX_ITOT-EBAT_OUT</v>
          </cell>
          <cell r="E62">
            <v>7.6058254464362544E-4</v>
          </cell>
          <cell r="F62">
            <v>7.6025804932585686E-4</v>
          </cell>
          <cell r="G62">
            <v>7.6273177205066504E-4</v>
          </cell>
          <cell r="H62">
            <v>4.5772147845089622E-2</v>
          </cell>
          <cell r="I62">
            <v>0.13595519210100887</v>
          </cell>
          <cell r="J62">
            <v>0.22014636111454805</v>
          </cell>
          <cell r="K62">
            <v>0.25991501996730693</v>
          </cell>
          <cell r="L62">
            <v>0.298551160511004</v>
          </cell>
          <cell r="M62">
            <v>0.31498747645024283</v>
          </cell>
          <cell r="N62">
            <v>0.329009555790167</v>
          </cell>
          <cell r="O62">
            <v>0.40796541361887173</v>
          </cell>
          <cell r="P62">
            <v>0.345225814359927</v>
          </cell>
        </row>
        <row r="63">
          <cell r="B63" t="str">
            <v>ITOT-EBAT</v>
          </cell>
          <cell r="C63" t="str">
            <v>VAR_fout</v>
          </cell>
          <cell r="D63" t="str">
            <v>ITOT_ELC</v>
          </cell>
          <cell r="E63">
            <v>7.6058254464362479E-4</v>
          </cell>
          <cell r="F63">
            <v>7.6025804932585588E-4</v>
          </cell>
          <cell r="G63">
            <v>7.6273177205066407E-4</v>
          </cell>
          <cell r="H63">
            <v>4.5772147845089588E-2</v>
          </cell>
          <cell r="I63">
            <v>0.13595519210100865</v>
          </cell>
          <cell r="J63">
            <v>0.22014636111454788</v>
          </cell>
          <cell r="K63">
            <v>0.25991501996730676</v>
          </cell>
          <cell r="L63">
            <v>0.29855116051100361</v>
          </cell>
          <cell r="M63">
            <v>0.31498747645024244</v>
          </cell>
          <cell r="N63">
            <v>0.32900955579016683</v>
          </cell>
          <cell r="O63">
            <v>0.4079654136188714</v>
          </cell>
          <cell r="P63">
            <v>0.34522581435992611</v>
          </cell>
        </row>
        <row r="64">
          <cell r="B64" t="str">
            <v>ITOT-EBAT</v>
          </cell>
          <cell r="C64" t="str">
            <v>VAR_fin</v>
          </cell>
          <cell r="D64" t="str">
            <v>ITOT_ELC</v>
          </cell>
          <cell r="E64">
            <v>8.4131085372658938E-4</v>
          </cell>
          <cell r="F64">
            <v>8.4100598987940417E-4</v>
          </cell>
          <cell r="G64">
            <v>8.4363354162474548E-4</v>
          </cell>
          <cell r="H64">
            <v>5.0617924624708599E-2</v>
          </cell>
          <cell r="I64">
            <v>0.15034817819100763</v>
          </cell>
          <cell r="J64">
            <v>0.24345214692513695</v>
          </cell>
          <cell r="K64">
            <v>0.28743093365239708</v>
          </cell>
          <cell r="L64">
            <v>0.3301575484384951</v>
          </cell>
          <cell r="M64">
            <v>0.34833370966845334</v>
          </cell>
          <cell r="N64">
            <v>0.36384057088650845</v>
          </cell>
          <cell r="O64">
            <v>0.45115484409351619</v>
          </cell>
          <cell r="P64">
            <v>0.38177357036522419</v>
          </cell>
        </row>
        <row r="65">
          <cell r="B65" t="str">
            <v>ITOT-EBAT</v>
          </cell>
          <cell r="C65" t="str">
            <v>VAR_fin</v>
          </cell>
          <cell r="D65" t="str">
            <v>AUX_ITOT-EBAT_IN</v>
          </cell>
          <cell r="E65">
            <v>8.4131085372658938E-4</v>
          </cell>
          <cell r="F65">
            <v>8.4100598987940417E-4</v>
          </cell>
          <cell r="G65">
            <v>8.4363354162474548E-4</v>
          </cell>
          <cell r="H65">
            <v>5.0617924624708599E-2</v>
          </cell>
          <cell r="I65">
            <v>0.15034817819100763</v>
          </cell>
          <cell r="J65">
            <v>0.24345214692513695</v>
          </cell>
          <cell r="K65">
            <v>0.28743093365239708</v>
          </cell>
          <cell r="L65">
            <v>0.3301575484384951</v>
          </cell>
          <cell r="M65">
            <v>0.34833370966845334</v>
          </cell>
          <cell r="N65">
            <v>0.36384057088650845</v>
          </cell>
          <cell r="O65">
            <v>0.45115484409351619</v>
          </cell>
          <cell r="P65">
            <v>0.38177357036522419</v>
          </cell>
        </row>
        <row r="66">
          <cell r="B66" t="str">
            <v>ITOT-EBAT</v>
          </cell>
          <cell r="C66" t="str">
            <v>VAR_ncap</v>
          </cell>
          <cell r="D66" t="str">
            <v>-</v>
          </cell>
          <cell r="E66">
            <v>3.0939249892992799E-4</v>
          </cell>
          <cell r="F66">
            <v>4.9015051332667005E-7</v>
          </cell>
          <cell r="G66">
            <v>1.3247677604426901E-6</v>
          </cell>
          <cell r="H66">
            <v>3.6601376165737103E-2</v>
          </cell>
          <cell r="I66">
            <v>3.8801293342953999E-2</v>
          </cell>
          <cell r="J66">
            <v>7.0487524603597501E-2</v>
          </cell>
          <cell r="K66">
            <v>4.40784536903664E-2</v>
          </cell>
          <cell r="L66">
            <v>5.5696230940072901E-2</v>
          </cell>
          <cell r="M66">
            <v>5.3611232742527402E-2</v>
          </cell>
          <cell r="N66">
            <v>5.2625828528951799E-2</v>
          </cell>
          <cell r="O66">
            <v>0.104990188143618</v>
          </cell>
          <cell r="P66">
            <v>9.0312611035053695E-4</v>
          </cell>
        </row>
        <row r="67">
          <cell r="B67" t="str">
            <v>ITOT-EBAT</v>
          </cell>
          <cell r="C67" t="str">
            <v>VAR_cap</v>
          </cell>
          <cell r="D67" t="str">
            <v>-</v>
          </cell>
          <cell r="E67">
            <v>3.1149645650111222E-4</v>
          </cell>
          <cell r="F67">
            <v>3.1184219838218167E-4</v>
          </cell>
          <cell r="G67">
            <v>3.1286661865783809E-4</v>
          </cell>
          <cell r="H67">
            <v>3.6829051045515662E-2</v>
          </cell>
          <cell r="I67">
            <v>7.5403086298384048E-2</v>
          </cell>
          <cell r="J67">
            <v>0.11697471427540891</v>
          </cell>
          <cell r="K67">
            <v>0.13468455993667525</v>
          </cell>
          <cell r="L67">
            <v>0.12385235857149247</v>
          </cell>
          <cell r="M67">
            <v>0.12913400348946602</v>
          </cell>
          <cell r="N67">
            <v>0.13477190848578247</v>
          </cell>
          <cell r="O67">
            <v>0.16711112419033891</v>
          </cell>
          <cell r="P67">
            <v>0.14140738654820736</v>
          </cell>
        </row>
        <row r="68">
          <cell r="B68" t="str">
            <v>ENUC_AMR_BMGL_V</v>
          </cell>
          <cell r="C68" t="str">
            <v>VAR_fout</v>
          </cell>
          <cell r="D68" t="str">
            <v>HTH</v>
          </cell>
          <cell r="J68"/>
          <cell r="K68"/>
          <cell r="L68"/>
          <cell r="M68">
            <v>6.1251214788869697E-2</v>
          </cell>
          <cell r="N68">
            <v>0.16078878251221385</v>
          </cell>
          <cell r="O68">
            <v>0.14308199156657331</v>
          </cell>
          <cell r="P68">
            <v>0.11693517281021748</v>
          </cell>
        </row>
        <row r="69">
          <cell r="B69" t="str">
            <v>ENUC_AMR_BMGL_V</v>
          </cell>
          <cell r="C69" t="str">
            <v>VAR_fout</v>
          </cell>
          <cell r="D69" t="str">
            <v>ELC</v>
          </cell>
          <cell r="J69"/>
          <cell r="K69"/>
          <cell r="L69"/>
          <cell r="M69">
            <v>0.16488654699574509</v>
          </cell>
          <cell r="N69">
            <v>0.38699693412595115</v>
          </cell>
          <cell r="O69">
            <v>0.40691298710715429</v>
          </cell>
          <cell r="P69">
            <v>0.40822432523998781</v>
          </cell>
        </row>
        <row r="70">
          <cell r="B70" t="str">
            <v>ENUC_AMR_BMGL_V</v>
          </cell>
          <cell r="C70" t="str">
            <v>VAR_fin</v>
          </cell>
          <cell r="D70" t="str">
            <v>URN</v>
          </cell>
          <cell r="K70"/>
          <cell r="L70"/>
          <cell r="M70">
            <v>0.43150914826616388</v>
          </cell>
          <cell r="N70">
            <v>1.0308746162438611</v>
          </cell>
          <cell r="O70">
            <v>1.0563144405102907</v>
          </cell>
          <cell r="P70">
            <v>1.0314346375653241</v>
          </cell>
        </row>
        <row r="71">
          <cell r="B71" t="str">
            <v>ENUC_AMR_BMGL_V</v>
          </cell>
          <cell r="C71" t="str">
            <v>VAR_ncap</v>
          </cell>
          <cell r="D71" t="str">
            <v>-</v>
          </cell>
          <cell r="J71"/>
          <cell r="K71"/>
          <cell r="L71"/>
          <cell r="M71">
            <v>1.71391559413684E-2</v>
          </cell>
          <cell r="N71">
            <v>3.7495302590234999E-7</v>
          </cell>
          <cell r="O71">
            <v>7.0781278100599997E-7</v>
          </cell>
        </row>
        <row r="72">
          <cell r="B72" t="str">
            <v>ENUC_AMR_BMGL_V</v>
          </cell>
          <cell r="C72" t="str">
            <v>VAR_cap</v>
          </cell>
          <cell r="D72" t="str">
            <v>-</v>
          </cell>
          <cell r="J72"/>
          <cell r="K72"/>
          <cell r="L72"/>
          <cell r="M72">
            <v>6.9843132519378896E-3</v>
          </cell>
          <cell r="N72">
            <v>1.71391559413684E-2</v>
          </cell>
          <cell r="O72">
            <v>1.7139755280736101E-2</v>
          </cell>
          <cell r="P72">
            <v>1.71402387071753E-2</v>
          </cell>
        </row>
        <row r="73">
          <cell r="B73" t="str">
            <v>EWSTINCCS</v>
          </cell>
          <cell r="C73" t="str">
            <v>VAR_fout</v>
          </cell>
          <cell r="D73" t="str">
            <v>ELC35</v>
          </cell>
          <cell r="J73">
            <v>1.8929344042753642</v>
          </cell>
          <cell r="K73">
            <v>4.3142942848908721</v>
          </cell>
          <cell r="L73">
            <v>4.4885566372943835</v>
          </cell>
          <cell r="M73">
            <v>4.4441164528072212</v>
          </cell>
          <cell r="N73">
            <v>4.4441161803822657</v>
          </cell>
          <cell r="O73">
            <v>4.4441158672019485</v>
          </cell>
          <cell r="P73">
            <v>4.4441161782220249</v>
          </cell>
        </row>
        <row r="74">
          <cell r="B74" t="str">
            <v>EWSTINCCS</v>
          </cell>
          <cell r="C74" t="str">
            <v>VAR_fout</v>
          </cell>
          <cell r="D74" t="str">
            <v>CO2_O</v>
          </cell>
          <cell r="J74">
            <v>485.9675695005572</v>
          </cell>
          <cell r="K74">
            <v>1107.5962817323123</v>
          </cell>
          <cell r="L74">
            <v>1152.3341509694678</v>
          </cell>
          <cell r="M74">
            <v>1140.9251510619126</v>
          </cell>
          <cell r="N74">
            <v>1140.9250811230443</v>
          </cell>
          <cell r="O74">
            <v>1140.9250007211679</v>
          </cell>
          <cell r="P74">
            <v>1140.925080568451</v>
          </cell>
        </row>
        <row r="75">
          <cell r="B75" t="str">
            <v>EWSTINCCS</v>
          </cell>
          <cell r="C75" t="str">
            <v>VAR_fout</v>
          </cell>
          <cell r="D75" t="str">
            <v>CO2</v>
          </cell>
          <cell r="J75">
            <v>-485.96756950055698</v>
          </cell>
          <cell r="K75">
            <v>-1107.59628173231</v>
          </cell>
          <cell r="L75">
            <v>-1152.3341509694701</v>
          </cell>
          <cell r="M75">
            <v>-1140.9251510619099</v>
          </cell>
          <cell r="N75">
            <v>-1140.9250811230399</v>
          </cell>
          <cell r="O75">
            <v>-1140.9250007211699</v>
          </cell>
          <cell r="P75">
            <v>-1140.9250805684501</v>
          </cell>
        </row>
        <row r="76">
          <cell r="B76" t="str">
            <v>EWSTINCCS</v>
          </cell>
          <cell r="C76" t="str">
            <v>VAR_fout</v>
          </cell>
          <cell r="D76" t="str">
            <v>CO2_E</v>
          </cell>
          <cell r="J76">
            <v>524.82792864947896</v>
          </cell>
          <cell r="K76">
            <v>1184.32191369048</v>
          </cell>
          <cell r="L76">
            <v>1220.07888462903</v>
          </cell>
          <cell r="M76">
            <v>1207.9991594293299</v>
          </cell>
          <cell r="N76">
            <v>1207.9990853788099</v>
          </cell>
          <cell r="O76">
            <v>1207.99900025018</v>
          </cell>
          <cell r="P76">
            <v>1207.9990847916199</v>
          </cell>
        </row>
        <row r="77">
          <cell r="B77" t="str">
            <v>EWSTINCCS</v>
          </cell>
          <cell r="C77" t="str">
            <v>VAR_fin</v>
          </cell>
          <cell r="D77" t="str">
            <v>EWST</v>
          </cell>
          <cell r="J77">
            <v>5.6554733690676651</v>
          </cell>
          <cell r="K77">
            <v>12.762089587181883</v>
          </cell>
          <cell r="L77">
            <v>13.14740177401972</v>
          </cell>
          <cell r="M77">
            <v>13.017232321436728</v>
          </cell>
          <cell r="N77">
            <v>13.0172315234786</v>
          </cell>
          <cell r="O77">
            <v>13.017230606144171</v>
          </cell>
          <cell r="P77">
            <v>13.017231517151046</v>
          </cell>
        </row>
        <row r="78">
          <cell r="B78" t="str">
            <v>EWSTINCCS</v>
          </cell>
          <cell r="C78" t="str">
            <v>VAR_ncap</v>
          </cell>
          <cell r="D78" t="str">
            <v>-</v>
          </cell>
          <cell r="J78">
            <v>9.36468770241832E-2</v>
          </cell>
          <cell r="K78">
            <v>0.128488182477248</v>
          </cell>
          <cell r="L78">
            <v>2.65871803486119E-7</v>
          </cell>
          <cell r="M78">
            <v>6.5794721507276804E-8</v>
          </cell>
          <cell r="N78">
            <v>2.5018517840071501E-7</v>
          </cell>
          <cell r="O78">
            <v>4.0850085292120599E-7</v>
          </cell>
          <cell r="P78">
            <v>3.7303582939271003E-2</v>
          </cell>
        </row>
        <row r="79">
          <cell r="B79" t="str">
            <v>EWSTINCCS</v>
          </cell>
          <cell r="C79" t="str">
            <v>VAR_cap</v>
          </cell>
          <cell r="D79" t="str">
            <v>-</v>
          </cell>
          <cell r="J79">
            <v>9.36468770241832E-2</v>
          </cell>
          <cell r="K79">
            <v>0.22213503688644629</v>
          </cell>
          <cell r="L79">
            <v>0.22213524013272778</v>
          </cell>
          <cell r="M79">
            <v>0.1894390482796787</v>
          </cell>
          <cell r="N79">
            <v>0.17271714244520378</v>
          </cell>
          <cell r="O79">
            <v>0.16579289010131221</v>
          </cell>
          <cell r="P79">
            <v>0.16579146354826124</v>
          </cell>
        </row>
        <row r="80">
          <cell r="B80" t="str">
            <v>D-RES_LTH</v>
          </cell>
          <cell r="C80" t="str">
            <v>VAR_fout</v>
          </cell>
          <cell r="D80" t="str">
            <v>RHNS_LTH_DH</v>
          </cell>
          <cell r="F80">
            <v>5.4452950548679477E-2</v>
          </cell>
          <cell r="G80">
            <v>7.0591298735340091E-2</v>
          </cell>
          <cell r="H80">
            <v>0.11352441519015605</v>
          </cell>
          <cell r="I80">
            <v>0.17684564348560725</v>
          </cell>
          <cell r="J80">
            <v>0.25171186216802338</v>
          </cell>
          <cell r="K80">
            <v>0.34417523837714459</v>
          </cell>
          <cell r="L80">
            <v>0.4563528310379103</v>
          </cell>
          <cell r="M80">
            <v>0.47963251195515055</v>
          </cell>
          <cell r="N80">
            <v>0.50409971220571992</v>
          </cell>
          <cell r="O80">
            <v>0.52981558070469414</v>
          </cell>
          <cell r="P80">
            <v>0.55684605805402743</v>
          </cell>
        </row>
        <row r="81">
          <cell r="B81" t="str">
            <v>D-RES_LTH</v>
          </cell>
          <cell r="C81" t="str">
            <v>VAR_fout</v>
          </cell>
          <cell r="D81" t="str">
            <v>RHEM_LTH_DH</v>
          </cell>
          <cell r="E81">
            <v>2.0593118571327524</v>
          </cell>
          <cell r="F81">
            <v>3.8269937798009956</v>
          </cell>
          <cell r="G81">
            <v>4.0807988130988351</v>
          </cell>
          <cell r="H81">
            <v>3.1974943807889198</v>
          </cell>
          <cell r="I81">
            <v>3.137650368840831</v>
          </cell>
          <cell r="J81">
            <v>3.6675652971105595</v>
          </cell>
          <cell r="K81">
            <v>3.0807316653539125</v>
          </cell>
          <cell r="L81">
            <v>3.7299816060798991</v>
          </cell>
          <cell r="M81">
            <v>3.5947519015511427</v>
          </cell>
          <cell r="N81">
            <v>3.456818444171502</v>
          </cell>
          <cell r="O81">
            <v>3.4581641624281918</v>
          </cell>
          <cell r="P81">
            <v>2.3348782907264232</v>
          </cell>
        </row>
        <row r="82">
          <cell r="B82" t="str">
            <v>D-RES_LTH</v>
          </cell>
          <cell r="C82" t="str">
            <v>VAR_fout</v>
          </cell>
          <cell r="D82" t="str">
            <v>RHES_LTH_DH</v>
          </cell>
          <cell r="E82">
            <v>1.9108561957559411</v>
          </cell>
          <cell r="F82">
            <v>3.5391862912596723</v>
          </cell>
          <cell r="G82">
            <v>3.5268517930733649</v>
          </cell>
          <cell r="H82">
            <v>1.755855569162788</v>
          </cell>
          <cell r="I82">
            <v>1.8164587593480133</v>
          </cell>
          <cell r="J82">
            <v>2.6705970584938816</v>
          </cell>
          <cell r="K82">
            <v>1.8026808172623188</v>
          </cell>
          <cell r="L82">
            <v>2.5793335965206805</v>
          </cell>
          <cell r="M82">
            <v>2.4124739846461019</v>
          </cell>
          <cell r="N82">
            <v>2.2792934381425245</v>
          </cell>
          <cell r="O82">
            <v>2.2801731526415057</v>
          </cell>
          <cell r="P82">
            <v>2.1245766152901355</v>
          </cell>
        </row>
        <row r="83">
          <cell r="B83" t="str">
            <v>D-RES_LTH</v>
          </cell>
          <cell r="C83" t="str">
            <v>VAR_fout</v>
          </cell>
          <cell r="D83" t="str">
            <v>RHSA_LTH</v>
          </cell>
          <cell r="E83">
            <v>4.3698337086883337</v>
          </cell>
          <cell r="F83">
            <v>1.8303279616802648</v>
          </cell>
          <cell r="G83">
            <v>1.8303280753634681</v>
          </cell>
          <cell r="H83">
            <v>1.8303281871991439</v>
          </cell>
          <cell r="I83">
            <v>1.8303283398092705</v>
          </cell>
          <cell r="J83">
            <v>1.8303285813103611</v>
          </cell>
          <cell r="K83">
            <v>1.8303285284631488</v>
          </cell>
          <cell r="L83">
            <v>1.8303286193661605</v>
          </cell>
          <cell r="M83">
            <v>1.8303306927507472</v>
          </cell>
          <cell r="N83">
            <v>1.8303325083975222</v>
          </cell>
          <cell r="O83">
            <v>1.8303343591013042</v>
          </cell>
          <cell r="P83">
            <v>1.8303399504034943</v>
          </cell>
        </row>
        <row r="84">
          <cell r="B84" t="str">
            <v>D-RES_LTH</v>
          </cell>
          <cell r="C84" t="str">
            <v>VAR_fout</v>
          </cell>
          <cell r="D84" t="str">
            <v>RHNM_LTH_DH</v>
          </cell>
          <cell r="F84">
            <v>0.35008163374405321</v>
          </cell>
          <cell r="G84">
            <v>0.38254370054586456</v>
          </cell>
          <cell r="H84">
            <v>0.44347276514057049</v>
          </cell>
          <cell r="I84">
            <v>0.51410663521849431</v>
          </cell>
          <cell r="J84">
            <v>0.59599077249746368</v>
          </cell>
          <cell r="K84">
            <v>0.69091592670208557</v>
          </cell>
          <cell r="L84">
            <v>0.80095971862924664</v>
          </cell>
          <cell r="M84">
            <v>0.9285312463831632</v>
          </cell>
          <cell r="N84">
            <v>1.0764229995760504</v>
          </cell>
          <cell r="O84">
            <v>1.2478696343199691</v>
          </cell>
          <cell r="P84">
            <v>1.4466265588260085</v>
          </cell>
        </row>
        <row r="85">
          <cell r="B85" t="str">
            <v>D-RES_LTH</v>
          </cell>
          <cell r="C85" t="str">
            <v>VAR_fin</v>
          </cell>
          <cell r="D85" t="str">
            <v>LTH</v>
          </cell>
          <cell r="E85">
            <v>9.2187299965414784</v>
          </cell>
          <cell r="F85">
            <v>10.612637994813193</v>
          </cell>
          <cell r="G85">
            <v>10.908977876122147</v>
          </cell>
          <cell r="H85">
            <v>8.0662095693827709</v>
          </cell>
          <cell r="I85">
            <v>8.1840421448766421</v>
          </cell>
          <cell r="J85">
            <v>9.8347572243751618</v>
          </cell>
          <cell r="K85">
            <v>8.4214892297268644</v>
          </cell>
          <cell r="L85">
            <v>10.175549300117579</v>
          </cell>
          <cell r="M85">
            <v>10.011782473647726</v>
          </cell>
          <cell r="N85">
            <v>9.9048469543751843</v>
          </cell>
          <cell r="O85">
            <v>10.120757353901373</v>
          </cell>
          <cell r="P85">
            <v>8.9804133057769544</v>
          </cell>
        </row>
        <row r="86">
          <cell r="B86" t="str">
            <v>D-RES_LTH</v>
          </cell>
          <cell r="C86" t="str">
            <v>VAR_ncap</v>
          </cell>
          <cell r="D86" t="str">
            <v>-</v>
          </cell>
          <cell r="E86">
            <v>0.62767238806667702</v>
          </cell>
          <cell r="F86">
            <v>3.3066667115806303E-2</v>
          </cell>
          <cell r="G86">
            <v>3.3519917648190201E-3</v>
          </cell>
          <cell r="H86">
            <v>6.0698062946092698E-3</v>
          </cell>
          <cell r="I86">
            <v>1.4126739474622001E-2</v>
          </cell>
          <cell r="J86">
            <v>1.2395437251383101E-2</v>
          </cell>
          <cell r="K86">
            <v>1.2224433761491999E-2</v>
          </cell>
          <cell r="L86">
            <v>2.0812109516103901E-2</v>
          </cell>
          <cell r="M86">
            <v>6.5292561677515104E-3</v>
          </cell>
          <cell r="N86">
            <v>1.16926243293389E-2</v>
          </cell>
          <cell r="O86">
            <v>1.55449879552824E-2</v>
          </cell>
          <cell r="P86">
            <v>1.55363755034709E-2</v>
          </cell>
        </row>
        <row r="87">
          <cell r="B87" t="str">
            <v>D-RES_LTH</v>
          </cell>
          <cell r="C87" t="str">
            <v>VAR_cap</v>
          </cell>
          <cell r="D87" t="str">
            <v>-</v>
          </cell>
          <cell r="E87">
            <v>0.62767238806667702</v>
          </cell>
          <cell r="F87">
            <v>0.66073905518248399</v>
          </cell>
          <cell r="G87">
            <v>0.66409104694730303</v>
          </cell>
          <cell r="H87">
            <v>0.67016085324191199</v>
          </cell>
          <cell r="I87">
            <v>0.68428759271653405</v>
          </cell>
          <cell r="J87">
            <v>0.69668302996791698</v>
          </cell>
          <cell r="K87">
            <v>0.70890746372940905</v>
          </cell>
          <cell r="L87">
            <v>0.72971957324551295</v>
          </cell>
          <cell r="M87">
            <v>0.73624882941326497</v>
          </cell>
          <cell r="N87">
            <v>0.74794145374260301</v>
          </cell>
          <cell r="O87">
            <v>0.76348644169788604</v>
          </cell>
          <cell r="P87">
            <v>0.77902281720135702</v>
          </cell>
        </row>
        <row r="88">
          <cell r="B88" t="str">
            <v>RHES-SHSTG-CHPNGA</v>
          </cell>
          <cell r="C88" t="str">
            <v>VAR_fout</v>
          </cell>
          <cell r="D88" t="str">
            <v>RHES_LTH_CHPNGA</v>
          </cell>
          <cell r="E88">
            <v>6.0530086486804708E-3</v>
          </cell>
          <cell r="F88">
            <v>5.7823798508327661E-5</v>
          </cell>
          <cell r="G88">
            <v>2.2316474053631881E-3</v>
          </cell>
          <cell r="H88">
            <v>4.5083331437710357E-3</v>
          </cell>
          <cell r="I88">
            <v>6.4370590377917161E-3</v>
          </cell>
          <cell r="J88">
            <v>1.0642473351895002E-3</v>
          </cell>
          <cell r="K88">
            <v>1.0329166027784035E-4</v>
          </cell>
          <cell r="L88">
            <v>1.3098038403563415E-4</v>
          </cell>
          <cell r="M88">
            <v>1.4011333278187083E-3</v>
          </cell>
          <cell r="N88">
            <v>2.8546944975211459E-3</v>
          </cell>
          <cell r="O88">
            <v>2.0070867327865102E-3</v>
          </cell>
          <cell r="P88">
            <v>5.1218863072379937E-3</v>
          </cell>
        </row>
        <row r="89">
          <cell r="B89" t="str">
            <v>RHES-SHSTG-CHPNGA</v>
          </cell>
          <cell r="C89" t="str">
            <v>VAR_fout</v>
          </cell>
          <cell r="D89" t="str">
            <v>AUX_RES_CHPNGA_OUT</v>
          </cell>
          <cell r="E89">
            <v>6.0530086486804873E-3</v>
          </cell>
          <cell r="F89">
            <v>5.7785274991666635E-5</v>
          </cell>
          <cell r="G89">
            <v>2.2293251916219166E-3</v>
          </cell>
          <cell r="H89">
            <v>4.5083331437710357E-3</v>
          </cell>
          <cell r="I89">
            <v>6.4311480561224993E-3</v>
          </cell>
          <cell r="J89">
            <v>1.0642473351895037E-3</v>
          </cell>
          <cell r="K89">
            <v>1.0320734055516483E-4</v>
          </cell>
          <cell r="L89">
            <v>1.3098038403563426E-4</v>
          </cell>
          <cell r="M89">
            <v>1.4011333278187096E-3</v>
          </cell>
          <cell r="N89">
            <v>2.8546944975211493E-3</v>
          </cell>
          <cell r="O89">
            <v>2.0070867327865124E-3</v>
          </cell>
          <cell r="P89">
            <v>5.121886307237998E-3</v>
          </cell>
        </row>
        <row r="90">
          <cell r="B90" t="str">
            <v>RHES-SHSTG-CHPNGA</v>
          </cell>
          <cell r="C90" t="str">
            <v>VAR_fin</v>
          </cell>
          <cell r="D90" t="str">
            <v>RHES_LTH_CHPNGA</v>
          </cell>
          <cell r="E90">
            <v>8.074447270042192E-3</v>
          </cell>
          <cell r="F90">
            <v>7.5953194655741147E-5</v>
          </cell>
          <cell r="G90">
            <v>2.8794902687462945E-3</v>
          </cell>
          <cell r="H90">
            <v>5.6352726142463241E-3</v>
          </cell>
          <cell r="I90">
            <v>7.8021416194199635E-3</v>
          </cell>
          <cell r="J90">
            <v>1.2520511927863465E-3</v>
          </cell>
          <cell r="K90">
            <v>8.569820759846761E-5</v>
          </cell>
          <cell r="L90">
            <v>1.1181954343571668E-4</v>
          </cell>
          <cell r="M90">
            <v>1.5568148086836553E-3</v>
          </cell>
          <cell r="N90">
            <v>3.1728381300363817E-3</v>
          </cell>
          <cell r="O90">
            <v>2.2303609759634652E-3</v>
          </cell>
          <cell r="P90">
            <v>5.6919620121947886E-3</v>
          </cell>
        </row>
        <row r="91">
          <cell r="B91" t="str">
            <v>RHES-SHSTG-CHPNGA</v>
          </cell>
          <cell r="C91" t="str">
            <v>VAR_fin</v>
          </cell>
          <cell r="D91" t="str">
            <v>AUX_RES_CHPNGA_IN</v>
          </cell>
          <cell r="E91">
            <v>8.074447270042192E-3</v>
          </cell>
          <cell r="F91">
            <v>7.5953194655741147E-5</v>
          </cell>
          <cell r="G91">
            <v>2.8794902687462945E-3</v>
          </cell>
          <cell r="H91">
            <v>5.6352726142463241E-3</v>
          </cell>
          <cell r="I91">
            <v>7.8021416194199635E-3</v>
          </cell>
          <cell r="J91">
            <v>1.2520511927863465E-3</v>
          </cell>
          <cell r="K91">
            <v>8.569820759846761E-5</v>
          </cell>
          <cell r="L91">
            <v>1.1181954343571668E-4</v>
          </cell>
          <cell r="M91">
            <v>1.5568148086836553E-3</v>
          </cell>
          <cell r="N91">
            <v>3.1728381300363817E-3</v>
          </cell>
          <cell r="O91">
            <v>2.2303609759634652E-3</v>
          </cell>
          <cell r="P91">
            <v>5.6919620121947886E-3</v>
          </cell>
        </row>
        <row r="92">
          <cell r="B92" t="str">
            <v>RHES-SHSTG-CHPNGA</v>
          </cell>
          <cell r="C92" t="str">
            <v>VAR_ncap</v>
          </cell>
          <cell r="D92" t="str">
            <v>-</v>
          </cell>
          <cell r="E92">
            <v>2.2333155398938502E-3</v>
          </cell>
          <cell r="F92">
            <v>1.3287262840529499E-5</v>
          </cell>
          <cell r="G92">
            <v>1.3842474506658499E-5</v>
          </cell>
          <cell r="H92">
            <v>1.16506304523576E-5</v>
          </cell>
          <cell r="I92">
            <v>9.0480637837009196E-4</v>
          </cell>
          <cell r="J92">
            <v>1.8520459032869899E-4</v>
          </cell>
          <cell r="K92">
            <v>2.31350493734355E-5</v>
          </cell>
          <cell r="L92">
            <v>1.31305510407781E-3</v>
          </cell>
          <cell r="M92">
            <v>1.5959305281357001E-4</v>
          </cell>
          <cell r="N92">
            <v>1.4451869491311599E-3</v>
          </cell>
          <cell r="O92">
            <v>4.5304556263682202E-4</v>
          </cell>
          <cell r="P92">
            <v>2.98826812713708E-3</v>
          </cell>
        </row>
        <row r="93">
          <cell r="B93" t="str">
            <v>RHES-SHSTG-CHPNGA</v>
          </cell>
          <cell r="C93" t="str">
            <v>VAR_cap</v>
          </cell>
          <cell r="D93" t="str">
            <v>-</v>
          </cell>
          <cell r="E93">
            <v>2.2333155398938502E-3</v>
          </cell>
          <cell r="F93">
            <v>2.2409890849041754E-3</v>
          </cell>
          <cell r="G93">
            <v>2.2399362865404959E-3</v>
          </cell>
          <cell r="H93">
            <v>2.2034806596447501E-3</v>
          </cell>
          <cell r="I93">
            <v>1.4825550744284397E-3</v>
          </cell>
          <cell r="J93">
            <v>1.0928800068812435E-3</v>
          </cell>
          <cell r="K93">
            <v>1.0904123207067403E-3</v>
          </cell>
          <cell r="L93">
            <v>1.5010526617961237E-3</v>
          </cell>
          <cell r="M93">
            <v>1.4994001878527474E-3</v>
          </cell>
          <cell r="N93">
            <v>2.8948743929907406E-3</v>
          </cell>
          <cell r="O93">
            <v>2.2038508436217625E-3</v>
          </cell>
          <cell r="P93">
            <v>4.8645859911747875E-3</v>
          </cell>
        </row>
        <row r="94">
          <cell r="B94" t="str">
            <v>RHNS-CHPWOD</v>
          </cell>
          <cell r="C94" t="str">
            <v>VAR_fout</v>
          </cell>
          <cell r="D94" t="str">
            <v>RHNS_LTH_CHPWOD</v>
          </cell>
          <cell r="H94">
            <v>8.4199741286903284E-4</v>
          </cell>
          <cell r="I94">
            <v>1.2977019636510334E-3</v>
          </cell>
          <cell r="J94">
            <v>4.9410258727202467E-3</v>
          </cell>
          <cell r="K94">
            <v>4.2339415586248571E-3</v>
          </cell>
          <cell r="L94">
            <v>7.2822488847157432E-3</v>
          </cell>
          <cell r="M94">
            <v>3.4237265610791768E-3</v>
          </cell>
          <cell r="N94">
            <v>3.595522390936226E-3</v>
          </cell>
          <cell r="O94">
            <v>1.81484719994316E-3</v>
          </cell>
          <cell r="P94">
            <v>4.5031828795125016E-3</v>
          </cell>
        </row>
        <row r="95">
          <cell r="B95" t="str">
            <v>RHNS-CHPWOD</v>
          </cell>
          <cell r="C95" t="str">
            <v>VAR_fout</v>
          </cell>
          <cell r="D95" t="str">
            <v>RHNS_KEV_WOD_ELC_CHP</v>
          </cell>
          <cell r="H95">
            <v>3.1190081832656606E-4</v>
          </cell>
          <cell r="I95">
            <v>4.9084880598934514E-4</v>
          </cell>
          <cell r="J95">
            <v>1.9091949027878728E-3</v>
          </cell>
          <cell r="K95">
            <v>1.6690970319601561E-3</v>
          </cell>
          <cell r="L95">
            <v>2.9301093663830526E-3</v>
          </cell>
          <cell r="M95">
            <v>1.3775817640080735E-3</v>
          </cell>
          <cell r="N95">
            <v>1.4467060933380132E-3</v>
          </cell>
          <cell r="O95">
            <v>7.3022782704783718E-4</v>
          </cell>
          <cell r="P95">
            <v>1.8119153221320373E-3</v>
          </cell>
        </row>
        <row r="96">
          <cell r="B96" t="str">
            <v>RHNS-CHPWOD</v>
          </cell>
          <cell r="C96" t="str">
            <v>VAR_fin</v>
          </cell>
          <cell r="D96" t="str">
            <v>RWOD</v>
          </cell>
          <cell r="H96">
            <v>1.7249777611038574E-3</v>
          </cell>
          <cell r="I96">
            <v>2.585764134870815E-3</v>
          </cell>
          <cell r="J96">
            <v>8.2225018835905654E-3</v>
          </cell>
          <cell r="K96">
            <v>6.7605575544033162E-3</v>
          </cell>
          <cell r="L96">
            <v>1.1290531540072778E-2</v>
          </cell>
          <cell r="M96">
            <v>5.4198429467827991E-3</v>
          </cell>
          <cell r="N96">
            <v>6.541418932458104E-3</v>
          </cell>
          <cell r="O96">
            <v>3.0635835682293272E-3</v>
          </cell>
          <cell r="P96">
            <v>8.3773607241186994E-3</v>
          </cell>
        </row>
        <row r="97">
          <cell r="B97" t="str">
            <v>RHNS-CHPWOD</v>
          </cell>
          <cell r="C97" t="str">
            <v>VAR_ncap</v>
          </cell>
          <cell r="D97" t="str">
            <v>-</v>
          </cell>
          <cell r="H97">
            <v>2.7926878348259699E-5</v>
          </cell>
          <cell r="I97">
            <v>1.5942222170740498E-5</v>
          </cell>
          <cell r="J97">
            <v>1.31295089936958E-4</v>
          </cell>
          <cell r="K97">
            <v>1.29555117698636E-6</v>
          </cell>
          <cell r="L97">
            <v>1.27992499704159E-4</v>
          </cell>
          <cell r="M97">
            <v>2.1646788033928899E-7</v>
          </cell>
          <cell r="N97">
            <v>1.9893914664451401E-6</v>
          </cell>
          <cell r="O97">
            <v>4.0792126953838499E-5</v>
          </cell>
          <cell r="P97">
            <v>1.1947908024056099E-4</v>
          </cell>
        </row>
        <row r="98">
          <cell r="B98" t="str">
            <v>RHNS-CHPWOD</v>
          </cell>
          <cell r="C98" t="str">
            <v>VAR_cap</v>
          </cell>
          <cell r="D98" t="str">
            <v>-</v>
          </cell>
          <cell r="H98">
            <v>2.7926878348259699E-5</v>
          </cell>
          <cell r="I98">
            <v>4.3856486399929646E-5</v>
          </cell>
          <cell r="J98">
            <v>1.6974264252777823E-4</v>
          </cell>
          <cell r="K98">
            <v>1.4843075847240293E-4</v>
          </cell>
          <cell r="L98">
            <v>2.6051437008399822E-4</v>
          </cell>
          <cell r="M98">
            <v>1.3017937445886381E-4</v>
          </cell>
          <cell r="N98">
            <v>1.2995510065572129E-4</v>
          </cell>
          <cell r="O98">
            <v>6.542904889354015E-5</v>
          </cell>
          <cell r="P98">
            <v>1.6213883458479281E-4</v>
          </cell>
        </row>
        <row r="99">
          <cell r="B99" t="str">
            <v>D-ICOA</v>
          </cell>
          <cell r="C99" t="str">
            <v>VAR_fout</v>
          </cell>
          <cell r="D99" t="str">
            <v>ICOA</v>
          </cell>
          <cell r="E99">
            <v>3.5600028325641038</v>
          </cell>
          <cell r="F99">
            <v>3.4647171086466249</v>
          </cell>
          <cell r="G99">
            <v>0.54004899139227924</v>
          </cell>
          <cell r="H99">
            <v>2.6735405715085325E-4</v>
          </cell>
          <cell r="I99">
            <v>1.6295852648125556E-4</v>
          </cell>
          <cell r="J99">
            <v>1.0140654488555371E-3</v>
          </cell>
          <cell r="K99">
            <v>6.2856077447267849E-4</v>
          </cell>
          <cell r="L99">
            <v>3.7613076015022593E-4</v>
          </cell>
          <cell r="M99">
            <v>2.8935843068367116E-4</v>
          </cell>
          <cell r="N99">
            <v>6.2114297043794483E-4</v>
          </cell>
          <cell r="O99">
            <v>3.275712252769094E-4</v>
          </cell>
          <cell r="P99">
            <v>1.3090628940185694E-4</v>
          </cell>
        </row>
        <row r="100">
          <cell r="B100" t="str">
            <v>D-ICOA</v>
          </cell>
          <cell r="C100" t="str">
            <v>VAR_fout</v>
          </cell>
          <cell r="D100" t="str">
            <v>CO2</v>
          </cell>
          <cell r="E100">
            <v>330.012262578692</v>
          </cell>
          <cell r="F100">
            <v>321.17927597154198</v>
          </cell>
          <cell r="G100">
            <v>50.062541502064299</v>
          </cell>
          <cell r="H100">
            <v>2.4783721097884098E-2</v>
          </cell>
          <cell r="I100">
            <v>1.51062554048124E-2</v>
          </cell>
          <cell r="J100">
            <v>9.4003867108908207E-2</v>
          </cell>
          <cell r="K100">
            <v>5.8267583793617198E-2</v>
          </cell>
          <cell r="L100">
            <v>3.4867321465925902E-2</v>
          </cell>
          <cell r="M100">
            <v>2.68235265243763E-2</v>
          </cell>
          <cell r="N100">
            <v>5.7579953359597501E-2</v>
          </cell>
          <cell r="O100">
            <v>3.0365852583169501E-2</v>
          </cell>
          <cell r="P100">
            <v>1.21350130275521E-2</v>
          </cell>
        </row>
        <row r="101">
          <cell r="B101" t="str">
            <v>D-ICOA</v>
          </cell>
          <cell r="C101" t="str">
            <v>VAR_fin</v>
          </cell>
          <cell r="D101" t="str">
            <v>COA</v>
          </cell>
          <cell r="E101">
            <v>3.5600028325641038</v>
          </cell>
          <cell r="F101">
            <v>3.4647171086466249</v>
          </cell>
          <cell r="G101">
            <v>0.54004899139227924</v>
          </cell>
          <cell r="H101">
            <v>2.6735405715085325E-4</v>
          </cell>
          <cell r="I101">
            <v>1.6295852648125556E-4</v>
          </cell>
          <cell r="J101">
            <v>1.0140654488555371E-3</v>
          </cell>
          <cell r="K101">
            <v>6.2856077447267849E-4</v>
          </cell>
          <cell r="L101">
            <v>3.7613076015022593E-4</v>
          </cell>
          <cell r="M101">
            <v>2.8935843068367116E-4</v>
          </cell>
          <cell r="N101">
            <v>6.2114297043794483E-4</v>
          </cell>
          <cell r="O101">
            <v>3.275712252769094E-4</v>
          </cell>
          <cell r="P101">
            <v>1.3090628940185694E-4</v>
          </cell>
        </row>
        <row r="102">
          <cell r="B102" t="str">
            <v>RHNM-SHSTG-CHPWOD</v>
          </cell>
          <cell r="C102" t="str">
            <v>VAR_fout</v>
          </cell>
          <cell r="D102" t="str">
            <v>RHNM_LTH_CHPWOD</v>
          </cell>
          <cell r="E102">
            <v>4.8542169967124993E-5</v>
          </cell>
          <cell r="F102">
            <v>3.9772651843003299E-5</v>
          </cell>
          <cell r="G102">
            <v>5.3151730488286295E-5</v>
          </cell>
          <cell r="H102">
            <v>6.5876351057921599E-4</v>
          </cell>
          <cell r="I102">
            <v>7.0944846231534324E-4</v>
          </cell>
          <cell r="J102">
            <v>3.626340040959256E-3</v>
          </cell>
          <cell r="K102">
            <v>2.8559368813071756E-3</v>
          </cell>
          <cell r="L102">
            <v>1.6890212708433969E-3</v>
          </cell>
          <cell r="M102">
            <v>2.0876369236476327E-3</v>
          </cell>
          <cell r="N102">
            <v>3.5096697123172278E-3</v>
          </cell>
          <cell r="O102">
            <v>2.9849587186549652E-3</v>
          </cell>
          <cell r="P102">
            <v>6.7522560765511273E-3</v>
          </cell>
        </row>
        <row r="103">
          <cell r="B103" t="str">
            <v>RHNM-SHSTG-CHPWOD</v>
          </cell>
          <cell r="C103" t="str">
            <v>VAR_fout</v>
          </cell>
          <cell r="D103" t="str">
            <v>AUX_RNM-CHPWOD_OUT</v>
          </cell>
          <cell r="E103">
            <v>4.8542169967125122E-5</v>
          </cell>
          <cell r="F103">
            <v>3.9746154406732173E-5</v>
          </cell>
          <cell r="G103">
            <v>5.3096421715665848E-5</v>
          </cell>
          <cell r="H103">
            <v>6.5876351057921599E-4</v>
          </cell>
          <cell r="I103">
            <v>7.0879699448952679E-4</v>
          </cell>
          <cell r="J103">
            <v>3.6263400409592686E-3</v>
          </cell>
          <cell r="K103">
            <v>2.8536055042612178E-3</v>
          </cell>
          <cell r="L103">
            <v>1.6890212708433982E-3</v>
          </cell>
          <cell r="M103">
            <v>2.0876369236476344E-3</v>
          </cell>
          <cell r="N103">
            <v>3.5096697123172317E-3</v>
          </cell>
          <cell r="O103">
            <v>2.9849587186549674E-3</v>
          </cell>
          <cell r="P103">
            <v>6.7522560765511368E-3</v>
          </cell>
        </row>
        <row r="104">
          <cell r="B104" t="str">
            <v>RHNM-SHSTG-CHPWOD</v>
          </cell>
          <cell r="C104" t="str">
            <v>VAR_fin</v>
          </cell>
          <cell r="D104" t="str">
            <v>RHNM_LTH_CHPWOD</v>
          </cell>
          <cell r="E104">
            <v>3.8548783548397942E-5</v>
          </cell>
          <cell r="F104">
            <v>2.4948075664947061E-5</v>
          </cell>
          <cell r="G104">
            <v>4.2445918657377421E-5</v>
          </cell>
          <cell r="H104">
            <v>8.234542264994372E-4</v>
          </cell>
          <cell r="I104">
            <v>8.602034188697422E-4</v>
          </cell>
          <cell r="J104">
            <v>4.2665827633206407E-3</v>
          </cell>
          <cell r="K104">
            <v>3.2648645163473214E-3</v>
          </cell>
          <cell r="L104">
            <v>1.8777283989516562E-3</v>
          </cell>
          <cell r="M104">
            <v>2.3198844970377937E-3</v>
          </cell>
          <cell r="N104">
            <v>3.9007977615772705E-3</v>
          </cell>
          <cell r="O104">
            <v>3.3169320945744588E-3</v>
          </cell>
          <cell r="P104">
            <v>7.5038070385306573E-3</v>
          </cell>
        </row>
        <row r="105">
          <cell r="B105" t="str">
            <v>RHNM-SHSTG-CHPWOD</v>
          </cell>
          <cell r="C105" t="str">
            <v>VAR_fin</v>
          </cell>
          <cell r="D105" t="str">
            <v>AUX_RNM-CHPWOD_IN</v>
          </cell>
          <cell r="E105">
            <v>3.8548783548397942E-5</v>
          </cell>
          <cell r="F105">
            <v>2.4948075664947061E-5</v>
          </cell>
          <cell r="G105">
            <v>4.2445918657377421E-5</v>
          </cell>
          <cell r="H105">
            <v>8.234542264994372E-4</v>
          </cell>
          <cell r="I105">
            <v>8.602034188697422E-4</v>
          </cell>
          <cell r="J105">
            <v>4.2665827633206407E-3</v>
          </cell>
          <cell r="K105">
            <v>3.2648645163473214E-3</v>
          </cell>
          <cell r="L105">
            <v>1.8777283989516562E-3</v>
          </cell>
          <cell r="M105">
            <v>2.3198844970377937E-3</v>
          </cell>
          <cell r="N105">
            <v>3.9007977615772705E-3</v>
          </cell>
          <cell r="O105">
            <v>3.3169320945744588E-3</v>
          </cell>
          <cell r="P105">
            <v>7.5038070385306573E-3</v>
          </cell>
        </row>
        <row r="106">
          <cell r="B106" t="str">
            <v>RHNM-SHSTG-CHPWOD</v>
          </cell>
          <cell r="C106" t="str">
            <v>VAR_ncap</v>
          </cell>
          <cell r="D106" t="str">
            <v>-</v>
          </cell>
          <cell r="E106">
            <v>1.43072611328828E-3</v>
          </cell>
          <cell r="F106">
            <v>3.3529859093926203E-5</v>
          </cell>
          <cell r="G106">
            <v>6.0041847306084402E-5</v>
          </cell>
          <cell r="H106">
            <v>5.1229862730348499E-5</v>
          </cell>
          <cell r="I106">
            <v>1.6331059767660499E-3</v>
          </cell>
          <cell r="J106">
            <v>6.8700102354968804E-4</v>
          </cell>
          <cell r="K106">
            <v>1.26161820302288E-4</v>
          </cell>
          <cell r="L106">
            <v>2.62816297406105E-3</v>
          </cell>
          <cell r="M106">
            <v>6.1979704767039701E-5</v>
          </cell>
          <cell r="N106">
            <v>1.98526643210059E-3</v>
          </cell>
          <cell r="O106">
            <v>1.06597862611083E-3</v>
          </cell>
          <cell r="P106">
            <v>4.7762075511000503E-3</v>
          </cell>
        </row>
        <row r="107">
          <cell r="B107" t="str">
            <v>RHNM-SHSTG-CHPWOD</v>
          </cell>
          <cell r="C107" t="str">
            <v>VAR_cap</v>
          </cell>
          <cell r="D107" t="str">
            <v>-</v>
          </cell>
          <cell r="E107">
            <v>1.43072611328828E-3</v>
          </cell>
          <cell r="F107">
            <v>1.4605831163821742E-3</v>
          </cell>
          <cell r="G107">
            <v>1.5109293088648172E-3</v>
          </cell>
          <cell r="H107">
            <v>1.54640339154801E-3</v>
          </cell>
          <cell r="I107">
            <v>2.0932988001821145E-3</v>
          </cell>
          <cell r="J107">
            <v>2.3481268713412148E-3</v>
          </cell>
          <cell r="K107">
            <v>2.4228283811298995E-3</v>
          </cell>
          <cell r="L107">
            <v>3.4157901594852017E-3</v>
          </cell>
          <cell r="M107">
            <v>2.8517015641707751E-3</v>
          </cell>
          <cell r="N107">
            <v>4.638632913875132E-3</v>
          </cell>
          <cell r="O107">
            <v>3.5085668344528678E-3</v>
          </cell>
          <cell r="P107">
            <v>7.7936766329404087E-3</v>
          </cell>
        </row>
        <row r="108">
          <cell r="B108" t="str">
            <v>ENGA-CCS</v>
          </cell>
          <cell r="C108" t="str">
            <v>VAR_fout</v>
          </cell>
          <cell r="D108" t="str">
            <v>CO2_O</v>
          </cell>
          <cell r="J108"/>
          <cell r="K108">
            <v>2.8418549212220806E-4</v>
          </cell>
          <cell r="L108">
            <v>7.9230558300299823E-3</v>
          </cell>
          <cell r="M108">
            <v>4.4428734557800231</v>
          </cell>
          <cell r="N108">
            <v>4.9456949342713425</v>
          </cell>
          <cell r="O108">
            <v>4.8210114045922303</v>
          </cell>
          <cell r="P108">
            <v>4.8700327355606952</v>
          </cell>
        </row>
        <row r="109">
          <cell r="B109" t="str">
            <v>ENGA-CCS</v>
          </cell>
          <cell r="C109" t="str">
            <v>VAR_fout</v>
          </cell>
          <cell r="D109" t="str">
            <v>CO2</v>
          </cell>
          <cell r="J109"/>
          <cell r="K109">
            <v>-2.8418549212220801E-4</v>
          </cell>
          <cell r="L109">
            <v>-7.9230558300299805E-3</v>
          </cell>
          <cell r="M109">
            <v>-4.4428734557800196</v>
          </cell>
          <cell r="N109">
            <v>-4.9456949342713399</v>
          </cell>
          <cell r="O109">
            <v>-4.8210114045922303</v>
          </cell>
          <cell r="P109">
            <v>-4.8700327355606996</v>
          </cell>
        </row>
        <row r="110">
          <cell r="B110" t="str">
            <v>ENGA-CCS</v>
          </cell>
          <cell r="C110" t="str">
            <v>VAR_fout</v>
          </cell>
          <cell r="D110" t="str">
            <v>ELC13</v>
          </cell>
          <cell r="J110"/>
          <cell r="K110">
            <v>3.0996157624170546E-6</v>
          </cell>
          <cell r="L110">
            <v>8.6813305970923833E-5</v>
          </cell>
          <cell r="M110">
            <v>4.8680779358494949E-2</v>
          </cell>
          <cell r="N110">
            <v>5.4190218619994394E-2</v>
          </cell>
          <cell r="O110">
            <v>5.2824055154309692E-2</v>
          </cell>
          <cell r="P110">
            <v>5.3361184248911932E-2</v>
          </cell>
        </row>
        <row r="111">
          <cell r="B111" t="str">
            <v>ENGA-CCS</v>
          </cell>
          <cell r="C111" t="str">
            <v>VAR_fout</v>
          </cell>
          <cell r="D111" t="str">
            <v>CO2_E</v>
          </cell>
          <cell r="J111"/>
          <cell r="K111">
            <v>5.7181996334956504E-4</v>
          </cell>
          <cell r="L111">
            <v>2.0051991672262199E-2</v>
          </cell>
          <cell r="M111">
            <v>5.01117906269649</v>
          </cell>
          <cell r="N111">
            <v>5.6116286996589704</v>
          </cell>
          <cell r="O111">
            <v>5.4692519251221503</v>
          </cell>
          <cell r="P111">
            <v>5.5497292478768596</v>
          </cell>
        </row>
        <row r="112">
          <cell r="B112" t="str">
            <v>ENGA-CCS</v>
          </cell>
          <cell r="C112" t="str">
            <v>VAR_fin</v>
          </cell>
          <cell r="D112" t="str">
            <v>ENGA</v>
          </cell>
          <cell r="J112"/>
          <cell r="K112">
            <v>1.0138651832439108E-5</v>
          </cell>
          <cell r="L112">
            <v>3.5553176723869182E-4</v>
          </cell>
          <cell r="M112">
            <v>8.8850692601001632E-2</v>
          </cell>
          <cell r="N112">
            <v>9.9496962759910795E-2</v>
          </cell>
          <cell r="O112">
            <v>9.6972551863867759E-2</v>
          </cell>
          <cell r="P112">
            <v>9.8399454749589527E-2</v>
          </cell>
        </row>
        <row r="113">
          <cell r="B113" t="str">
            <v>ENGA-CCS</v>
          </cell>
          <cell r="C113" t="str">
            <v>VAR_fin</v>
          </cell>
          <cell r="D113" t="str">
            <v>GTC</v>
          </cell>
          <cell r="J113"/>
          <cell r="K113">
            <v>1.8921119094625799E-6</v>
          </cell>
          <cell r="L113">
            <v>3.9297094927572203E-6</v>
          </cell>
          <cell r="M113">
            <v>2.5908526203598692E-3</v>
          </cell>
          <cell r="N113">
            <v>4.7045487768996447E-3</v>
          </cell>
          <cell r="O113">
            <v>4.704717431955191E-3</v>
          </cell>
          <cell r="P113">
            <v>4.7035978382031426E-3</v>
          </cell>
        </row>
        <row r="114">
          <cell r="B114" t="str">
            <v>ENGA-CCS</v>
          </cell>
          <cell r="C114" t="str">
            <v>VAR_ncap</v>
          </cell>
          <cell r="D114" t="str">
            <v>-</v>
          </cell>
          <cell r="J114"/>
          <cell r="K114">
            <v>3.9297094927572203E-6</v>
          </cell>
          <cell r="L114"/>
          <cell r="M114">
            <v>4.7020925266111104E-3</v>
          </cell>
          <cell r="N114">
            <v>8.1112107671710102E-7</v>
          </cell>
          <cell r="O114">
            <v>1.60016408023792E-6</v>
          </cell>
        </row>
        <row r="115">
          <cell r="B115" t="str">
            <v>ENGA-CCS</v>
          </cell>
          <cell r="C115" t="str">
            <v>VAR_cap</v>
          </cell>
          <cell r="D115" t="str">
            <v>-</v>
          </cell>
          <cell r="J115"/>
          <cell r="K115">
            <v>1.8921119094625799E-6</v>
          </cell>
          <cell r="L115">
            <v>3.9297094927572203E-6</v>
          </cell>
          <cell r="M115">
            <v>2.5908526203598718E-3</v>
          </cell>
          <cell r="N115">
            <v>4.7045487768996369E-3</v>
          </cell>
          <cell r="O115">
            <v>4.7047174319551858E-3</v>
          </cell>
          <cell r="P115">
            <v>4.70359783820314E-3</v>
          </cell>
        </row>
        <row r="116">
          <cell r="B116" t="str">
            <v>CHPWSTCCS</v>
          </cell>
          <cell r="C116" t="str">
            <v>VAR_fout</v>
          </cell>
          <cell r="D116" t="str">
            <v>ELC35</v>
          </cell>
          <cell r="J116">
            <v>0.31663745220480072</v>
          </cell>
          <cell r="K116">
            <v>0.70631466610864024</v>
          </cell>
          <cell r="L116">
            <v>0.7188691391754839</v>
          </cell>
          <cell r="M116">
            <v>0.71175169275889505</v>
          </cell>
          <cell r="N116">
            <v>0.71175171248670444</v>
          </cell>
          <cell r="O116">
            <v>0.71175162788972757</v>
          </cell>
          <cell r="P116">
            <v>0.71175169581288034</v>
          </cell>
        </row>
        <row r="117">
          <cell r="B117" t="str">
            <v>CHPWSTCCS</v>
          </cell>
          <cell r="C117" t="str">
            <v>VAR_fout</v>
          </cell>
          <cell r="D117" t="str">
            <v>CO2_O</v>
          </cell>
          <cell r="J117">
            <v>542.08489995502964</v>
          </cell>
          <cell r="K117">
            <v>1143.8529487899534</v>
          </cell>
          <cell r="L117">
            <v>1099.4970359774347</v>
          </cell>
          <cell r="M117">
            <v>1088.611033487826</v>
          </cell>
          <cell r="N117">
            <v>1088.6110636611459</v>
          </cell>
          <cell r="O117">
            <v>1088.6109342716366</v>
          </cell>
          <cell r="P117">
            <v>1088.611038158841</v>
          </cell>
        </row>
        <row r="118">
          <cell r="B118" t="str">
            <v>CHPWSTCCS</v>
          </cell>
          <cell r="C118" t="str">
            <v>VAR_fout</v>
          </cell>
          <cell r="D118" t="str">
            <v>CO2</v>
          </cell>
          <cell r="J118">
            <v>-542.08489995502998</v>
          </cell>
          <cell r="K118">
            <v>-1143.85294878995</v>
          </cell>
          <cell r="L118">
            <v>-1099.49703597744</v>
          </cell>
          <cell r="M118">
            <v>-1088.6110334878299</v>
          </cell>
          <cell r="N118">
            <v>-1088.61106366115</v>
          </cell>
          <cell r="O118">
            <v>-1088.61093427164</v>
          </cell>
          <cell r="P118">
            <v>-1088.6110381588401</v>
          </cell>
        </row>
        <row r="119">
          <cell r="B119" t="str">
            <v>CHPWSTCCS</v>
          </cell>
          <cell r="C119" t="str">
            <v>VAR_fout</v>
          </cell>
          <cell r="D119" t="str">
            <v>LTH</v>
          </cell>
          <cell r="J119">
            <v>2.9709045869674648</v>
          </cell>
          <cell r="K119">
            <v>6.442532532511323</v>
          </cell>
          <cell r="L119">
            <v>6.3691805730947859</v>
          </cell>
          <cell r="M119">
            <v>6.3061199978438012</v>
          </cell>
          <cell r="N119">
            <v>6.306120172632208</v>
          </cell>
          <cell r="O119">
            <v>6.3061194231029853</v>
          </cell>
          <cell r="P119">
            <v>6.3061200249021239</v>
          </cell>
        </row>
        <row r="120">
          <cell r="B120" t="str">
            <v>CHPWSTCCS</v>
          </cell>
          <cell r="C120" t="str">
            <v>VAR_fout</v>
          </cell>
          <cell r="D120" t="str">
            <v>CO2_E</v>
          </cell>
          <cell r="J120">
            <v>609.08415725284306</v>
          </cell>
          <cell r="K120">
            <v>1282.1630283142099</v>
          </cell>
          <cell r="L120">
            <v>1235.3899280645301</v>
          </cell>
          <cell r="M120">
            <v>1223.15846459306</v>
          </cell>
          <cell r="N120">
            <v>1223.1584984956701</v>
          </cell>
          <cell r="O120">
            <v>1223.1583531142001</v>
          </cell>
          <cell r="P120">
            <v>1223.1584698413999</v>
          </cell>
        </row>
        <row r="121">
          <cell r="B121" t="str">
            <v>CHPWSTCCS</v>
          </cell>
          <cell r="C121" t="str">
            <v>VAR_fin</v>
          </cell>
          <cell r="D121" t="str">
            <v>EWST</v>
          </cell>
          <cell r="J121">
            <v>6.5634068669487382</v>
          </cell>
          <cell r="K121">
            <v>13.816411943041075</v>
          </cell>
          <cell r="L121">
            <v>13.312391466212652</v>
          </cell>
          <cell r="M121">
            <v>13.180586902942483</v>
          </cell>
          <cell r="N121">
            <v>13.180587268272316</v>
          </cell>
          <cell r="O121">
            <v>13.180585701661625</v>
          </cell>
          <cell r="P121">
            <v>13.180586959497797</v>
          </cell>
        </row>
        <row r="122">
          <cell r="B122" t="str">
            <v>CHPWSTCCS</v>
          </cell>
          <cell r="C122" t="str">
            <v>VAR_ncap</v>
          </cell>
          <cell r="D122" t="str">
            <v>-</v>
          </cell>
          <cell r="J122">
            <v>1.7852751803264798E-2</v>
          </cell>
          <cell r="K122">
            <v>2.0737357845688299E-2</v>
          </cell>
          <cell r="L122">
            <v>6.8593121145552505E-4</v>
          </cell>
          <cell r="M122">
            <v>1.9392412223498899E-7</v>
          </cell>
          <cell r="N122">
            <v>7.1700525853414595E-7</v>
          </cell>
          <cell r="O122">
            <v>2.6902551083482699E-3</v>
          </cell>
          <cell r="P122">
            <v>1.4775575462692699E-2</v>
          </cell>
        </row>
        <row r="123">
          <cell r="B123" t="str">
            <v>CHPWSTCCS</v>
          </cell>
          <cell r="C123" t="str">
            <v>VAR_cap</v>
          </cell>
          <cell r="D123" t="str">
            <v>-</v>
          </cell>
          <cell r="J123">
            <v>1.7852751803264798E-2</v>
          </cell>
          <cell r="K123">
            <v>3.85900835249176E-2</v>
          </cell>
          <cell r="L123">
            <v>3.927597175114439E-2</v>
          </cell>
          <cell r="M123">
            <v>3.8939097809211759E-2</v>
          </cell>
          <cell r="N123">
            <v>3.8939566409815086E-2</v>
          </cell>
          <cell r="O123">
            <v>3.8887437430348393E-2</v>
          </cell>
          <cell r="P123">
            <v>3.8888949953128069E-2</v>
          </cell>
        </row>
        <row r="124">
          <cell r="B124" t="str">
            <v>RHNS-CHPGFC</v>
          </cell>
          <cell r="C124" t="str">
            <v>VAR_fout</v>
          </cell>
          <cell r="D124" t="str">
            <v>CO2_R</v>
          </cell>
          <cell r="J124"/>
          <cell r="K124"/>
          <cell r="L124"/>
          <cell r="M124">
            <v>4.9913026686035498E-2</v>
          </cell>
          <cell r="N124">
            <v>8.3137163269030798E-2</v>
          </cell>
          <cell r="O124">
            <v>8.2862711167734499E-2</v>
          </cell>
          <cell r="P124">
            <v>0.16780366814077499</v>
          </cell>
        </row>
        <row r="125">
          <cell r="B125" t="str">
            <v>RHNS-CHPGFC</v>
          </cell>
          <cell r="C125" t="str">
            <v>VAR_fout</v>
          </cell>
          <cell r="D125" t="str">
            <v>RHNS_LTH_CHPNGA</v>
          </cell>
          <cell r="J125"/>
          <cell r="K125"/>
          <cell r="L125"/>
          <cell r="M125">
            <v>3.9824223419709199E-4</v>
          </cell>
          <cell r="N125">
            <v>6.6332843033801287E-4</v>
          </cell>
          <cell r="O125">
            <v>6.6113865293405158E-4</v>
          </cell>
          <cell r="P125">
            <v>1.338859054314692E-3</v>
          </cell>
        </row>
        <row r="126">
          <cell r="B126" t="str">
            <v>RHNS-CHPGFC</v>
          </cell>
          <cell r="C126" t="str">
            <v>VAR_fout</v>
          </cell>
          <cell r="D126" t="str">
            <v>RHNS_NKEV_GAS_ELC_CHP</v>
          </cell>
          <cell r="J126"/>
          <cell r="K126"/>
          <cell r="L126"/>
          <cell r="M126">
            <v>3.9824223419709199E-4</v>
          </cell>
          <cell r="N126">
            <v>6.6332843033801287E-4</v>
          </cell>
          <cell r="O126">
            <v>6.6113865293405158E-4</v>
          </cell>
          <cell r="P126">
            <v>1.338859054314692E-3</v>
          </cell>
        </row>
        <row r="127">
          <cell r="B127" t="str">
            <v>RHNS-CHPGFC</v>
          </cell>
          <cell r="C127" t="str">
            <v>VAR_fin</v>
          </cell>
          <cell r="D127" t="str">
            <v>RNGA</v>
          </cell>
          <cell r="J127"/>
          <cell r="K127"/>
          <cell r="L127"/>
          <cell r="M127">
            <v>8.8498274266020458E-4</v>
          </cell>
          <cell r="N127">
            <v>1.4740631785289161E-3</v>
          </cell>
          <cell r="O127">
            <v>1.469197006520115E-3</v>
          </cell>
          <cell r="P127">
            <v>2.9752423429215392E-3</v>
          </cell>
        </row>
        <row r="128">
          <cell r="B128" t="str">
            <v>RHNS-CHPGFC</v>
          </cell>
          <cell r="C128" t="str">
            <v>VAR_ncap</v>
          </cell>
          <cell r="D128" t="str">
            <v>-</v>
          </cell>
          <cell r="J128"/>
          <cell r="K128"/>
          <cell r="L128"/>
          <cell r="M128">
            <v>3.5502679900157503E-5</v>
          </cell>
          <cell r="N128">
            <v>2.36805847993289E-5</v>
          </cell>
          <cell r="O128">
            <v>2.2000504788276199E-7</v>
          </cell>
          <cell r="P128">
            <v>6.0457561626316201E-5</v>
          </cell>
        </row>
        <row r="129">
          <cell r="B129" t="str">
            <v>RHNS-CHPGFC</v>
          </cell>
          <cell r="C129" t="str">
            <v>VAR_cap</v>
          </cell>
          <cell r="D129" t="str">
            <v>-</v>
          </cell>
          <cell r="J129"/>
          <cell r="K129"/>
          <cell r="M129">
            <v>3.5502679900157503E-5</v>
          </cell>
          <cell r="N129">
            <v>5.9162090462807777E-5</v>
          </cell>
          <cell r="O129">
            <v>5.932054267039783E-5</v>
          </cell>
          <cell r="P129">
            <v>1.1962826280999206E-4</v>
          </cell>
        </row>
        <row r="130">
          <cell r="B130" t="str">
            <v>D-ENGA</v>
          </cell>
          <cell r="C130" t="str">
            <v>VAR_fout</v>
          </cell>
          <cell r="D130" t="str">
            <v>CO2</v>
          </cell>
          <cell r="E130">
            <v>310.75001025823701</v>
          </cell>
          <cell r="F130">
            <v>105.152287795612</v>
          </cell>
          <cell r="G130">
            <v>84.243249422823197</v>
          </cell>
          <cell r="J130"/>
          <cell r="K130"/>
          <cell r="L130"/>
        </row>
        <row r="131">
          <cell r="B131" t="str">
            <v>D-ENGA</v>
          </cell>
          <cell r="C131" t="str">
            <v>VAR_fout</v>
          </cell>
          <cell r="D131" t="str">
            <v>ENGA</v>
          </cell>
          <cell r="E131">
            <v>5.703624049777857</v>
          </cell>
          <cell r="F131">
            <v>1.8585024237823822</v>
          </cell>
          <cell r="G131">
            <v>1.856127528821321</v>
          </cell>
          <cell r="J131">
            <v>8.6465910208275694E-6</v>
          </cell>
          <cell r="K131">
            <v>1.1007571061358665E-5</v>
          </cell>
          <cell r="L131">
            <v>0.11952548384121121</v>
          </cell>
          <cell r="M131">
            <v>0.12117347032768766</v>
          </cell>
          <cell r="N131">
            <v>0.12119150936613099</v>
          </cell>
          <cell r="O131">
            <v>0.12121897042482679</v>
          </cell>
          <cell r="P131">
            <v>0.1219348633479601</v>
          </cell>
        </row>
        <row r="132">
          <cell r="B132" t="str">
            <v>D-ENGA</v>
          </cell>
          <cell r="C132" t="str">
            <v>VAR_fout</v>
          </cell>
          <cell r="D132" t="str">
            <v>EH2</v>
          </cell>
          <cell r="J132">
            <v>5.108667151230425E-6</v>
          </cell>
          <cell r="K132">
            <v>3.0426759448355142E-6</v>
          </cell>
          <cell r="L132">
            <v>3.408136442704819E-3</v>
          </cell>
          <cell r="M132">
            <v>2.9833624059442659E-3</v>
          </cell>
          <cell r="N132">
            <v>2.7597800564421108E-3</v>
          </cell>
          <cell r="O132">
            <v>2.7623650555885148E-3</v>
          </cell>
          <cell r="P132">
            <v>2.7352483003274743E-3</v>
          </cell>
        </row>
        <row r="133">
          <cell r="B133" t="str">
            <v>D-ENGA</v>
          </cell>
          <cell r="C133" t="str">
            <v>VAR_fin</v>
          </cell>
          <cell r="D133" t="str">
            <v>NGA</v>
          </cell>
          <cell r="E133">
            <v>5.5097519549332752</v>
          </cell>
          <cell r="F133">
            <v>1.8644022658796504</v>
          </cell>
          <cell r="G133">
            <v>1.4936746351564389</v>
          </cell>
          <cell r="J133"/>
          <cell r="K133"/>
          <cell r="L133"/>
        </row>
        <row r="134">
          <cell r="B134" t="str">
            <v>D-ENGA</v>
          </cell>
          <cell r="C134" t="str">
            <v>VAR_fin</v>
          </cell>
          <cell r="D134" t="str">
            <v>BNGA</v>
          </cell>
          <cell r="E134">
            <v>0.21209300395694081</v>
          </cell>
          <cell r="F134">
            <v>4.7926717962131717E-5</v>
          </cell>
          <cell r="G134">
            <v>0.36838425783309103</v>
          </cell>
          <cell r="J134">
            <v>8.9511499412717091E-6</v>
          </cell>
          <cell r="K134">
            <v>1.1916182163552381E-5</v>
          </cell>
          <cell r="L134">
            <v>0.11991946535218784</v>
          </cell>
          <cell r="M134">
            <v>0.12156998811719388</v>
          </cell>
          <cell r="N134">
            <v>0.12158814337956092</v>
          </cell>
          <cell r="O134">
            <v>0.12161540089860259</v>
          </cell>
          <cell r="P134">
            <v>0.12233380369127207</v>
          </cell>
        </row>
        <row r="135">
          <cell r="B135" t="str">
            <v>D-ENGA</v>
          </cell>
          <cell r="C135" t="str">
            <v>VAR_fin</v>
          </cell>
          <cell r="D135" t="str">
            <v>H2</v>
          </cell>
          <cell r="J135">
            <v>3.408536918636974E-7</v>
          </cell>
          <cell r="K135">
            <v>2.3858306220801192E-7</v>
          </cell>
          <cell r="L135">
            <v>3.4062447765102165E-3</v>
          </cell>
          <cell r="M135">
            <v>2.9819201917344333E-3</v>
          </cell>
          <cell r="N135">
            <v>2.759586276854107E-3</v>
          </cell>
          <cell r="O135">
            <v>2.7620210045774646E-3</v>
          </cell>
          <cell r="P135">
            <v>2.7334111123701855E-3</v>
          </cell>
        </row>
        <row r="136">
          <cell r="B136" t="str">
            <v>D-ENGA</v>
          </cell>
          <cell r="C136" t="str">
            <v>VAR_ncap</v>
          </cell>
          <cell r="D136" t="str">
            <v>-</v>
          </cell>
          <cell r="E136">
            <v>2.9923697892399401E-7</v>
          </cell>
          <cell r="F136">
            <v>1.59394461101026E-7</v>
          </cell>
          <cell r="G136">
            <v>1.80826835150914E-7</v>
          </cell>
          <cell r="H136">
            <v>2.14185306653526E-7</v>
          </cell>
          <cell r="I136">
            <v>3.9890832031560602E-7</v>
          </cell>
          <cell r="J136">
            <v>8.3774819382824497E-7</v>
          </cell>
          <cell r="K136">
            <v>1.30383453792789E-6</v>
          </cell>
          <cell r="L136">
            <v>3.67724516761063E-6</v>
          </cell>
          <cell r="M136">
            <v>4.2433422267725798E-6</v>
          </cell>
          <cell r="N136">
            <v>2.6235986195072801E-2</v>
          </cell>
          <cell r="O136">
            <v>4.8191574621019999E-4</v>
          </cell>
          <cell r="P136">
            <v>1.5958445184183299E-4</v>
          </cell>
        </row>
        <row r="137">
          <cell r="B137" t="str">
            <v>D-ENGA</v>
          </cell>
          <cell r="C137" t="str">
            <v>VAR_cap</v>
          </cell>
          <cell r="D137" t="str">
            <v>-</v>
          </cell>
          <cell r="E137">
            <v>1.0275122937779591</v>
          </cell>
          <cell r="F137">
            <v>1.02751245317242</v>
          </cell>
          <cell r="G137">
            <v>1.0275126339992553</v>
          </cell>
          <cell r="H137">
            <v>1.0275128481845619</v>
          </cell>
          <cell r="I137">
            <v>1.0275132470928823</v>
          </cell>
          <cell r="J137">
            <v>1.027514084841076</v>
          </cell>
          <cell r="K137">
            <v>1.0275153886756139</v>
          </cell>
          <cell r="L137">
            <v>0.72894216650343546</v>
          </cell>
          <cell r="M137">
            <v>0.2582140083107603</v>
          </cell>
          <cell r="N137">
            <v>2.6247001552901699E-2</v>
          </cell>
          <cell r="O137">
            <v>2.6728541333758501E-2</v>
          </cell>
          <cell r="P137">
            <v>2.6887947471571302E-2</v>
          </cell>
        </row>
        <row r="138">
          <cell r="B138" t="str">
            <v>D-ILFO</v>
          </cell>
          <cell r="C138" t="str">
            <v>VAR_fout</v>
          </cell>
          <cell r="D138" t="str">
            <v>CO2</v>
          </cell>
          <cell r="E138">
            <v>688.96238654799095</v>
          </cell>
          <cell r="F138">
            <v>659.57558948130202</v>
          </cell>
          <cell r="G138">
            <v>602.37714611080696</v>
          </cell>
          <cell r="H138">
            <v>426.77246905502801</v>
          </cell>
          <cell r="I138">
            <v>304.86228156979598</v>
          </cell>
          <cell r="J138">
            <v>160.04445051209899</v>
          </cell>
          <cell r="K138">
            <v>27.190797926484301</v>
          </cell>
          <cell r="L138"/>
          <cell r="M138">
            <v>1.1830807514132799E-2</v>
          </cell>
          <cell r="N138">
            <v>2.05072243741393E-2</v>
          </cell>
          <cell r="O138">
            <v>1.0634787937598001E-2</v>
          </cell>
          <cell r="P138">
            <v>4.4370635094578698E-3</v>
          </cell>
        </row>
        <row r="139">
          <cell r="B139" t="str">
            <v>D-ILFO</v>
          </cell>
          <cell r="C139" t="str">
            <v>VAR_fout</v>
          </cell>
          <cell r="D139" t="str">
            <v>ILFO</v>
          </cell>
          <cell r="E139">
            <v>9.1920747866897692</v>
          </cell>
          <cell r="F139">
            <v>8.7999987580813901</v>
          </cell>
          <cell r="G139">
            <v>8.0369194538952762</v>
          </cell>
          <cell r="H139">
            <v>7.1170408430189021</v>
          </cell>
          <cell r="I139">
            <v>5.4905277882527095</v>
          </cell>
          <cell r="J139">
            <v>3.558375673866438</v>
          </cell>
          <cell r="K139">
            <v>1.7858545190037023</v>
          </cell>
          <cell r="L139">
            <v>1.4230790513395635</v>
          </cell>
          <cell r="M139">
            <v>1.4232413176477976</v>
          </cell>
          <cell r="N139">
            <v>1.4233578063644681</v>
          </cell>
          <cell r="O139">
            <v>1.4232265960327479</v>
          </cell>
          <cell r="P139">
            <v>1.4231480415340614</v>
          </cell>
        </row>
        <row r="140">
          <cell r="B140" t="str">
            <v>D-ILFO</v>
          </cell>
          <cell r="C140" t="str">
            <v>VAR_fin</v>
          </cell>
          <cell r="D140" t="str">
            <v>LFO</v>
          </cell>
          <cell r="E140">
            <v>9.3482006315874084</v>
          </cell>
          <cell r="F140">
            <v>8.9494652575481943</v>
          </cell>
          <cell r="G140">
            <v>8.1733669757232921</v>
          </cell>
          <cell r="H140">
            <v>5.7906712219135414</v>
          </cell>
          <cell r="I140">
            <v>4.136530279101712</v>
          </cell>
          <cell r="J140">
            <v>2.1715664927014835</v>
          </cell>
          <cell r="K140">
            <v>0.36893891352081765</v>
          </cell>
          <cell r="L140"/>
          <cell r="M140">
            <v>1.6052656057167965E-4</v>
          </cell>
          <cell r="N140">
            <v>2.7825270521220189E-4</v>
          </cell>
          <cell r="O140">
            <v>1.4429834379373128E-4</v>
          </cell>
          <cell r="P140">
            <v>6.0204389544882952E-5</v>
          </cell>
        </row>
        <row r="141">
          <cell r="B141" t="str">
            <v>D-ILFO</v>
          </cell>
          <cell r="C141" t="str">
            <v>VAR_fin</v>
          </cell>
          <cell r="D141" t="str">
            <v>BDS</v>
          </cell>
          <cell r="G141">
            <v>5.8203944648895211E-5</v>
          </cell>
          <cell r="H141">
            <v>1.4472513633204234</v>
          </cell>
          <cell r="I141">
            <v>1.4472532005772858</v>
          </cell>
          <cell r="J141">
            <v>1.447253335253569</v>
          </cell>
          <cell r="K141">
            <v>1.4472537204766125</v>
          </cell>
          <cell r="L141">
            <v>1.4472542008101377</v>
          </cell>
          <cell r="M141">
            <v>1.4472543055948237</v>
          </cell>
          <cell r="N141">
            <v>1.4472550467081233</v>
          </cell>
          <cell r="O141">
            <v>1.4472555585335765</v>
          </cell>
          <cell r="P141">
            <v>1.4472591161570063</v>
          </cell>
        </row>
        <row r="142">
          <cell r="B142" t="str">
            <v>HPLNGA</v>
          </cell>
          <cell r="C142" t="str">
            <v>VAR_fout</v>
          </cell>
          <cell r="D142" t="str">
            <v>LTH</v>
          </cell>
          <cell r="E142">
            <v>1.7329000527855167</v>
          </cell>
          <cell r="F142">
            <v>1.5870720525343713</v>
          </cell>
          <cell r="G142">
            <v>1.581045133420607</v>
          </cell>
          <cell r="J142"/>
          <cell r="K142"/>
          <cell r="L142"/>
        </row>
        <row r="143">
          <cell r="B143" t="str">
            <v>HPLNGA</v>
          </cell>
          <cell r="C143" t="str">
            <v>VAR_fout</v>
          </cell>
          <cell r="D143" t="str">
            <v>CO2_E</v>
          </cell>
          <cell r="E143">
            <v>114.38350961273601</v>
          </cell>
          <cell r="F143">
            <v>104.75784283425099</v>
          </cell>
          <cell r="G143">
            <v>104.36002406837601</v>
          </cell>
          <cell r="J143"/>
          <cell r="K143"/>
          <cell r="L143"/>
        </row>
        <row r="144">
          <cell r="B144" t="str">
            <v>HPLNGA</v>
          </cell>
          <cell r="C144" t="str">
            <v>VAR_fin</v>
          </cell>
          <cell r="D144" t="str">
            <v>ENGA</v>
          </cell>
          <cell r="E144">
            <v>2.0280764115733412</v>
          </cell>
          <cell r="F144">
            <v>1.8574085608909772</v>
          </cell>
          <cell r="G144">
            <v>1.8503550366733292</v>
          </cell>
          <cell r="J144"/>
          <cell r="K144"/>
          <cell r="L144"/>
        </row>
        <row r="145">
          <cell r="B145" t="str">
            <v>HPLNGA</v>
          </cell>
          <cell r="C145" t="str">
            <v>VAR_ncap</v>
          </cell>
          <cell r="D145" t="str">
            <v>-</v>
          </cell>
          <cell r="E145">
            <v>2.0853857519162E-6</v>
          </cell>
          <cell r="F145">
            <v>1.5795462056669401E-6</v>
          </cell>
          <cell r="G145">
            <v>1.5971553806137199E-6</v>
          </cell>
          <cell r="H145">
            <v>1.5179592859748999E-6</v>
          </cell>
          <cell r="I145">
            <v>2.5482266081303799E-6</v>
          </cell>
          <cell r="J145">
            <v>2.3064001470874598E-6</v>
          </cell>
          <cell r="K145">
            <v>2.7322182415052499E-6</v>
          </cell>
          <cell r="L145">
            <v>3.2624088187378702E-6</v>
          </cell>
          <cell r="M145">
            <v>3.3641852866336299E-6</v>
          </cell>
          <cell r="N145">
            <v>3.28025292810487E-6</v>
          </cell>
          <cell r="O145">
            <v>3.02960270865063E-6</v>
          </cell>
          <cell r="P145">
            <v>7.7173568389593405E-6</v>
          </cell>
        </row>
        <row r="146">
          <cell r="B146" t="str">
            <v>HPLNGA</v>
          </cell>
          <cell r="C146" t="str">
            <v>VAR_cap</v>
          </cell>
          <cell r="D146" t="str">
            <v>-</v>
          </cell>
          <cell r="E146">
            <v>0.21996104345145695</v>
          </cell>
          <cell r="F146">
            <v>0.20133330388830056</v>
          </cell>
          <cell r="G146">
            <v>0.2005689106814062</v>
          </cell>
          <cell r="H146">
            <v>1.2988784799217168E-5</v>
          </cell>
          <cell r="I146">
            <v>4.8297174111196759E-6</v>
          </cell>
          <cell r="J146">
            <v>5.2107754303500204E-6</v>
          </cell>
          <cell r="K146">
            <v>5.97283713487467E-6</v>
          </cell>
          <cell r="L146">
            <v>7.1982684957001701E-6</v>
          </cell>
          <cell r="M146">
            <v>7.5007773048319906E-6</v>
          </cell>
          <cell r="N146">
            <v>7.9778922567953904E-6</v>
          </cell>
          <cell r="O146">
            <v>7.7588121912317491E-6</v>
          </cell>
          <cell r="P146">
            <v>1.1983104457272381E-5</v>
          </cell>
        </row>
        <row r="147">
          <cell r="B147" t="str">
            <v>G-INTC-IMP00-AT</v>
          </cell>
          <cell r="C147" t="str">
            <v>VAR_fout</v>
          </cell>
          <cell r="D147" t="str">
            <v>ELC</v>
          </cell>
          <cell r="E147">
            <v>15.013806362503384</v>
          </cell>
          <cell r="F147">
            <v>1.6843048401183881E-2</v>
          </cell>
          <cell r="G147">
            <v>9.7143289720811304E-3</v>
          </cell>
          <cell r="H147">
            <v>1.4992718360131139E-2</v>
          </cell>
          <cell r="I147">
            <v>4.037904235502641E-3</v>
          </cell>
          <cell r="J147">
            <v>6.2991157495742153E-3</v>
          </cell>
          <cell r="K147">
            <v>1.0666043405760479E-2</v>
          </cell>
          <cell r="L147">
            <v>1.0521332451056294E-2</v>
          </cell>
          <cell r="M147">
            <v>1.777890069908876</v>
          </cell>
          <cell r="N147">
            <v>8.8778644615239326</v>
          </cell>
          <cell r="O147">
            <v>9.2010164753305368</v>
          </cell>
          <cell r="P147">
            <v>8.2404986013922592</v>
          </cell>
        </row>
        <row r="148">
          <cell r="B148" t="str">
            <v>G-INTC-IMP00-AT</v>
          </cell>
          <cell r="C148" t="str">
            <v>VAR_fin</v>
          </cell>
          <cell r="D148" t="str">
            <v>ELC_I-AT</v>
          </cell>
          <cell r="E148">
            <v>15.013806362503384</v>
          </cell>
          <cell r="F148">
            <v>1.6843048401183881E-2</v>
          </cell>
          <cell r="G148">
            <v>9.7143289720811304E-3</v>
          </cell>
          <cell r="H148">
            <v>1.4992718360131139E-2</v>
          </cell>
          <cell r="I148">
            <v>4.037904235502641E-3</v>
          </cell>
          <cell r="J148">
            <v>6.2991157495742153E-3</v>
          </cell>
          <cell r="K148">
            <v>1.0666043405760479E-2</v>
          </cell>
          <cell r="L148">
            <v>1.0521332451056294E-2</v>
          </cell>
          <cell r="M148">
            <v>1.777890069908876</v>
          </cell>
          <cell r="N148">
            <v>8.8778644615239326</v>
          </cell>
          <cell r="O148">
            <v>9.2010164753305368</v>
          </cell>
          <cell r="P148">
            <v>8.2404986013922592</v>
          </cell>
        </row>
        <row r="149">
          <cell r="B149" t="str">
            <v>G-INTC-IMP00-AT</v>
          </cell>
          <cell r="C149" t="str">
            <v>VAR_ncap</v>
          </cell>
          <cell r="D149" t="str">
            <v>-</v>
          </cell>
          <cell r="E149">
            <v>1.7404547704137499E-6</v>
          </cell>
          <cell r="F149">
            <v>1.5941820047969001E-6</v>
          </cell>
          <cell r="G149">
            <v>1.8251926002868699E-6</v>
          </cell>
          <cell r="H149">
            <v>2.23677469630605E-6</v>
          </cell>
          <cell r="I149">
            <v>4.6586897587576298E-6</v>
          </cell>
          <cell r="J149">
            <v>5.4334304416313497E-6</v>
          </cell>
          <cell r="K149">
            <v>0.25610465027478702</v>
          </cell>
          <cell r="L149">
            <v>0.94219914539046701</v>
          </cell>
          <cell r="M149">
            <v>1.78901610420892E-5</v>
          </cell>
          <cell r="N149">
            <v>5.8069826836615798E-6</v>
          </cell>
        </row>
        <row r="150">
          <cell r="B150" t="str">
            <v>G-INTC-IMP00-AT</v>
          </cell>
          <cell r="C150" t="str">
            <v>VAR_cap</v>
          </cell>
          <cell r="D150" t="str">
            <v>-</v>
          </cell>
          <cell r="E150">
            <v>0.55307800261613793</v>
          </cell>
          <cell r="F150">
            <v>1.6738547406498494E-3</v>
          </cell>
          <cell r="G150">
            <v>1.6710125298500245E-3</v>
          </cell>
          <cell r="H150">
            <v>1.671181317792314E-3</v>
          </cell>
          <cell r="I150">
            <v>1.6733884048767411E-3</v>
          </cell>
          <cell r="J150">
            <v>1.6734021708517677E-3</v>
          </cell>
          <cell r="K150">
            <v>1.6768737090717689E-3</v>
          </cell>
          <cell r="L150">
            <v>1.6801491205820085E-3</v>
          </cell>
          <cell r="M150">
            <v>0.21843164934385584</v>
          </cell>
          <cell r="N150">
            <v>1.1999840436818701</v>
          </cell>
          <cell r="O150">
            <v>1.1999943385002401</v>
          </cell>
          <cell r="P150">
            <v>1.1999954719594701</v>
          </cell>
        </row>
        <row r="151">
          <cell r="B151" t="str">
            <v>CHPWST</v>
          </cell>
          <cell r="C151" t="str">
            <v>VAR_fout</v>
          </cell>
          <cell r="D151" t="str">
            <v>ELC35</v>
          </cell>
          <cell r="E151">
            <v>1.4349601564808809</v>
          </cell>
          <cell r="F151">
            <v>1.2995353823075724</v>
          </cell>
          <cell r="G151">
            <v>1.3189334971241322</v>
          </cell>
          <cell r="H151">
            <v>1.2901763044654391</v>
          </cell>
          <cell r="I151">
            <v>1.2798569828210897</v>
          </cell>
          <cell r="J151">
            <v>0.97457852891845054</v>
          </cell>
          <cell r="K151">
            <v>0.49914119679175512</v>
          </cell>
          <cell r="L151">
            <v>0.50746135171143592</v>
          </cell>
          <cell r="M151">
            <v>0.50243710821560605</v>
          </cell>
          <cell r="N151">
            <v>0.50243700365045141</v>
          </cell>
          <cell r="O151">
            <v>0.50243699627680238</v>
          </cell>
          <cell r="P151">
            <v>0.50243717222516859</v>
          </cell>
        </row>
        <row r="152">
          <cell r="B152" t="str">
            <v>CHPWST</v>
          </cell>
          <cell r="C152" t="str">
            <v>VAR_fout</v>
          </cell>
          <cell r="D152" t="str">
            <v>LTH</v>
          </cell>
          <cell r="E152">
            <v>14.461260844411518</v>
          </cell>
          <cell r="F152">
            <v>13.051647917369987</v>
          </cell>
          <cell r="G152">
            <v>13.178224698632114</v>
          </cell>
          <cell r="H152">
            <v>12.779633841584221</v>
          </cell>
          <cell r="I152">
            <v>12.342946312727591</v>
          </cell>
          <cell r="J152">
            <v>9.14414830514459</v>
          </cell>
          <cell r="K152">
            <v>4.5528339604842634</v>
          </cell>
          <cell r="L152">
            <v>4.4961075761633262</v>
          </cell>
          <cell r="M152">
            <v>4.451592778790272</v>
          </cell>
          <cell r="N152">
            <v>4.4515918523430011</v>
          </cell>
          <cell r="O152">
            <v>4.4515917870124717</v>
          </cell>
          <cell r="P152">
            <v>4.451593345914989</v>
          </cell>
        </row>
        <row r="153">
          <cell r="B153" t="str">
            <v>CHPWST</v>
          </cell>
          <cell r="C153" t="str">
            <v>VAR_fout</v>
          </cell>
          <cell r="D153" t="str">
            <v>CO2_E</v>
          </cell>
          <cell r="E153">
            <v>2843.2556910420799</v>
          </cell>
          <cell r="F153">
            <v>2574.9226239967602</v>
          </cell>
          <cell r="G153">
            <v>2613.3583952609101</v>
          </cell>
          <cell r="H153">
            <v>2556.3783799511102</v>
          </cell>
          <cell r="I153">
            <v>2535.9314916800499</v>
          </cell>
          <cell r="J153">
            <v>1931.0473090140599</v>
          </cell>
          <cell r="K153">
            <v>989.00728497726698</v>
          </cell>
          <cell r="L153">
            <v>1005.49298858297</v>
          </cell>
          <cell r="M153">
            <v>995.537862757222</v>
          </cell>
          <cell r="N153">
            <v>995.53765556995597</v>
          </cell>
          <cell r="O153">
            <v>995.53764095967597</v>
          </cell>
          <cell r="P153">
            <v>995.53798958691198</v>
          </cell>
        </row>
        <row r="154">
          <cell r="B154" t="str">
            <v>CHPWST</v>
          </cell>
          <cell r="C154" t="str">
            <v>VAR_fin</v>
          </cell>
          <cell r="D154" t="str">
            <v>EWST</v>
          </cell>
          <cell r="E154">
            <v>30.638531153470634</v>
          </cell>
          <cell r="F154">
            <v>27.747011034447823</v>
          </cell>
          <cell r="G154">
            <v>28.161189604104596</v>
          </cell>
          <cell r="H154">
            <v>27.547180818438715</v>
          </cell>
          <cell r="I154">
            <v>27.326847970690235</v>
          </cell>
          <cell r="J154">
            <v>20.80869945058252</v>
          </cell>
          <cell r="K154">
            <v>10.657406088117089</v>
          </cell>
          <cell r="L154">
            <v>10.835053756281988</v>
          </cell>
          <cell r="M154">
            <v>10.727778693504545</v>
          </cell>
          <cell r="N154">
            <v>10.727776460883151</v>
          </cell>
          <cell r="O154">
            <v>10.727776303444784</v>
          </cell>
          <cell r="P154">
            <v>10.727780060203795</v>
          </cell>
        </row>
        <row r="155">
          <cell r="B155" t="str">
            <v>CHPWST</v>
          </cell>
          <cell r="C155" t="str">
            <v>VAR_ncap</v>
          </cell>
          <cell r="D155" t="str">
            <v>-</v>
          </cell>
          <cell r="F155">
            <v>1.13601319071765E-7</v>
          </cell>
          <cell r="G155">
            <v>1.5789019612454801E-7</v>
          </cell>
          <cell r="H155">
            <v>2.43208215904833E-7</v>
          </cell>
          <cell r="I155">
            <v>7.7592089119674296E-3</v>
          </cell>
          <cell r="J155">
            <v>3.0100101356127599E-5</v>
          </cell>
          <cell r="K155">
            <v>5.9473659860588297E-7</v>
          </cell>
          <cell r="L155">
            <v>3.4254046435431298E-2</v>
          </cell>
          <cell r="M155">
            <v>7.6154694676025598E-7</v>
          </cell>
          <cell r="N155">
            <v>3.6698300630915201E-7</v>
          </cell>
          <cell r="O155">
            <v>3.8041473476206101E-7</v>
          </cell>
          <cell r="P155">
            <v>4.6961487708000299E-7</v>
          </cell>
        </row>
        <row r="156">
          <cell r="B156" t="str">
            <v>CHPWST</v>
          </cell>
          <cell r="C156" t="str">
            <v>VAR_cap</v>
          </cell>
          <cell r="D156" t="str">
            <v>-</v>
          </cell>
          <cell r="E156">
            <v>7.8399999999999997E-2</v>
          </cell>
          <cell r="F156">
            <v>7.2061485608924447E-2</v>
          </cell>
          <cell r="G156">
            <v>7.2060939975550201E-2</v>
          </cell>
          <cell r="H156">
            <v>7.0489757766497949E-2</v>
          </cell>
          <cell r="I156">
            <v>7.2025128388927606E-2</v>
          </cell>
          <cell r="J156">
            <v>5.3251714489008034E-2</v>
          </cell>
          <cell r="K156">
            <v>4.7333816795593064E-2</v>
          </cell>
          <cell r="L156">
            <v>4.2043878288318695E-2</v>
          </cell>
          <cell r="M156">
            <v>4.2044374814766E-2</v>
          </cell>
          <cell r="N156">
            <v>4.204398518127888E-2</v>
          </cell>
          <cell r="O156">
            <v>3.5654131841722995E-2</v>
          </cell>
          <cell r="P156">
            <v>3.4255526539832742E-2</v>
          </cell>
        </row>
        <row r="157">
          <cell r="B157" t="str">
            <v>RHES-CHPNGA</v>
          </cell>
          <cell r="C157" t="str">
            <v>VAR_fout</v>
          </cell>
          <cell r="D157" t="str">
            <v>CO2_R</v>
          </cell>
          <cell r="E157">
            <v>3.55397181198899</v>
          </cell>
          <cell r="F157">
            <v>0.38455611898856001</v>
          </cell>
          <cell r="G157">
            <v>1.3746498494880799</v>
          </cell>
          <cell r="H157">
            <v>0.98240413342120703</v>
          </cell>
          <cell r="I157">
            <v>0.94142199406881999</v>
          </cell>
          <cell r="J157">
            <v>0.38566235260365</v>
          </cell>
          <cell r="K157"/>
          <cell r="L157"/>
          <cell r="M157">
            <v>0.35849261921009101</v>
          </cell>
          <cell r="N157">
            <v>0.40639078587573302</v>
          </cell>
          <cell r="O157">
            <v>0.65860403401861001</v>
          </cell>
          <cell r="P157">
            <v>0.67501760418691803</v>
          </cell>
        </row>
        <row r="158">
          <cell r="B158" t="str">
            <v>RHES-CHPNGA</v>
          </cell>
          <cell r="C158" t="str">
            <v>VAR_fout</v>
          </cell>
          <cell r="D158" t="str">
            <v>RHES_NKEV_GAS_ELC_CHP</v>
          </cell>
          <cell r="E158">
            <v>1.3995208421993234E-2</v>
          </cell>
          <cell r="F158">
            <v>1.8423739716512684E-3</v>
          </cell>
          <cell r="G158">
            <v>6.2418454532440978E-3</v>
          </cell>
          <cell r="H158">
            <v>4.6788495337652686E-3</v>
          </cell>
          <cell r="I158">
            <v>4.5211333534161497E-3</v>
          </cell>
          <cell r="J158">
            <v>1.750907196014532E-3</v>
          </cell>
          <cell r="K158"/>
          <cell r="L158"/>
          <cell r="M158">
            <v>1.7866438183671604E-3</v>
          </cell>
          <cell r="N158">
            <v>1.9807100827462882E-3</v>
          </cell>
          <cell r="O158">
            <v>3.3012777741840528E-3</v>
          </cell>
          <cell r="P158">
            <v>3.2805404989323444E-3</v>
          </cell>
        </row>
        <row r="159">
          <cell r="B159" t="str">
            <v>RHES-CHPNGA</v>
          </cell>
          <cell r="C159" t="str">
            <v>VAR_fout</v>
          </cell>
          <cell r="D159" t="str">
            <v>RHES_LTH_CHPNGA</v>
          </cell>
          <cell r="E159">
            <v>3.3692168423317098E-2</v>
          </cell>
          <cell r="F159">
            <v>4.3905038985805932E-3</v>
          </cell>
          <cell r="G159">
            <v>1.4646870150866482E-2</v>
          </cell>
          <cell r="H159">
            <v>1.069451322003493E-2</v>
          </cell>
          <cell r="I159">
            <v>1.0243369803228585E-2</v>
          </cell>
          <cell r="J159">
            <v>3.9318617735063181E-3</v>
          </cell>
          <cell r="K159"/>
          <cell r="L159"/>
          <cell r="M159">
            <v>3.8813296743838367E-3</v>
          </cell>
          <cell r="N159">
            <v>4.3029219038971077E-3</v>
          </cell>
          <cell r="O159">
            <v>7.171741371503294E-3</v>
          </cell>
          <cell r="P159">
            <v>7.1266914287150956E-3</v>
          </cell>
        </row>
        <row r="160">
          <cell r="B160" t="str">
            <v>RHES-CHPNGA</v>
          </cell>
          <cell r="C160" t="str">
            <v>VAR_fin</v>
          </cell>
          <cell r="D160" t="str">
            <v>RNGA</v>
          </cell>
          <cell r="E160">
            <v>6.3013684609733916E-2</v>
          </cell>
          <cell r="F160">
            <v>6.8183709040524785E-3</v>
          </cell>
          <cell r="G160">
            <v>2.4373224281703635E-2</v>
          </cell>
          <cell r="H160">
            <v>1.7418513003922102E-2</v>
          </cell>
          <cell r="I160">
            <v>1.6691879327461336E-2</v>
          </cell>
          <cell r="J160">
            <v>6.8379849752420218E-3</v>
          </cell>
          <cell r="K160"/>
          <cell r="L160"/>
          <cell r="M160">
            <v>6.3562521136540919E-3</v>
          </cell>
          <cell r="N160">
            <v>7.2055103878676079E-3</v>
          </cell>
          <cell r="O160">
            <v>1.1677376489691669E-2</v>
          </cell>
          <cell r="P160">
            <v>1.1968397237356694E-2</v>
          </cell>
        </row>
        <row r="161">
          <cell r="B161" t="str">
            <v>RHES-CHPNGA</v>
          </cell>
          <cell r="C161" t="str">
            <v>VAR_ncap</v>
          </cell>
          <cell r="D161" t="str">
            <v>-</v>
          </cell>
          <cell r="F161">
            <v>1.6976087010926901E-5</v>
          </cell>
          <cell r="J161"/>
          <cell r="K161"/>
          <cell r="L161"/>
          <cell r="M161">
            <v>1.5893329402385899E-4</v>
          </cell>
          <cell r="N161">
            <v>1.8311086391507702E-5</v>
          </cell>
          <cell r="O161">
            <v>1.16533497765729E-4</v>
          </cell>
          <cell r="P161">
            <v>5.1854936163232103E-6</v>
          </cell>
        </row>
        <row r="162">
          <cell r="B162" t="str">
            <v>RHES-CHPNGA</v>
          </cell>
          <cell r="C162" t="str">
            <v>VAR_cap</v>
          </cell>
          <cell r="D162" t="str">
            <v>-</v>
          </cell>
          <cell r="E162">
            <v>4.1404081145209812E-3</v>
          </cell>
          <cell r="F162">
            <v>5.5629262819757675E-4</v>
          </cell>
          <cell r="G162">
            <v>5.5497284853552791E-4</v>
          </cell>
          <cell r="H162">
            <v>5.4179380531371594E-4</v>
          </cell>
          <cell r="I162">
            <v>4.0251025040085681E-4</v>
          </cell>
          <cell r="J162">
            <v>1.5558076307864755E-4</v>
          </cell>
          <cell r="K162"/>
          <cell r="L162"/>
          <cell r="M162">
            <v>1.5893329402385899E-4</v>
          </cell>
          <cell r="N162">
            <v>1.7722861219659922E-4</v>
          </cell>
          <cell r="O162">
            <v>2.9372422504444286E-4</v>
          </cell>
          <cell r="P162">
            <v>2.9878985799328746E-4</v>
          </cell>
        </row>
        <row r="163">
          <cell r="B163" t="str">
            <v>RHEM-CHPWOD</v>
          </cell>
          <cell r="C163" t="str">
            <v>VAR_fout</v>
          </cell>
          <cell r="D163" t="str">
            <v>RHEM_KEV_WOD_ELC_CHP</v>
          </cell>
          <cell r="H163">
            <v>4.1545660386515637E-4</v>
          </cell>
          <cell r="I163">
            <v>6.825930050648807E-4</v>
          </cell>
          <cell r="J163">
            <v>0.15707178032200297</v>
          </cell>
          <cell r="K163">
            <v>0.19484975184591671</v>
          </cell>
          <cell r="L163">
            <v>0.19210527750049725</v>
          </cell>
          <cell r="M163">
            <v>0.19088290435943617</v>
          </cell>
          <cell r="N163">
            <v>0.18786089747379742</v>
          </cell>
          <cell r="O163">
            <v>0.18922681234915581</v>
          </cell>
          <cell r="P163">
            <v>0.18317172504571749</v>
          </cell>
        </row>
        <row r="164">
          <cell r="B164" t="str">
            <v>RHEM-CHPWOD</v>
          </cell>
          <cell r="C164" t="str">
            <v>VAR_fout</v>
          </cell>
          <cell r="D164" t="str">
            <v>RHEM_LTH_CHPWOD</v>
          </cell>
          <cell r="H164">
            <v>1.1051554979664261E-3</v>
          </cell>
          <cell r="I164">
            <v>1.8157646440149545E-3</v>
          </cell>
          <cell r="J164">
            <v>0.41782641070877652</v>
          </cell>
          <cell r="K164">
            <v>0.51831953693002542</v>
          </cell>
          <cell r="L164">
            <v>0.51101896477964803</v>
          </cell>
          <cell r="M164">
            <v>0.50776733179357469</v>
          </cell>
          <cell r="N164">
            <v>0.49972849574310702</v>
          </cell>
          <cell r="O164">
            <v>0.5033619638844542</v>
          </cell>
          <cell r="P164">
            <v>0.48725483509698275</v>
          </cell>
        </row>
        <row r="165">
          <cell r="B165" t="str">
            <v>RHEM-CHPWOD</v>
          </cell>
          <cell r="C165" t="str">
            <v>VAR_fin</v>
          </cell>
          <cell r="D165" t="str">
            <v>RWOD</v>
          </cell>
          <cell r="H165">
            <v>2.024977106617404E-3</v>
          </cell>
          <cell r="I165">
            <v>3.1838340879151474E-3</v>
          </cell>
          <cell r="J165">
            <v>0.57506647288122315</v>
          </cell>
          <cell r="K165">
            <v>0.69732598524898426</v>
          </cell>
          <cell r="L165">
            <v>0.67340673218047065</v>
          </cell>
          <cell r="M165">
            <v>0.6691730802638699</v>
          </cell>
          <cell r="N165">
            <v>0.66049329467167428</v>
          </cell>
          <cell r="O165">
            <v>0.66340220703809683</v>
          </cell>
          <cell r="P165">
            <v>0.64397761454578029</v>
          </cell>
        </row>
        <row r="166">
          <cell r="B166" t="str">
            <v>RHEM-CHPWOD</v>
          </cell>
          <cell r="C166" t="str">
            <v>VAR_ncap</v>
          </cell>
          <cell r="D166" t="str">
            <v>-</v>
          </cell>
          <cell r="H166">
            <v>3.3489250686971999E-5</v>
          </cell>
          <cell r="I166">
            <v>3.4174130898805902E-5</v>
          </cell>
          <cell r="J166">
            <v>1.1594169026461701E-2</v>
          </cell>
          <cell r="K166">
            <v>2.8304624506883501E-3</v>
          </cell>
          <cell r="L166">
            <v>2.2778290085672599E-4</v>
          </cell>
          <cell r="M166">
            <v>9.6998850909930101E-3</v>
          </cell>
          <cell r="N166">
            <v>4.0127618128794496E-3</v>
          </cell>
          <cell r="O166">
            <v>3.3638233618305401E-3</v>
          </cell>
          <cell r="P166">
            <v>6.2162751933138296E-3</v>
          </cell>
        </row>
        <row r="167">
          <cell r="B167" t="str">
            <v>RHEM-CHPWOD</v>
          </cell>
          <cell r="C167" t="str">
            <v>VAR_cap</v>
          </cell>
          <cell r="D167" t="str">
            <v>-</v>
          </cell>
          <cell r="H167">
            <v>3.3489250686971999E-5</v>
          </cell>
          <cell r="I167">
            <v>6.7632045484839642E-5</v>
          </cell>
          <cell r="J167">
            <v>1.1655332117852298E-2</v>
          </cell>
          <cell r="K167">
            <v>1.4458687513396887E-2</v>
          </cell>
          <cell r="L167">
            <v>1.4652197926656885E-2</v>
          </cell>
          <cell r="M167">
            <v>1.4164337122920494E-2</v>
          </cell>
          <cell r="N167">
            <v>1.3940197712207603E-2</v>
          </cell>
          <cell r="O167">
            <v>1.4041461582088638E-2</v>
          </cell>
          <cell r="P167">
            <v>1.359259796135962E-2</v>
          </cell>
        </row>
        <row r="168">
          <cell r="B168" t="str">
            <v>G-INTC-IMP00-FR</v>
          </cell>
          <cell r="C168" t="str">
            <v>VAR_fout</v>
          </cell>
          <cell r="D168" t="str">
            <v>ELC</v>
          </cell>
          <cell r="E168">
            <v>28.948621866347789</v>
          </cell>
          <cell r="F168">
            <v>21.31304504423159</v>
          </cell>
          <cell r="G168">
            <v>26.506195347079775</v>
          </cell>
          <cell r="H168">
            <v>15.516188633606582</v>
          </cell>
          <cell r="I168">
            <v>23.906982859771272</v>
          </cell>
          <cell r="J168">
            <v>30.096243590167081</v>
          </cell>
          <cell r="K168">
            <v>38.588206615034615</v>
          </cell>
          <cell r="L168">
            <v>50.548370994261781</v>
          </cell>
          <cell r="M168">
            <v>49.655671029404324</v>
          </cell>
          <cell r="N168">
            <v>47.248198634714392</v>
          </cell>
          <cell r="O168">
            <v>46.672101736545997</v>
          </cell>
          <cell r="P168">
            <v>45.243379037105584</v>
          </cell>
        </row>
        <row r="169">
          <cell r="B169" t="str">
            <v>G-INTC-IMP00-FR</v>
          </cell>
          <cell r="C169" t="str">
            <v>VAR_fin</v>
          </cell>
          <cell r="D169" t="str">
            <v>ELC_I-FR</v>
          </cell>
          <cell r="E169">
            <v>28.948621866347789</v>
          </cell>
          <cell r="F169">
            <v>21.31304504423159</v>
          </cell>
          <cell r="G169">
            <v>26.506195347079775</v>
          </cell>
          <cell r="H169">
            <v>15.516188633606582</v>
          </cell>
          <cell r="I169">
            <v>23.906982859771272</v>
          </cell>
          <cell r="J169">
            <v>30.096243590167081</v>
          </cell>
          <cell r="K169">
            <v>38.588206615034615</v>
          </cell>
          <cell r="L169">
            <v>50.548370994261781</v>
          </cell>
          <cell r="M169">
            <v>49.655671029404324</v>
          </cell>
          <cell r="N169">
            <v>47.248198634714392</v>
          </cell>
          <cell r="O169">
            <v>46.672101736545997</v>
          </cell>
          <cell r="P169">
            <v>45.243379037105584</v>
          </cell>
        </row>
        <row r="170">
          <cell r="B170" t="str">
            <v>G-INTC-IMP00-FR</v>
          </cell>
          <cell r="C170" t="str">
            <v>VAR_ncap</v>
          </cell>
          <cell r="D170" t="str">
            <v>-</v>
          </cell>
          <cell r="E170">
            <v>3.4126782767470198E-5</v>
          </cell>
          <cell r="F170">
            <v>2.6485707836991201E-5</v>
          </cell>
          <cell r="G170">
            <v>0.64133753915095104</v>
          </cell>
          <cell r="H170">
            <v>0.65860601983651801</v>
          </cell>
          <cell r="I170">
            <v>0.91340325173022696</v>
          </cell>
          <cell r="J170">
            <v>1.5866018386435601</v>
          </cell>
          <cell r="K170">
            <v>5.0526767808615104E-6</v>
          </cell>
          <cell r="L170">
            <v>1.1192419153550901</v>
          </cell>
          <cell r="M170">
            <v>0.58040708190901502</v>
          </cell>
          <cell r="N170">
            <v>1.0549775373382599E-5</v>
          </cell>
        </row>
        <row r="171">
          <cell r="B171" t="str">
            <v>G-INTC-IMP00-FR</v>
          </cell>
          <cell r="C171" t="str">
            <v>VAR_cap</v>
          </cell>
          <cell r="D171" t="str">
            <v>-</v>
          </cell>
          <cell r="E171">
            <v>1.6999996018455634</v>
          </cell>
          <cell r="F171">
            <v>1.6999992353382769</v>
          </cell>
          <cell r="G171">
            <v>1.6999990287941327</v>
          </cell>
          <cell r="H171">
            <v>1.7000282997565299</v>
          </cell>
          <cell r="I171">
            <v>2.499999717486781</v>
          </cell>
          <cell r="J171">
            <v>2.9999998566013222</v>
          </cell>
          <cell r="K171">
            <v>3.999999902776787</v>
          </cell>
          <cell r="L171">
            <v>5.4999996535934059</v>
          </cell>
          <cell r="M171">
            <v>5.4999994744968781</v>
          </cell>
          <cell r="N171">
            <v>5.4998790911203876</v>
          </cell>
          <cell r="O171">
            <v>5.4996426011721917</v>
          </cell>
          <cell r="P171">
            <v>5.4996060170870544</v>
          </cell>
        </row>
        <row r="172">
          <cell r="B172" t="str">
            <v>ITOT-CHPWSTCCS</v>
          </cell>
          <cell r="C172" t="str">
            <v>VAR_fout</v>
          </cell>
          <cell r="D172" t="str">
            <v>CO2_O</v>
          </cell>
          <cell r="J172">
            <v>58.352515701655683</v>
          </cell>
          <cell r="K172">
            <v>753.86114883925211</v>
          </cell>
          <cell r="L172">
            <v>715.12262405460888</v>
          </cell>
          <cell r="M172">
            <v>715.06072198667164</v>
          </cell>
          <cell r="N172">
            <v>714.89664186399932</v>
          </cell>
          <cell r="O172">
            <v>715.05472921015144</v>
          </cell>
          <cell r="P172">
            <v>715.17166059681313</v>
          </cell>
        </row>
        <row r="173">
          <cell r="B173" t="str">
            <v>ITOT-CHPWSTCCS</v>
          </cell>
          <cell r="C173" t="str">
            <v>VAR_fout</v>
          </cell>
          <cell r="D173" t="str">
            <v>CO2</v>
          </cell>
          <cell r="J173">
            <v>-58.352515701655598</v>
          </cell>
          <cell r="K173">
            <v>-753.861148839252</v>
          </cell>
          <cell r="L173">
            <v>-715.12262405461104</v>
          </cell>
          <cell r="M173">
            <v>-715.06072198667198</v>
          </cell>
          <cell r="N173">
            <v>-714.89664186399796</v>
          </cell>
          <cell r="O173">
            <v>-715.05472921015098</v>
          </cell>
          <cell r="P173">
            <v>-715.17166059681301</v>
          </cell>
        </row>
        <row r="174">
          <cell r="B174" t="str">
            <v>ITOT-CHPWSTCCS</v>
          </cell>
          <cell r="C174" t="str">
            <v>VAR_fout</v>
          </cell>
          <cell r="D174" t="str">
            <v>ITOT_LTH_CHP</v>
          </cell>
          <cell r="J174">
            <v>0.23250266559817523</v>
          </cell>
          <cell r="K174">
            <v>2.5182503714797058</v>
          </cell>
          <cell r="L174">
            <v>2.0112017474551771</v>
          </cell>
          <cell r="M174">
            <v>2.0110276548687871</v>
          </cell>
          <cell r="N174">
            <v>2.0105661980244065</v>
          </cell>
          <cell r="O174">
            <v>2.0110108008605314</v>
          </cell>
          <cell r="P174">
            <v>2.0113396572010749</v>
          </cell>
        </row>
        <row r="175">
          <cell r="B175" t="str">
            <v>ITOT-CHPWSTCCS</v>
          </cell>
          <cell r="C175" t="str">
            <v>VAR_fout</v>
          </cell>
          <cell r="D175" t="str">
            <v>ITOT_KEV_WST_ELC_CHP</v>
          </cell>
          <cell r="J175">
            <v>4.5903431085571371E-2</v>
          </cell>
          <cell r="K175">
            <v>0.5955220868503811</v>
          </cell>
          <cell r="L175">
            <v>0.59288181935816031</v>
          </cell>
          <cell r="M175">
            <v>0.59283049863437709</v>
          </cell>
          <cell r="N175">
            <v>0.59269446585009755</v>
          </cell>
          <cell r="O175">
            <v>0.59282553024416418</v>
          </cell>
          <cell r="P175">
            <v>0.59292247374858076</v>
          </cell>
        </row>
        <row r="176">
          <cell r="B176" t="str">
            <v>ITOT-CHPWSTCCS</v>
          </cell>
          <cell r="C176" t="str">
            <v>VAR_fout</v>
          </cell>
          <cell r="D176" t="str">
            <v>CO2_I</v>
          </cell>
          <cell r="J176">
            <v>76.374880527359906</v>
          </cell>
          <cell r="K176">
            <v>990.83940261054704</v>
          </cell>
          <cell r="L176">
            <v>986.44648231004396</v>
          </cell>
          <cell r="M176">
            <v>986.36109404919</v>
          </cell>
          <cell r="N176">
            <v>986.13476047452195</v>
          </cell>
          <cell r="O176">
            <v>986.35282756017205</v>
          </cell>
          <cell r="P176">
            <v>986.51412375073505</v>
          </cell>
        </row>
        <row r="177">
          <cell r="B177" t="str">
            <v>ITOT-CHPWSTCCS</v>
          </cell>
          <cell r="C177" t="str">
            <v>VAR_fin</v>
          </cell>
          <cell r="D177" t="str">
            <v>IWST</v>
          </cell>
          <cell r="J177">
            <v>0.82300517809655016</v>
          </cell>
          <cell r="K177">
            <v>10.677148735027448</v>
          </cell>
          <cell r="L177">
            <v>10.629811231789253</v>
          </cell>
          <cell r="M177">
            <v>10.628891099667991</v>
          </cell>
          <cell r="N177">
            <v>10.62645216028581</v>
          </cell>
          <cell r="O177">
            <v>10.628802021122544</v>
          </cell>
          <cell r="P177">
            <v>10.630540126624293</v>
          </cell>
        </row>
        <row r="178">
          <cell r="B178" t="str">
            <v>ITOT-CHPWSTCCS</v>
          </cell>
          <cell r="C178" t="str">
            <v>VAR_ncap</v>
          </cell>
          <cell r="D178" t="str">
            <v>-</v>
          </cell>
          <cell r="J178">
            <v>2.8171955370456499E-3</v>
          </cell>
          <cell r="K178">
            <v>3.0566652171149199E-2</v>
          </cell>
          <cell r="L178">
            <v>3.4756290447650498E-3</v>
          </cell>
          <cell r="M178">
            <v>1.64974227623824E-7</v>
          </cell>
          <cell r="N178">
            <v>5.3356323076336101E-7</v>
          </cell>
          <cell r="O178">
            <v>1.1850479089037101E-6</v>
          </cell>
          <cell r="P178">
            <v>2.33144541494738E-3</v>
          </cell>
        </row>
        <row r="179">
          <cell r="B179" t="str">
            <v>ITOT-CHPWSTCCS</v>
          </cell>
          <cell r="C179" t="str">
            <v>VAR_cap</v>
          </cell>
          <cell r="D179" t="str">
            <v>-</v>
          </cell>
          <cell r="J179">
            <v>2.8171955370456499E-3</v>
          </cell>
          <cell r="K179">
            <v>3.3383819141018865E-2</v>
          </cell>
          <cell r="L179">
            <v>3.6859422727153354E-2</v>
          </cell>
          <cell r="M179">
            <v>3.6859484344931338E-2</v>
          </cell>
          <cell r="N179">
            <v>3.6859718063175576E-2</v>
          </cell>
          <cell r="O179">
            <v>3.6419599489582878E-2</v>
          </cell>
          <cell r="P179">
            <v>3.6374869711264239E-2</v>
          </cell>
        </row>
        <row r="180">
          <cell r="B180" t="str">
            <v>RHEM-CHPGFC</v>
          </cell>
          <cell r="C180" t="str">
            <v>VAR_fout</v>
          </cell>
          <cell r="D180" t="str">
            <v>CO2_R</v>
          </cell>
          <cell r="M180">
            <v>0.12761164873140299</v>
          </cell>
          <cell r="N180">
            <v>0.21759538048386101</v>
          </cell>
          <cell r="O180">
            <v>0.20275937576550701</v>
          </cell>
          <cell r="P180">
            <v>0.447265317552268</v>
          </cell>
        </row>
        <row r="181">
          <cell r="B181" t="str">
            <v>RHEM-CHPGFC</v>
          </cell>
          <cell r="C181" t="str">
            <v>VAR_fout</v>
          </cell>
          <cell r="D181" t="str">
            <v>RHEM_LTH_CHPNGA</v>
          </cell>
          <cell r="M181">
            <v>1.0181780483888522E-3</v>
          </cell>
          <cell r="N181">
            <v>1.7361333549244246E-3</v>
          </cell>
          <cell r="O181">
            <v>1.617760976852449E-3</v>
          </cell>
          <cell r="P181">
            <v>3.5686062570659698E-3</v>
          </cell>
        </row>
        <row r="182">
          <cell r="B182" t="str">
            <v>RHEM-CHPGFC</v>
          </cell>
          <cell r="C182" t="str">
            <v>VAR_fout</v>
          </cell>
          <cell r="D182" t="str">
            <v>RHEM_NKEV_GAS_ELC_CHP</v>
          </cell>
          <cell r="J182"/>
          <cell r="K182"/>
          <cell r="L182"/>
          <cell r="M182">
            <v>1.0181780483888522E-3</v>
          </cell>
          <cell r="N182">
            <v>1.7361333549244246E-3</v>
          </cell>
          <cell r="O182">
            <v>1.617760976852449E-3</v>
          </cell>
          <cell r="P182">
            <v>3.5686062570659698E-3</v>
          </cell>
        </row>
        <row r="183">
          <cell r="B183" t="str">
            <v>RHEM-CHPGFC</v>
          </cell>
          <cell r="C183" t="str">
            <v>VAR_fin</v>
          </cell>
          <cell r="D183" t="str">
            <v>RNGA</v>
          </cell>
          <cell r="J183"/>
          <cell r="K183"/>
          <cell r="L183"/>
          <cell r="M183">
            <v>2.2626178853085593E-3</v>
          </cell>
          <cell r="N183">
            <v>3.8580741220542738E-3</v>
          </cell>
          <cell r="O183">
            <v>3.5950243930054451E-3</v>
          </cell>
          <cell r="P183">
            <v>7.9302361268132667E-3</v>
          </cell>
        </row>
        <row r="184">
          <cell r="B184" t="str">
            <v>RHEM-CHPGFC</v>
          </cell>
          <cell r="C184" t="str">
            <v>VAR_ncap</v>
          </cell>
          <cell r="D184" t="str">
            <v>-</v>
          </cell>
          <cell r="J184"/>
          <cell r="K184"/>
          <cell r="L184"/>
          <cell r="M184">
            <v>1.09933213666914E-4</v>
          </cell>
          <cell r="N184">
            <v>7.6381217525523594E-5</v>
          </cell>
          <cell r="O184">
            <v>1.0193699095396499E-6</v>
          </cell>
          <cell r="P184">
            <v>1.9420657205652199E-4</v>
          </cell>
        </row>
        <row r="185">
          <cell r="B185" t="str">
            <v>RHEM-CHPGFC</v>
          </cell>
          <cell r="C185" t="str">
            <v>VAR_cap</v>
          </cell>
          <cell r="D185" t="str">
            <v>-</v>
          </cell>
          <cell r="J185"/>
          <cell r="K185"/>
          <cell r="L185"/>
          <cell r="M185">
            <v>1.09933213666914E-4</v>
          </cell>
          <cell r="N185">
            <v>1.8624005119025834E-4</v>
          </cell>
          <cell r="O185">
            <v>1.8701483863019182E-4</v>
          </cell>
          <cell r="P185">
            <v>3.8062654690961879E-4</v>
          </cell>
        </row>
        <row r="186">
          <cell r="B186" t="str">
            <v>EHYD-RUNS10</v>
          </cell>
          <cell r="C186" t="str">
            <v>VAR_fout</v>
          </cell>
          <cell r="D186" t="str">
            <v>ELC35</v>
          </cell>
          <cell r="F186">
            <v>1.2580858041357111E-3</v>
          </cell>
          <cell r="G186">
            <v>3.3150031621498551E-3</v>
          </cell>
          <cell r="H186">
            <v>4.0414337989602405E-3</v>
          </cell>
          <cell r="I186">
            <v>4.2336878698179372E-3</v>
          </cell>
          <cell r="J186">
            <v>4.2700248117023528E-3</v>
          </cell>
          <cell r="K186">
            <v>4.3323201495987524E-3</v>
          </cell>
          <cell r="L186">
            <v>4.2408042295730116E-3</v>
          </cell>
          <cell r="M186">
            <v>4.2387331537467338E-3</v>
          </cell>
          <cell r="N186">
            <v>4.0754367523212851E-3</v>
          </cell>
          <cell r="O186">
            <v>4.1626770567935803E-3</v>
          </cell>
          <cell r="P186">
            <v>4.7625595199885691E-3</v>
          </cell>
        </row>
        <row r="187">
          <cell r="B187" t="str">
            <v>EHYD-RUNS10</v>
          </cell>
          <cell r="C187" t="str">
            <v>VAR_fin</v>
          </cell>
          <cell r="D187" t="str">
            <v>HYDR</v>
          </cell>
          <cell r="F187">
            <v>1.2580858041357111E-3</v>
          </cell>
          <cell r="G187">
            <v>3.3150031621498551E-3</v>
          </cell>
          <cell r="H187">
            <v>4.0414337989602405E-3</v>
          </cell>
          <cell r="I187">
            <v>4.2336878698179372E-3</v>
          </cell>
          <cell r="J187">
            <v>4.2700248117023528E-3</v>
          </cell>
          <cell r="K187">
            <v>4.3323201495987524E-3</v>
          </cell>
          <cell r="L187">
            <v>4.2408042295730116E-3</v>
          </cell>
          <cell r="M187">
            <v>4.2387331537467338E-3</v>
          </cell>
          <cell r="N187">
            <v>4.0754367523212851E-3</v>
          </cell>
          <cell r="O187">
            <v>4.1626770567935803E-3</v>
          </cell>
          <cell r="P187">
            <v>4.7625595199885691E-3</v>
          </cell>
        </row>
        <row r="188">
          <cell r="B188" t="str">
            <v>EHYD-RUNS10</v>
          </cell>
          <cell r="C188" t="str">
            <v>VAR_ncap</v>
          </cell>
          <cell r="D188" t="str">
            <v>-</v>
          </cell>
          <cell r="F188">
            <v>1.13491677971256E-4</v>
          </cell>
          <cell r="G188">
            <v>1.8296073419470099E-4</v>
          </cell>
          <cell r="H188">
            <v>4.5031677885311499E-5</v>
          </cell>
          <cell r="I188">
            <v>5.11196825364589E-6</v>
          </cell>
          <cell r="J188">
            <v>2.2577439253304301E-7</v>
          </cell>
          <cell r="K188">
            <v>4.9947955643984505E-7</v>
          </cell>
          <cell r="L188">
            <v>1.08398787407662E-7</v>
          </cell>
          <cell r="M188">
            <v>5.6237698988112002E-8</v>
          </cell>
          <cell r="N188">
            <v>2.5561597911122801E-7</v>
          </cell>
          <cell r="O188">
            <v>2.9021738902677298E-7</v>
          </cell>
          <cell r="P188">
            <v>6.0738087915636001E-5</v>
          </cell>
        </row>
        <row r="189">
          <cell r="B189" t="str">
            <v>EHYD-RUNS10</v>
          </cell>
          <cell r="C189" t="str">
            <v>VAR_cap</v>
          </cell>
          <cell r="D189" t="str">
            <v>-</v>
          </cell>
          <cell r="F189">
            <v>1.13491677971256E-4</v>
          </cell>
          <cell r="G189">
            <v>2.9645241216595702E-4</v>
          </cell>
          <cell r="H189">
            <v>3.4148409005126801E-4</v>
          </cell>
          <cell r="I189">
            <v>3.4659605830491402E-4</v>
          </cell>
          <cell r="J189">
            <v>3.46821832697447E-4</v>
          </cell>
          <cell r="K189">
            <v>3.4732131225388702E-4</v>
          </cell>
          <cell r="L189">
            <v>3.4742971104129503E-4</v>
          </cell>
          <cell r="M189">
            <v>3.4748594874028297E-4</v>
          </cell>
          <cell r="N189">
            <v>3.4774156471939401E-4</v>
          </cell>
          <cell r="O189">
            <v>3.48031782108421E-4</v>
          </cell>
          <cell r="P189">
            <v>4.0876987002405699E-4</v>
          </cell>
        </row>
        <row r="190">
          <cell r="B190" t="str">
            <v>SUP_WSTBIO</v>
          </cell>
          <cell r="C190" t="str">
            <v>VAR_fout</v>
          </cell>
          <cell r="D190" t="str">
            <v>ELC35</v>
          </cell>
          <cell r="E190">
            <v>0.11258824251652581</v>
          </cell>
          <cell r="F190">
            <v>0.12334905029475071</v>
          </cell>
          <cell r="G190">
            <v>0.11916557820962549</v>
          </cell>
          <cell r="H190">
            <v>0.12295965771977717</v>
          </cell>
          <cell r="I190">
            <v>0.122716301753463</v>
          </cell>
          <cell r="J190">
            <v>0.11665143470750833</v>
          </cell>
          <cell r="K190">
            <v>0.1843398524447836</v>
          </cell>
          <cell r="L190">
            <v>0.19689389266356283</v>
          </cell>
          <cell r="M190">
            <v>0.20610662425541842</v>
          </cell>
          <cell r="N190">
            <v>0.20612778905719986</v>
          </cell>
          <cell r="O190">
            <v>0.20613514090998303</v>
          </cell>
          <cell r="P190">
            <v>0.2061386547213471</v>
          </cell>
        </row>
        <row r="191">
          <cell r="B191" t="str">
            <v>SUP_WSTBIO</v>
          </cell>
          <cell r="C191" t="str">
            <v>VAR_fout</v>
          </cell>
          <cell r="D191" t="str">
            <v>BIO</v>
          </cell>
          <cell r="E191">
            <v>5.6294121258262972</v>
          </cell>
          <cell r="F191">
            <v>6.1674525147375281</v>
          </cell>
          <cell r="G191">
            <v>5.9582789104812717</v>
          </cell>
          <cell r="H191">
            <v>6.1479828859888528</v>
          </cell>
          <cell r="I191">
            <v>6.1358150876731514</v>
          </cell>
          <cell r="J191">
            <v>5.8325717353754145</v>
          </cell>
          <cell r="K191">
            <v>9.216992622239184</v>
          </cell>
          <cell r="L191">
            <v>9.8446946331781486</v>
          </cell>
          <cell r="M191">
            <v>10.305331212770925</v>
          </cell>
          <cell r="N191">
            <v>10.306389452859994</v>
          </cell>
          <cell r="O191">
            <v>10.306757045499156</v>
          </cell>
          <cell r="P191">
            <v>10.306932736067346</v>
          </cell>
        </row>
        <row r="192">
          <cell r="B192" t="str">
            <v>SUP_WSTBIO</v>
          </cell>
          <cell r="C192" t="str">
            <v>VAR_fin</v>
          </cell>
          <cell r="D192" t="str">
            <v>CWST</v>
          </cell>
          <cell r="E192">
            <v>9.6793720494921835</v>
          </cell>
          <cell r="F192">
            <v>10.604494066768703</v>
          </cell>
          <cell r="G192">
            <v>10.244834995221783</v>
          </cell>
          <cell r="H192">
            <v>10.571017430823119</v>
          </cell>
          <cell r="I192">
            <v>10.550095770747717</v>
          </cell>
          <cell r="J192">
            <v>10.028690486711206</v>
          </cell>
          <cell r="K192">
            <v>15.847960457324392</v>
          </cell>
          <cell r="L192">
            <v>16.927249229276029</v>
          </cell>
          <cell r="M192">
            <v>17.719280925272979</v>
          </cell>
          <cell r="N192">
            <v>17.721100493517561</v>
          </cell>
          <cell r="O192">
            <v>17.721732542803956</v>
          </cell>
          <cell r="P192">
            <v>17.722034630186663</v>
          </cell>
        </row>
        <row r="193">
          <cell r="B193" t="str">
            <v>SUP_WSTBIO</v>
          </cell>
          <cell r="C193" t="str">
            <v>VAR_ncap</v>
          </cell>
          <cell r="D193" t="str">
            <v>-</v>
          </cell>
          <cell r="E193">
            <v>4.0972934153102698E-3</v>
          </cell>
          <cell r="F193">
            <v>2.0325455720252399E-2</v>
          </cell>
          <cell r="G193">
            <v>4.6613271418425799E-7</v>
          </cell>
          <cell r="H193">
            <v>7.2849751829677206E-2</v>
          </cell>
          <cell r="I193">
            <v>0.11685389938525199</v>
          </cell>
          <cell r="J193">
            <v>1.6444164041340099E-2</v>
          </cell>
          <cell r="K193">
            <v>0.16514386111792101</v>
          </cell>
          <cell r="L193">
            <v>7.3469982128026398E-2</v>
          </cell>
          <cell r="M193">
            <v>0.100962426853686</v>
          </cell>
          <cell r="N193">
            <v>4.97777302596112E-2</v>
          </cell>
          <cell r="O193">
            <v>0.16515765096561399</v>
          </cell>
          <cell r="P193">
            <v>7.3477613944125997E-2</v>
          </cell>
        </row>
        <row r="194">
          <cell r="B194" t="str">
            <v>SUP_WSTBIO</v>
          </cell>
          <cell r="C194" t="str">
            <v>VAR_cap</v>
          </cell>
          <cell r="D194" t="str">
            <v>-</v>
          </cell>
          <cell r="E194">
            <v>0.21266760303449433</v>
          </cell>
          <cell r="F194">
            <v>0.232992769899145</v>
          </cell>
          <cell r="G194">
            <v>0.23299168775530324</v>
          </cell>
          <cell r="H194">
            <v>0.23225720880814266</v>
          </cell>
          <cell r="I194">
            <v>0.23179768272160892</v>
          </cell>
          <cell r="J194">
            <v>0.2203417616522288</v>
          </cell>
          <cell r="K194">
            <v>0.34819652480258839</v>
          </cell>
          <cell r="L194">
            <v>0.37191106314934336</v>
          </cell>
          <cell r="M194">
            <v>0.38931262431325031</v>
          </cell>
          <cell r="N194">
            <v>0.38935274941666481</v>
          </cell>
          <cell r="O194">
            <v>0.38936656106223816</v>
          </cell>
          <cell r="P194">
            <v>0.38937380987658793</v>
          </cell>
        </row>
        <row r="195">
          <cell r="B195" t="str">
            <v>ITOT-CHPNGACCS</v>
          </cell>
          <cell r="C195" t="str">
            <v>VAR_fout</v>
          </cell>
          <cell r="D195" t="str">
            <v>CO2_O</v>
          </cell>
          <cell r="J195">
            <v>0.70307075519273021</v>
          </cell>
          <cell r="K195">
            <v>37.858718360385019</v>
          </cell>
          <cell r="L195">
            <v>37.972353470244727</v>
          </cell>
          <cell r="M195">
            <v>37.949802380163931</v>
          </cell>
          <cell r="N195">
            <v>31.846153246754909</v>
          </cell>
          <cell r="O195">
            <v>37.958992247443611</v>
          </cell>
          <cell r="P195">
            <v>37.983419163188685</v>
          </cell>
        </row>
        <row r="196">
          <cell r="B196" t="str">
            <v>ITOT-CHPNGACCS</v>
          </cell>
          <cell r="C196" t="str">
            <v>VAR_fout</v>
          </cell>
          <cell r="D196" t="str">
            <v>CO2</v>
          </cell>
          <cell r="J196">
            <v>-0.70307075519273099</v>
          </cell>
          <cell r="K196">
            <v>-37.858718360384998</v>
          </cell>
          <cell r="L196">
            <v>-37.972353470244698</v>
          </cell>
          <cell r="M196">
            <v>-37.949802380163902</v>
          </cell>
          <cell r="N196">
            <v>-31.846153246754898</v>
          </cell>
          <cell r="O196">
            <v>-37.958992247443597</v>
          </cell>
          <cell r="P196">
            <v>-37.983419163188699</v>
          </cell>
        </row>
        <row r="197">
          <cell r="B197" t="str">
            <v>ITOT-CHPNGACCS</v>
          </cell>
          <cell r="C197" t="str">
            <v>VAR_fout</v>
          </cell>
          <cell r="D197" t="str">
            <v>ITOT_NKEV_GAS_ELC_CHP</v>
          </cell>
          <cell r="J197">
            <v>4.5381091059535491E-3</v>
          </cell>
          <cell r="K197">
            <v>0.24435640379102205</v>
          </cell>
          <cell r="L197">
            <v>0.24510005825881095</v>
          </cell>
          <cell r="M197">
            <v>0.2449544977921167</v>
          </cell>
          <cell r="N197">
            <v>0.20555728846817636</v>
          </cell>
          <cell r="O197">
            <v>0.24501381560625765</v>
          </cell>
          <cell r="P197">
            <v>0.24517148396033769</v>
          </cell>
        </row>
        <row r="198">
          <cell r="B198" t="str">
            <v>ITOT-CHPNGACCS</v>
          </cell>
          <cell r="C198" t="str">
            <v>VAR_fout</v>
          </cell>
          <cell r="D198" t="str">
            <v>ITOT_LTH_CHP</v>
          </cell>
          <cell r="J198">
            <v>5.1398991182091186E-3</v>
          </cell>
          <cell r="K198">
            <v>0.27341908598960152</v>
          </cell>
          <cell r="L198">
            <v>0.27090006439131809</v>
          </cell>
          <cell r="M198">
            <v>0.27073918177023493</v>
          </cell>
          <cell r="N198">
            <v>0.22719489778061638</v>
          </cell>
          <cell r="O198">
            <v>0.27080474356481188</v>
          </cell>
          <cell r="P198">
            <v>0.27097900858774271</v>
          </cell>
        </row>
        <row r="199">
          <cell r="B199" t="str">
            <v>ITOT-CHPNGACCS</v>
          </cell>
          <cell r="C199" t="str">
            <v>VAR_fout</v>
          </cell>
          <cell r="D199" t="str">
            <v>CO2_I</v>
          </cell>
          <cell r="J199">
            <v>0.83751118024223203</v>
          </cell>
          <cell r="K199">
            <v>42.613072839489703</v>
          </cell>
          <cell r="L199">
            <v>42.7358576587608</v>
          </cell>
          <cell r="M199">
            <v>42.816275488202798</v>
          </cell>
          <cell r="N199">
            <v>35.960607856975699</v>
          </cell>
          <cell r="O199">
            <v>42.895230007535197</v>
          </cell>
          <cell r="P199">
            <v>43.0415118783406</v>
          </cell>
        </row>
        <row r="200">
          <cell r="B200" t="str">
            <v>ITOT-CHPNGACCS</v>
          </cell>
          <cell r="C200" t="str">
            <v>VAR_fin</v>
          </cell>
          <cell r="D200" t="str">
            <v>INGA</v>
          </cell>
          <cell r="J200">
            <v>1.4849489011387102E-2</v>
          </cell>
          <cell r="K200">
            <v>0.75555093687038433</v>
          </cell>
          <cell r="L200">
            <v>0.75772797267306546</v>
          </cell>
          <cell r="M200">
            <v>0.75915382071281501</v>
          </cell>
          <cell r="N200">
            <v>0.63759943008822062</v>
          </cell>
          <cell r="O200">
            <v>0.76055372353785777</v>
          </cell>
          <cell r="P200">
            <v>0.76314737372944363</v>
          </cell>
        </row>
        <row r="201">
          <cell r="B201" t="str">
            <v>ITOT-CHPNGACCS</v>
          </cell>
          <cell r="C201" t="str">
            <v>VAR_ncap</v>
          </cell>
          <cell r="D201" t="str">
            <v>-</v>
          </cell>
          <cell r="J201">
            <v>6.0194286883080304E-4</v>
          </cell>
          <cell r="K201">
            <v>1.37849779527239E-2</v>
          </cell>
          <cell r="L201">
            <v>3.9715075637064999E-3</v>
          </cell>
          <cell r="M201">
            <v>1.79364770293697E-6</v>
          </cell>
          <cell r="N201">
            <v>8.4664222421755704E-6</v>
          </cell>
          <cell r="O201">
            <v>1.37815079010821E-2</v>
          </cell>
          <cell r="P201">
            <v>4.0967390035122099E-3</v>
          </cell>
        </row>
        <row r="202">
          <cell r="B202" t="str">
            <v>ITOT-CHPNGACCS</v>
          </cell>
          <cell r="C202" t="str">
            <v>VAR_cap</v>
          </cell>
          <cell r="D202" t="str">
            <v>-</v>
          </cell>
          <cell r="J202">
            <v>6.0194286883080304E-4</v>
          </cell>
          <cell r="K202">
            <v>1.4386800937020152E-2</v>
          </cell>
          <cell r="L202">
            <v>1.8357923352777954E-2</v>
          </cell>
          <cell r="M202">
            <v>1.8279524427028012E-2</v>
          </cell>
          <cell r="N202">
            <v>1.7764431017730693E-2</v>
          </cell>
          <cell r="O202">
            <v>1.7762104150109891E-2</v>
          </cell>
          <cell r="P202">
            <v>1.7887100060015898E-2</v>
          </cell>
        </row>
        <row r="203">
          <cell r="B203" t="str">
            <v>SCOM-ESOLPV</v>
          </cell>
          <cell r="C203" t="str">
            <v>VAR_fout</v>
          </cell>
          <cell r="D203" t="str">
            <v>SCOM_SOL_ELC</v>
          </cell>
          <cell r="E203">
            <v>2.8396236857719668</v>
          </cell>
          <cell r="F203">
            <v>3.2944550725739599</v>
          </cell>
          <cell r="G203">
            <v>6.7409207172650021</v>
          </cell>
          <cell r="H203">
            <v>7.7939917402622712</v>
          </cell>
          <cell r="I203">
            <v>24.712980513430871</v>
          </cell>
          <cell r="J203">
            <v>26.122042275639355</v>
          </cell>
          <cell r="K203">
            <v>27.454534981221936</v>
          </cell>
          <cell r="L203">
            <v>28.854993544103994</v>
          </cell>
          <cell r="M203">
            <v>30.326889011475654</v>
          </cell>
          <cell r="N203">
            <v>31.873866272027552</v>
          </cell>
          <cell r="O203">
            <v>33.499755606364026</v>
          </cell>
          <cell r="P203">
            <v>35.208587490876461</v>
          </cell>
        </row>
        <row r="204">
          <cell r="B204" t="str">
            <v>SCOM-ESOLPV</v>
          </cell>
          <cell r="C204" t="str">
            <v>VAR_fin</v>
          </cell>
          <cell r="D204" t="str">
            <v>SOL</v>
          </cell>
          <cell r="E204">
            <v>2.8396236857719668</v>
          </cell>
          <cell r="F204">
            <v>3.2944550725739599</v>
          </cell>
          <cell r="G204">
            <v>6.7409207172650021</v>
          </cell>
          <cell r="H204">
            <v>7.7939917402622712</v>
          </cell>
          <cell r="I204">
            <v>24.712980513430871</v>
          </cell>
          <cell r="J204">
            <v>26.122042275639355</v>
          </cell>
          <cell r="K204">
            <v>27.454534981221936</v>
          </cell>
          <cell r="L204">
            <v>28.854993544103994</v>
          </cell>
          <cell r="M204">
            <v>30.326889011475654</v>
          </cell>
          <cell r="N204">
            <v>31.873866272027552</v>
          </cell>
          <cell r="O204">
            <v>33.499755606364026</v>
          </cell>
          <cell r="P204">
            <v>35.208587490876461</v>
          </cell>
        </row>
        <row r="205">
          <cell r="B205" t="str">
            <v>SCOM-ESOLPV</v>
          </cell>
          <cell r="C205" t="str">
            <v>VAR_fin</v>
          </cell>
          <cell r="D205" t="str">
            <v>SOLPVC</v>
          </cell>
          <cell r="E205">
            <v>2.8396236857719699</v>
          </cell>
          <cell r="F205">
            <v>3.2944550725739599</v>
          </cell>
          <cell r="G205">
            <v>6.7409207172650003</v>
          </cell>
          <cell r="H205">
            <v>7.7939917402622703</v>
          </cell>
          <cell r="I205">
            <v>24.7129805134309</v>
          </cell>
          <cell r="J205">
            <v>26.122042275639402</v>
          </cell>
          <cell r="K205">
            <v>27.454534981221901</v>
          </cell>
          <cell r="L205">
            <v>28.854993544104001</v>
          </cell>
          <cell r="M205">
            <v>30.3268890114757</v>
          </cell>
          <cell r="N205">
            <v>31.873866272027598</v>
          </cell>
          <cell r="O205">
            <v>33.499755606363998</v>
          </cell>
          <cell r="P205">
            <v>35.208587490876504</v>
          </cell>
        </row>
        <row r="206">
          <cell r="B206" t="str">
            <v>SCOM-ESOLPV</v>
          </cell>
          <cell r="C206" t="str">
            <v>VAR_ncap</v>
          </cell>
          <cell r="D206" t="str">
            <v>-</v>
          </cell>
          <cell r="F206">
            <v>1.18804476541489E-8</v>
          </cell>
          <cell r="G206">
            <v>0.83747467394013597</v>
          </cell>
          <cell r="H206">
            <v>3.15805627398674E-6</v>
          </cell>
          <cell r="I206">
            <v>4.6523764677089403</v>
          </cell>
          <cell r="J206">
            <v>0.71587309009113498</v>
          </cell>
          <cell r="K206">
            <v>1.2753249173446699</v>
          </cell>
          <cell r="L206">
            <v>0.49479337772591497</v>
          </cell>
          <cell r="M206">
            <v>3.6990774031871898</v>
          </cell>
          <cell r="N206">
            <v>2.41600395358773</v>
          </cell>
          <cell r="O206">
            <v>1.6775498674171601</v>
          </cell>
          <cell r="P206">
            <v>0.91753735259115199</v>
          </cell>
        </row>
        <row r="207">
          <cell r="B207" t="str">
            <v>SCOM-ESOLPV</v>
          </cell>
          <cell r="C207" t="str">
            <v>VAR_cap</v>
          </cell>
          <cell r="D207" t="str">
            <v>-</v>
          </cell>
          <cell r="E207">
            <v>0.90292899999999998</v>
          </cell>
          <cell r="F207">
            <v>1.1231012734484578</v>
          </cell>
          <cell r="G207">
            <v>2.012703685820584</v>
          </cell>
          <cell r="H207">
            <v>1.928137022117538</v>
          </cell>
          <cell r="I207">
            <v>6.113685132450339</v>
          </cell>
          <cell r="J207">
            <v>6.4622696050263118</v>
          </cell>
          <cell r="K207">
            <v>6.7919117569846499</v>
          </cell>
          <cell r="L207">
            <v>7.1383678528706502</v>
          </cell>
          <cell r="M207">
            <v>7.5024965816988498</v>
          </cell>
          <cell r="N207">
            <v>7.8851996518455003</v>
          </cell>
          <cell r="O207">
            <v>8.2874246019179907</v>
          </cell>
          <cell r="P207">
            <v>8.7101685767832304</v>
          </cell>
        </row>
        <row r="208">
          <cell r="B208" t="str">
            <v>NUCSPLTR</v>
          </cell>
          <cell r="C208" t="str">
            <v>VAR_fout</v>
          </cell>
          <cell r="D208" t="str">
            <v>LTH</v>
          </cell>
          <cell r="J208"/>
          <cell r="K208"/>
          <cell r="L208"/>
          <cell r="M208">
            <v>4.6611279954164004</v>
          </cell>
          <cell r="N208">
            <v>9.3353637957245361</v>
          </cell>
          <cell r="O208">
            <v>9.3353632069584442</v>
          </cell>
          <cell r="P208">
            <v>9.3353853783738909</v>
          </cell>
        </row>
        <row r="209">
          <cell r="B209" t="str">
            <v>NUCSPLTR</v>
          </cell>
          <cell r="C209" t="str">
            <v>VAR_fout</v>
          </cell>
          <cell r="D209" t="str">
            <v>IHTH</v>
          </cell>
          <cell r="J209"/>
          <cell r="K209"/>
          <cell r="L209"/>
          <cell r="M209">
            <v>0.6123706441935679</v>
          </cell>
          <cell r="N209">
            <v>2.6480011155950929</v>
          </cell>
          <cell r="O209">
            <v>1.7082741696524326</v>
          </cell>
          <cell r="P209">
            <v>1.5568421254221547</v>
          </cell>
        </row>
        <row r="210">
          <cell r="B210" t="str">
            <v>NUCSPLTR</v>
          </cell>
          <cell r="C210" t="str">
            <v>VAR_fin</v>
          </cell>
          <cell r="D210" t="str">
            <v>HTH</v>
          </cell>
          <cell r="J210"/>
          <cell r="K210"/>
          <cell r="L210"/>
          <cell r="M210">
            <v>5.7914017502117945</v>
          </cell>
          <cell r="N210">
            <v>13.020627555289032</v>
          </cell>
          <cell r="O210">
            <v>12.080899955161819</v>
          </cell>
          <cell r="P210">
            <v>11.929492545837592</v>
          </cell>
        </row>
        <row r="211">
          <cell r="B211" t="str">
            <v>D-SCOM_LTH</v>
          </cell>
          <cell r="C211" t="str">
            <v>VAR_fout</v>
          </cell>
          <cell r="D211" t="str">
            <v>SCOM_LTH_DH</v>
          </cell>
          <cell r="E211">
            <v>5.6100016140122939</v>
          </cell>
          <cell r="F211">
            <v>6.076703222913248</v>
          </cell>
          <cell r="G211">
            <v>6.0767035312703683</v>
          </cell>
          <cell r="H211">
            <v>6.0767035648054666</v>
          </cell>
          <cell r="I211">
            <v>6.0767033945025517</v>
          </cell>
          <cell r="J211">
            <v>6.0767057978945642</v>
          </cell>
          <cell r="K211">
            <v>6.4266772032736368</v>
          </cell>
          <cell r="L211">
            <v>6.4266957517773635</v>
          </cell>
          <cell r="M211">
            <v>8.4102213325481028</v>
          </cell>
          <cell r="N211">
            <v>8.4102263583822676</v>
          </cell>
          <cell r="O211">
            <v>8.4102301755979507</v>
          </cell>
          <cell r="P211">
            <v>8.4102387073310112</v>
          </cell>
        </row>
        <row r="212">
          <cell r="B212" t="str">
            <v>D-SCOM_LTH</v>
          </cell>
          <cell r="C212" t="str">
            <v>VAR_fin</v>
          </cell>
          <cell r="D212" t="str">
            <v>LTH</v>
          </cell>
          <cell r="E212">
            <v>6.098777488334524</v>
          </cell>
          <cell r="F212">
            <v>6.6044046742357283</v>
          </cell>
          <cell r="G212">
            <v>6.6018024591239186</v>
          </cell>
          <cell r="H212">
            <v>6.5974694668776932</v>
          </cell>
          <cell r="I212">
            <v>6.5931419375736313</v>
          </cell>
          <cell r="J212">
            <v>6.5888228720799624</v>
          </cell>
          <cell r="K212">
            <v>6.9637236924559813</v>
          </cell>
          <cell r="L212">
            <v>6.9591851736666417</v>
          </cell>
          <cell r="M212">
            <v>9.1070574779484481</v>
          </cell>
          <cell r="N212">
            <v>9.107062920202436</v>
          </cell>
          <cell r="O212">
            <v>9.1070670536968148</v>
          </cell>
          <cell r="P212">
            <v>9.1070762923339821</v>
          </cell>
        </row>
        <row r="213">
          <cell r="B213" t="str">
            <v>D-SCOM_LTH</v>
          </cell>
          <cell r="C213" t="str">
            <v>VAR_ncap</v>
          </cell>
          <cell r="D213" t="str">
            <v>-</v>
          </cell>
          <cell r="E213">
            <v>0.84970028276832599</v>
          </cell>
          <cell r="F213">
            <v>5.9040227205833401E-8</v>
          </cell>
          <cell r="G213">
            <v>4.4540634795209199E-8</v>
          </cell>
          <cell r="H213">
            <v>3.6735792786614397E-8</v>
          </cell>
          <cell r="I213">
            <v>3.6764601884673802E-8</v>
          </cell>
          <cell r="J213">
            <v>7.4278807229925003E-8</v>
          </cell>
          <cell r="K213">
            <v>5.8259802146908901E-8</v>
          </cell>
          <cell r="L213">
            <v>1.10342848168833E-7</v>
          </cell>
          <cell r="M213">
            <v>1.0697804634635799E-7</v>
          </cell>
          <cell r="N213">
            <v>2.18728184709807E-7</v>
          </cell>
          <cell r="O213">
            <v>3.3916499926674799E-7</v>
          </cell>
          <cell r="P213">
            <v>1.3841363585982699E-6</v>
          </cell>
        </row>
        <row r="214">
          <cell r="B214" t="str">
            <v>D-SCOM_LTH</v>
          </cell>
          <cell r="C214" t="str">
            <v>VAR_cap</v>
          </cell>
          <cell r="D214" t="str">
            <v>-</v>
          </cell>
          <cell r="E214">
            <v>0.84970028276832599</v>
          </cell>
          <cell r="F214">
            <v>0.84970034180855403</v>
          </cell>
          <cell r="G214">
            <v>0.84970038634918799</v>
          </cell>
          <cell r="H214">
            <v>0.84970042308498095</v>
          </cell>
          <cell r="I214">
            <v>0.84970045984958298</v>
          </cell>
          <cell r="J214">
            <v>0.84970053412838997</v>
          </cell>
          <cell r="K214">
            <v>0.84970059238819196</v>
          </cell>
          <cell r="L214">
            <v>0.84970070273104104</v>
          </cell>
          <cell r="M214">
            <v>0.84970080970908701</v>
          </cell>
          <cell r="N214">
            <v>0.84970102843727202</v>
          </cell>
          <cell r="O214">
            <v>0.849701367602271</v>
          </cell>
          <cell r="P214">
            <v>0.84970275173862997</v>
          </cell>
        </row>
        <row r="215">
          <cell r="B215" t="str">
            <v>EHYD-RUNS15</v>
          </cell>
          <cell r="C215" t="str">
            <v>VAR_fout</v>
          </cell>
          <cell r="D215" t="str">
            <v>ELC35</v>
          </cell>
          <cell r="F215">
            <v>3.8206085201677385E-4</v>
          </cell>
          <cell r="G215">
            <v>5.0876091515021501E-3</v>
          </cell>
          <cell r="H215">
            <v>1.420082863733629E-2</v>
          </cell>
          <cell r="I215">
            <v>1.3454323041661753E-2</v>
          </cell>
          <cell r="J215">
            <v>1.4326187268243508E-2</v>
          </cell>
          <cell r="K215">
            <v>1.3494780030575925E-2</v>
          </cell>
          <cell r="L215">
            <v>1.4225970238285536E-2</v>
          </cell>
          <cell r="M215">
            <v>1.4196381716760071E-2</v>
          </cell>
          <cell r="N215">
            <v>1.4388330143904367E-2</v>
          </cell>
          <cell r="O215">
            <v>1.4418242157031741E-2</v>
          </cell>
          <cell r="P215">
            <v>1.3975150275402012E-2</v>
          </cell>
        </row>
        <row r="216">
          <cell r="B216" t="str">
            <v>EHYD-RUNS15</v>
          </cell>
          <cell r="C216" t="str">
            <v>VAR_fin</v>
          </cell>
          <cell r="D216" t="str">
            <v>HYDR</v>
          </cell>
          <cell r="F216">
            <v>3.8206085201677385E-4</v>
          </cell>
          <cell r="G216">
            <v>5.0876091515021501E-3</v>
          </cell>
          <cell r="H216">
            <v>1.420082863733629E-2</v>
          </cell>
          <cell r="I216">
            <v>1.3454323041661753E-2</v>
          </cell>
          <cell r="J216">
            <v>1.4326187268243508E-2</v>
          </cell>
          <cell r="K216">
            <v>1.3494780030575925E-2</v>
          </cell>
          <cell r="L216">
            <v>1.4225970238285536E-2</v>
          </cell>
          <cell r="M216">
            <v>1.4196381716760071E-2</v>
          </cell>
          <cell r="N216">
            <v>1.4388330143904367E-2</v>
          </cell>
          <cell r="O216">
            <v>1.4418242157031741E-2</v>
          </cell>
          <cell r="P216">
            <v>1.3975150275402012E-2</v>
          </cell>
        </row>
        <row r="217">
          <cell r="B217" t="str">
            <v>EHYD-RUNS15</v>
          </cell>
          <cell r="C217" t="str">
            <v>VAR_ncap</v>
          </cell>
          <cell r="D217" t="str">
            <v>-</v>
          </cell>
          <cell r="F217">
            <v>3.2608040236198803E-5</v>
          </cell>
          <cell r="G217">
            <v>3.0417666198403998E-4</v>
          </cell>
          <cell r="H217">
            <v>5.4011166073553401E-4</v>
          </cell>
          <cell r="I217">
            <v>5.0090839106458998E-8</v>
          </cell>
          <cell r="J217">
            <v>3.5332260079800997E-8</v>
          </cell>
          <cell r="K217">
            <v>4.0094141235050303E-8</v>
          </cell>
          <cell r="L217">
            <v>1.10834016376055E-7</v>
          </cell>
          <cell r="M217">
            <v>3.4787923625114701E-8</v>
          </cell>
          <cell r="N217">
            <v>1.3842240333759401E-7</v>
          </cell>
          <cell r="O217">
            <v>1.3574741491372099E-7</v>
          </cell>
          <cell r="P217">
            <v>1.4179502866772201E-6</v>
          </cell>
        </row>
        <row r="218">
          <cell r="B218" t="str">
            <v>EHYD-RUNS15</v>
          </cell>
          <cell r="C218" t="str">
            <v>VAR_cap</v>
          </cell>
          <cell r="D218" t="str">
            <v>-</v>
          </cell>
          <cell r="F218">
            <v>3.2608040236198803E-5</v>
          </cell>
          <cell r="G218">
            <v>3.3678470222023901E-4</v>
          </cell>
          <cell r="H218">
            <v>8.7689636295577302E-4</v>
          </cell>
          <cell r="I218">
            <v>8.7694645379488001E-4</v>
          </cell>
          <cell r="J218">
            <v>8.7698178605496004E-4</v>
          </cell>
          <cell r="K218">
            <v>8.7702188019619497E-4</v>
          </cell>
          <cell r="L218">
            <v>8.7713271421257101E-4</v>
          </cell>
          <cell r="M218">
            <v>8.77167502136196E-4</v>
          </cell>
          <cell r="N218">
            <v>8.7730592453953303E-4</v>
          </cell>
          <cell r="O218">
            <v>8.7744167195444702E-4</v>
          </cell>
          <cell r="P218">
            <v>8.7885962224112403E-4</v>
          </cell>
        </row>
        <row r="219">
          <cell r="B219" t="str">
            <v>EHYD-RUN10</v>
          </cell>
          <cell r="C219" t="str">
            <v>VAR_fout</v>
          </cell>
          <cell r="D219" t="str">
            <v>ELC13</v>
          </cell>
          <cell r="F219">
            <v>1.4422479722241194E-3</v>
          </cell>
          <cell r="G219">
            <v>4.1274021114828417E-3</v>
          </cell>
          <cell r="H219">
            <v>4.6102414613318895E-3</v>
          </cell>
          <cell r="I219">
            <v>4.6135513677776048E-3</v>
          </cell>
          <cell r="J219">
            <v>4.5938107220938823E-3</v>
          </cell>
          <cell r="K219">
            <v>4.6914994137792834E-3</v>
          </cell>
          <cell r="L219">
            <v>4.524015722581729E-3</v>
          </cell>
          <cell r="M219">
            <v>4.459504981342074E-3</v>
          </cell>
          <cell r="N219">
            <v>4.333912259703367E-3</v>
          </cell>
          <cell r="O219">
            <v>4.3583042267926302E-3</v>
          </cell>
          <cell r="P219">
            <v>4.4738855313127988E-3</v>
          </cell>
        </row>
        <row r="220">
          <cell r="B220" t="str">
            <v>EHYD-RUN10</v>
          </cell>
          <cell r="C220" t="str">
            <v>VAR_fin</v>
          </cell>
          <cell r="D220" t="str">
            <v>HYDR</v>
          </cell>
          <cell r="E220"/>
          <cell r="F220">
            <v>1.4422479722241194E-3</v>
          </cell>
          <cell r="G220">
            <v>4.1274021114828417E-3</v>
          </cell>
          <cell r="H220">
            <v>4.6102414613318895E-3</v>
          </cell>
          <cell r="I220">
            <v>4.6135513677776048E-3</v>
          </cell>
          <cell r="J220">
            <v>4.5938107220938823E-3</v>
          </cell>
          <cell r="K220">
            <v>4.6914994137792834E-3</v>
          </cell>
          <cell r="L220">
            <v>4.524015722581729E-3</v>
          </cell>
          <cell r="M220">
            <v>4.459504981342074E-3</v>
          </cell>
          <cell r="N220">
            <v>4.333912259703367E-3</v>
          </cell>
          <cell r="O220">
            <v>4.3583042267926302E-3</v>
          </cell>
          <cell r="P220">
            <v>4.4738855313127988E-3</v>
          </cell>
        </row>
        <row r="221">
          <cell r="B221" t="str">
            <v>EHYD-RUN10</v>
          </cell>
          <cell r="C221" t="str">
            <v>VAR_ncap</v>
          </cell>
          <cell r="D221" t="str">
            <v>-</v>
          </cell>
          <cell r="E221"/>
          <cell r="F221">
            <v>1.2497968560369499E-4</v>
          </cell>
          <cell r="G221">
            <v>2.28527598535814E-4</v>
          </cell>
          <cell r="H221">
            <v>1.62906960206179E-6</v>
          </cell>
          <cell r="I221">
            <v>8.0678542222854997E-6</v>
          </cell>
          <cell r="J221">
            <v>5.5127691873762905E-7</v>
          </cell>
          <cell r="K221">
            <v>4.8412490891008998E-7</v>
          </cell>
          <cell r="L221">
            <v>3.08681960226971E-7</v>
          </cell>
          <cell r="M221">
            <v>6.1887477625026102E-8</v>
          </cell>
          <cell r="N221">
            <v>3.3534455345755199E-7</v>
          </cell>
          <cell r="O221">
            <v>2.2459715235042299E-7</v>
          </cell>
          <cell r="P221">
            <v>1.22669085500043E-5</v>
          </cell>
        </row>
        <row r="222">
          <cell r="B222" t="str">
            <v>EHYD-RUN10</v>
          </cell>
          <cell r="C222" t="str">
            <v>VAR_cap</v>
          </cell>
          <cell r="D222" t="str">
            <v>-</v>
          </cell>
          <cell r="E222"/>
          <cell r="F222">
            <v>1.2497968560369499E-4</v>
          </cell>
          <cell r="G222">
            <v>3.5350728413950899E-4</v>
          </cell>
          <cell r="H222">
            <v>3.5513635374157101E-4</v>
          </cell>
          <cell r="I222">
            <v>3.6320420796385599E-4</v>
          </cell>
          <cell r="J222">
            <v>3.6375548488259399E-4</v>
          </cell>
          <cell r="K222">
            <v>3.64239609791504E-4</v>
          </cell>
          <cell r="L222">
            <v>3.6454829175173098E-4</v>
          </cell>
          <cell r="M222">
            <v>3.6461017922935599E-4</v>
          </cell>
          <cell r="N222">
            <v>3.64945523782813E-4</v>
          </cell>
          <cell r="O222">
            <v>3.6517012093516401E-4</v>
          </cell>
          <cell r="P222">
            <v>3.7743702948516799E-4</v>
          </cell>
        </row>
        <row r="223">
          <cell r="B223" t="str">
            <v>ITOT-CHPWOD</v>
          </cell>
          <cell r="C223" t="str">
            <v>VAR_fout</v>
          </cell>
          <cell r="D223" t="str">
            <v>ITOT_LTH_CHP</v>
          </cell>
          <cell r="E223">
            <v>0.65961324930952603</v>
          </cell>
          <cell r="F223">
            <v>0.85836702379577445</v>
          </cell>
          <cell r="G223">
            <v>3.3631168176266075</v>
          </cell>
          <cell r="H223">
            <v>3.2550987573717522</v>
          </cell>
          <cell r="I223">
            <v>3.2510340481196658</v>
          </cell>
          <cell r="J223">
            <v>1.3748546125207031</v>
          </cell>
          <cell r="K223">
            <v>0.39953018709216731</v>
          </cell>
          <cell r="L223">
            <v>2.2297266027539266E-3</v>
          </cell>
          <cell r="M223">
            <v>1.9573379075199264E-3</v>
          </cell>
          <cell r="N223">
            <v>2.355142300562915E-3</v>
          </cell>
          <cell r="O223">
            <v>1.9261179344650054E-3</v>
          </cell>
          <cell r="P223">
            <v>2.6984648005555804E-3</v>
          </cell>
        </row>
        <row r="224">
          <cell r="B224" t="str">
            <v>ITOT-CHPWOD</v>
          </cell>
          <cell r="C224" t="str">
            <v>VAR_fout</v>
          </cell>
          <cell r="D224" t="str">
            <v>ITOT_KEV_WOD_ELC_CHP</v>
          </cell>
          <cell r="E224">
            <v>0.17247368833591198</v>
          </cell>
          <cell r="F224">
            <v>0.24647166145645291</v>
          </cell>
          <cell r="G224">
            <v>1.1323982364956537</v>
          </cell>
          <cell r="H224">
            <v>1.5387739580302806</v>
          </cell>
          <cell r="I224">
            <v>1.5368524591111128</v>
          </cell>
          <cell r="J224">
            <v>0.64993127137342188</v>
          </cell>
          <cell r="K224">
            <v>0.18886881571629691</v>
          </cell>
          <cell r="L224">
            <v>1.0540525758473075E-3</v>
          </cell>
          <cell r="M224">
            <v>9.2528701082759989E-4</v>
          </cell>
          <cell r="N224">
            <v>1.1133399966297389E-3</v>
          </cell>
          <cell r="O224">
            <v>9.1052847811072752E-4</v>
          </cell>
          <cell r="P224">
            <v>1.2756379057171801E-3</v>
          </cell>
        </row>
        <row r="225">
          <cell r="B225" t="str">
            <v>ITOT-CHPWOD</v>
          </cell>
          <cell r="C225" t="str">
            <v>VAR_fin</v>
          </cell>
          <cell r="D225" t="str">
            <v>IWOD</v>
          </cell>
          <cell r="E225">
            <v>0.87289450043293959</v>
          </cell>
          <cell r="F225">
            <v>1.0914958871179621</v>
          </cell>
          <cell r="G225">
            <v>4.538716880724218</v>
          </cell>
          <cell r="H225">
            <v>5.2368116269241813</v>
          </cell>
          <cell r="I225">
            <v>5.5764003998031031</v>
          </cell>
          <cell r="J225">
            <v>1.8488239548299845</v>
          </cell>
          <cell r="K225">
            <v>0.52525690574411976</v>
          </cell>
          <cell r="L225">
            <v>3.1134094228747987E-3</v>
          </cell>
          <cell r="M225">
            <v>2.7491077249713674E-3</v>
          </cell>
          <cell r="N225">
            <v>4.1029113867674287E-3</v>
          </cell>
          <cell r="O225">
            <v>2.7891943896020252E-3</v>
          </cell>
          <cell r="P225">
            <v>4.9999037178433637E-3</v>
          </cell>
        </row>
        <row r="226">
          <cell r="B226" t="str">
            <v>ITOT-CHPWOD</v>
          </cell>
          <cell r="C226" t="str">
            <v>VAR_ncap</v>
          </cell>
          <cell r="D226" t="str">
            <v>-</v>
          </cell>
          <cell r="E226"/>
          <cell r="F226">
            <v>7.4342480416919104E-3</v>
          </cell>
          <cell r="G226">
            <v>3.27569081420723E-2</v>
          </cell>
          <cell r="H226">
            <v>1.5026905351894699E-2</v>
          </cell>
          <cell r="I226">
            <v>1.9991196784717401E-2</v>
          </cell>
          <cell r="J226">
            <v>1.02662494469147E-6</v>
          </cell>
          <cell r="K226">
            <v>8.1983006638075696E-7</v>
          </cell>
          <cell r="L226">
            <v>7.6748138801895194E-5</v>
          </cell>
          <cell r="M226">
            <v>3.4756212551089899E-7</v>
          </cell>
          <cell r="N226">
            <v>1.43777029290856E-5</v>
          </cell>
          <cell r="O226">
            <v>4.1669621499120103E-5</v>
          </cell>
          <cell r="P226">
            <v>3.9625317693715899E-5</v>
          </cell>
        </row>
        <row r="227">
          <cell r="B227" t="str">
            <v>ITOT-CHPWOD</v>
          </cell>
          <cell r="C227" t="str">
            <v>VAR_cap</v>
          </cell>
          <cell r="D227" t="str">
            <v>-</v>
          </cell>
          <cell r="E227">
            <v>6.4974499353829505E-3</v>
          </cell>
          <cell r="F227">
            <v>9.113193583693207E-3</v>
          </cell>
          <cell r="G227">
            <v>4.1869916770632662E-2</v>
          </cell>
          <cell r="H227">
            <v>5.6895696329667352E-2</v>
          </cell>
          <cell r="I227">
            <v>7.1597514247324759E-2</v>
          </cell>
          <cell r="J227">
            <v>3.9034203024341026E-2</v>
          </cell>
          <cell r="K227">
            <v>1.4130723215575279E-2</v>
          </cell>
          <cell r="L227">
            <v>7.8399327178285501E-5</v>
          </cell>
          <cell r="M227">
            <v>6.9056317107033243E-5</v>
          </cell>
          <cell r="N227">
            <v>8.2940314181588977E-5</v>
          </cell>
          <cell r="O227">
            <v>6.8022498495022096E-5</v>
          </cell>
          <cell r="P227">
            <v>9.512712216171263E-5</v>
          </cell>
        </row>
        <row r="228">
          <cell r="B228" t="str">
            <v>EHYD-RUN15</v>
          </cell>
          <cell r="C228" t="str">
            <v>VAR_fout</v>
          </cell>
          <cell r="D228" t="str">
            <v>ELC13</v>
          </cell>
          <cell r="E228"/>
          <cell r="F228">
            <v>5.8342344625617959E-4</v>
          </cell>
          <cell r="G228">
            <v>5.9428960953494456E-4</v>
          </cell>
          <cell r="H228">
            <v>0.23981970731465296</v>
          </cell>
          <cell r="I228">
            <v>0.34404655857542416</v>
          </cell>
          <cell r="J228">
            <v>0.3440497475486276</v>
          </cell>
          <cell r="K228">
            <v>0.34405091587405834</v>
          </cell>
          <cell r="L228">
            <v>0.34405042206313935</v>
          </cell>
          <cell r="M228">
            <v>0.34405228910918995</v>
          </cell>
          <cell r="N228">
            <v>0.34405323647945785</v>
          </cell>
          <cell r="O228">
            <v>0.34405845368577226</v>
          </cell>
          <cell r="P228">
            <v>0.34406342322700428</v>
          </cell>
        </row>
        <row r="229">
          <cell r="B229" t="str">
            <v>EHYD-RUN15</v>
          </cell>
          <cell r="C229" t="str">
            <v>VAR_fin</v>
          </cell>
          <cell r="D229" t="str">
            <v>HYDR</v>
          </cell>
          <cell r="E229"/>
          <cell r="F229">
            <v>5.8342344625617959E-4</v>
          </cell>
          <cell r="G229">
            <v>5.9428960953494456E-4</v>
          </cell>
          <cell r="H229">
            <v>0.23981970731465296</v>
          </cell>
          <cell r="I229">
            <v>0.34404655857542416</v>
          </cell>
          <cell r="J229">
            <v>0.3440497475486276</v>
          </cell>
          <cell r="K229">
            <v>0.34405091587405834</v>
          </cell>
          <cell r="L229">
            <v>0.34405042206313935</v>
          </cell>
          <cell r="M229">
            <v>0.34405228910918995</v>
          </cell>
          <cell r="N229">
            <v>0.34405323647945785</v>
          </cell>
          <cell r="O229">
            <v>0.34405845368577226</v>
          </cell>
          <cell r="P229">
            <v>0.34406342322700428</v>
          </cell>
        </row>
        <row r="230">
          <cell r="B230" t="str">
            <v>EHYD-RUN15</v>
          </cell>
          <cell r="C230" t="str">
            <v>VAR_ncap</v>
          </cell>
          <cell r="D230" t="str">
            <v>-</v>
          </cell>
          <cell r="E230"/>
          <cell r="F230">
            <v>5.0176957906406697E-5</v>
          </cell>
          <cell r="G230">
            <v>2.4409000137981501E-2</v>
          </cell>
          <cell r="H230">
            <v>1.0263350873287E-7</v>
          </cell>
          <cell r="I230">
            <v>1.3466967659275899E-7</v>
          </cell>
          <cell r="J230">
            <v>7.0949011958389903E-8</v>
          </cell>
          <cell r="K230">
            <v>6.4628081008171E-8</v>
          </cell>
          <cell r="L230">
            <v>6.0817475656409106E-8</v>
          </cell>
          <cell r="M230">
            <v>1.04777277415765E-7</v>
          </cell>
          <cell r="N230">
            <v>2.6186151452706999E-7</v>
          </cell>
          <cell r="O230">
            <v>9.4214281373188404E-7</v>
          </cell>
        </row>
        <row r="231">
          <cell r="B231" t="str">
            <v>EHYD-RUN15</v>
          </cell>
          <cell r="C231" t="str">
            <v>VAR_cap</v>
          </cell>
          <cell r="D231" t="str">
            <v>-</v>
          </cell>
          <cell r="E231"/>
          <cell r="F231">
            <v>5.0176957906406697E-5</v>
          </cell>
          <cell r="G231">
            <v>5.0176957906406697E-5</v>
          </cell>
          <cell r="H231">
            <v>1.70495964594502E-2</v>
          </cell>
          <cell r="I231">
            <v>2.44592797293967E-2</v>
          </cell>
          <cell r="J231">
            <v>2.44593861188535E-2</v>
          </cell>
          <cell r="K231">
            <v>2.4459495465609299E-2</v>
          </cell>
          <cell r="L231">
            <v>2.4459549976166201E-2</v>
          </cell>
          <cell r="M231">
            <v>2.4459620443942301E-2</v>
          </cell>
          <cell r="N231">
            <v>2.4459715570919301E-2</v>
          </cell>
          <cell r="O231">
            <v>2.44600785434477E-2</v>
          </cell>
          <cell r="P231">
            <v>2.4460919575247601E-2</v>
          </cell>
        </row>
        <row r="232">
          <cell r="B232" t="str">
            <v>SCOM-SWHSTG-CHPWOD</v>
          </cell>
          <cell r="C232" t="str">
            <v>VAR_fout</v>
          </cell>
          <cell r="D232" t="str">
            <v>AUX_SCOM-CHPWOD_OUT</v>
          </cell>
          <cell r="E232">
            <v>2.4423585281582751E-5</v>
          </cell>
          <cell r="F232">
            <v>1.8573880415211106E-5</v>
          </cell>
          <cell r="G232">
            <v>1.8971892138382566E-5</v>
          </cell>
          <cell r="H232">
            <v>1.1436574594563434E-3</v>
          </cell>
          <cell r="I232">
            <v>1.4337494160808434E-3</v>
          </cell>
          <cell r="J232">
            <v>1.3353465438445981E-2</v>
          </cell>
          <cell r="K232">
            <v>1.3573204101608975E-2</v>
          </cell>
          <cell r="L232">
            <v>1.2623242428772613E-2</v>
          </cell>
          <cell r="M232">
            <v>1.7923159870849231E-2</v>
          </cell>
          <cell r="N232">
            <v>4.1536982052572703E-2</v>
          </cell>
          <cell r="O232">
            <v>3.5495264029918039E-2</v>
          </cell>
          <cell r="P232">
            <v>6.2676008495797547E-2</v>
          </cell>
        </row>
        <row r="233">
          <cell r="B233" t="str">
            <v>SCOM-SWHSTG-CHPWOD</v>
          </cell>
          <cell r="C233" t="str">
            <v>VAR_fout</v>
          </cell>
          <cell r="D233" t="str">
            <v>SCOM_LTH_CHPWOD</v>
          </cell>
          <cell r="E233">
            <v>2.4423585281582805E-5</v>
          </cell>
          <cell r="F233">
            <v>1.8589062131003898E-5</v>
          </cell>
          <cell r="G233">
            <v>1.8996121885685724E-5</v>
          </cell>
          <cell r="H233">
            <v>1.1436574594563408E-3</v>
          </cell>
          <cell r="I233">
            <v>1.4353442430175278E-3</v>
          </cell>
          <cell r="J233">
            <v>1.3353465438445967E-2</v>
          </cell>
          <cell r="K233">
            <v>1.3586472140808959E-2</v>
          </cell>
          <cell r="L233">
            <v>1.2623242428772613E-2</v>
          </cell>
          <cell r="M233">
            <v>1.7923159870849231E-2</v>
          </cell>
          <cell r="N233">
            <v>4.1536982052572696E-2</v>
          </cell>
          <cell r="O233">
            <v>3.5495264029918032E-2</v>
          </cell>
          <cell r="P233">
            <v>6.2676008495797547E-2</v>
          </cell>
        </row>
        <row r="234">
          <cell r="B234" t="str">
            <v>SCOM-SWHSTG-CHPWOD</v>
          </cell>
          <cell r="C234" t="str">
            <v>VAR_fin</v>
          </cell>
          <cell r="D234" t="str">
            <v>AUX_SCOM-CHPWOD_IN</v>
          </cell>
          <cell r="E234">
            <v>2.4423585281582805E-5</v>
          </cell>
          <cell r="F234">
            <v>1.8589062131003898E-5</v>
          </cell>
          <cell r="G234">
            <v>1.8996121885685724E-5</v>
          </cell>
          <cell r="H234">
            <v>1.3142597758612909E-3</v>
          </cell>
          <cell r="I234">
            <v>1.5945964893189384E-3</v>
          </cell>
          <cell r="J234">
            <v>1.4358564987576445E-2</v>
          </cell>
          <cell r="K234">
            <v>1.4152889235990488E-2</v>
          </cell>
          <cell r="L234">
            <v>1.2751692196008968E-2</v>
          </cell>
          <cell r="M234">
            <v>1.8104159355116018E-2</v>
          </cell>
          <cell r="N234">
            <v>4.1957492709435003E-2</v>
          </cell>
          <cell r="O234">
            <v>3.5854063791519217E-2</v>
          </cell>
          <cell r="P234">
            <v>6.3310015584524537E-2</v>
          </cell>
        </row>
        <row r="235">
          <cell r="B235" t="str">
            <v>SCOM-SWHSTG-CHPWOD</v>
          </cell>
          <cell r="C235" t="str">
            <v>VAR_fin</v>
          </cell>
          <cell r="D235" t="str">
            <v>SCOM_LTH_CHPWOD</v>
          </cell>
          <cell r="E235">
            <v>2.4423585281582805E-5</v>
          </cell>
          <cell r="F235">
            <v>1.8589062131003898E-5</v>
          </cell>
          <cell r="G235">
            <v>1.8996121885685724E-5</v>
          </cell>
          <cell r="H235">
            <v>1.3142597758612909E-3</v>
          </cell>
          <cell r="I235">
            <v>1.5945964893189384E-3</v>
          </cell>
          <cell r="J235">
            <v>1.4358564987576445E-2</v>
          </cell>
          <cell r="K235">
            <v>1.4152889235990488E-2</v>
          </cell>
          <cell r="L235">
            <v>1.2751692196008968E-2</v>
          </cell>
          <cell r="M235">
            <v>1.8104159355116018E-2</v>
          </cell>
          <cell r="N235">
            <v>4.1957492709435003E-2</v>
          </cell>
          <cell r="O235">
            <v>3.5854063791519217E-2</v>
          </cell>
          <cell r="P235">
            <v>6.3310015584524537E-2</v>
          </cell>
        </row>
        <row r="236">
          <cell r="B236" t="str">
            <v>SCOM-SWHSTG-CHPWOD</v>
          </cell>
          <cell r="C236" t="str">
            <v>VAR_ncap</v>
          </cell>
          <cell r="D236" t="str">
            <v>-</v>
          </cell>
          <cell r="E236">
            <v>8.1287374952327795E-4</v>
          </cell>
          <cell r="F236">
            <v>2.2050201735008998E-5</v>
          </cell>
          <cell r="G236">
            <v>4.4689143645762899E-5</v>
          </cell>
          <cell r="H236">
            <v>5.0610546398066602E-5</v>
          </cell>
          <cell r="I236">
            <v>1.02515428211642E-3</v>
          </cell>
          <cell r="J236">
            <v>4.3296880057455402E-4</v>
          </cell>
          <cell r="K236">
            <v>7.3995432847414499E-5</v>
          </cell>
          <cell r="L236">
            <v>1.6580863737866501E-3</v>
          </cell>
          <cell r="M236">
            <v>3.8976428094427902E-5</v>
          </cell>
          <cell r="N236">
            <v>1.28702216663215E-3</v>
          </cell>
          <cell r="O236">
            <v>7.5213260280415401E-4</v>
          </cell>
          <cell r="P236">
            <v>2.8908418027474001E-3</v>
          </cell>
        </row>
        <row r="237">
          <cell r="B237" t="str">
            <v>SCOM-SWHSTG-CHPWOD</v>
          </cell>
          <cell r="C237" t="str">
            <v>VAR_cap</v>
          </cell>
          <cell r="D237" t="str">
            <v>-</v>
          </cell>
          <cell r="E237">
            <v>8.1287374952327795E-4</v>
          </cell>
          <cell r="F237">
            <v>8.3257091152268831E-4</v>
          </cell>
          <cell r="G237">
            <v>8.7135755345739733E-4</v>
          </cell>
          <cell r="H237">
            <v>9.1307365315400715E-4</v>
          </cell>
          <cell r="I237">
            <v>1.3179613474673482E-3</v>
          </cell>
          <cell r="J237">
            <v>1.4906737011751877E-3</v>
          </cell>
          <cell r="K237">
            <v>1.5174945983882913E-3</v>
          </cell>
          <cell r="L237">
            <v>2.1491667078567867E-3</v>
          </cell>
          <cell r="M237">
            <v>1.7944297278977461E-3</v>
          </cell>
          <cell r="N237">
            <v>2.9609794411361696E-3</v>
          </cell>
          <cell r="O237">
            <v>2.3270897434853107E-3</v>
          </cell>
          <cell r="P237">
            <v>4.9083411284880588E-3</v>
          </cell>
        </row>
        <row r="238">
          <cell r="B238" t="str">
            <v>RHNM-ESOLPV</v>
          </cell>
          <cell r="C238" t="str">
            <v>VAR_fout</v>
          </cell>
          <cell r="D238" t="str">
            <v>RHNM_SOL_ELC</v>
          </cell>
          <cell r="E238"/>
          <cell r="F238">
            <v>9.3134503540236407E-6</v>
          </cell>
          <cell r="G238">
            <v>2.7115604768097885</v>
          </cell>
          <cell r="H238">
            <v>6.6886050847167935</v>
          </cell>
          <cell r="I238">
            <v>7.029801656446125</v>
          </cell>
          <cell r="J238">
            <v>7.3883929923078897</v>
          </cell>
          <cell r="K238">
            <v>7.7652766749723678</v>
          </cell>
          <cell r="L238">
            <v>8.1613847306443077</v>
          </cell>
          <cell r="M238">
            <v>8.5776979544066414</v>
          </cell>
          <cell r="N238">
            <v>9.0152477741140729</v>
          </cell>
          <cell r="O238">
            <v>9.4751176855699448</v>
          </cell>
          <cell r="P238">
            <v>9.958450707584662</v>
          </cell>
        </row>
        <row r="239">
          <cell r="B239" t="str">
            <v>RHNM-ESOLPV</v>
          </cell>
          <cell r="C239" t="str">
            <v>VAR_fin</v>
          </cell>
          <cell r="D239" t="str">
            <v>SOL</v>
          </cell>
          <cell r="E239"/>
          <cell r="F239">
            <v>9.3134503540236407E-6</v>
          </cell>
          <cell r="G239">
            <v>2.7115604768097885</v>
          </cell>
          <cell r="H239">
            <v>6.6886050847167935</v>
          </cell>
          <cell r="I239">
            <v>7.029801656446125</v>
          </cell>
          <cell r="J239">
            <v>7.3883929923078897</v>
          </cell>
          <cell r="K239">
            <v>7.7652766749723678</v>
          </cell>
          <cell r="L239">
            <v>8.1613847306443077</v>
          </cell>
          <cell r="M239">
            <v>8.5776979544066414</v>
          </cell>
          <cell r="N239">
            <v>9.0152477741140729</v>
          </cell>
          <cell r="O239">
            <v>9.4751176855699448</v>
          </cell>
          <cell r="P239">
            <v>9.958450707584662</v>
          </cell>
        </row>
        <row r="240">
          <cell r="B240" t="str">
            <v>RHNM-ESOLPV</v>
          </cell>
          <cell r="C240" t="str">
            <v>VAR_fin</v>
          </cell>
          <cell r="D240" t="str">
            <v>SOLPVC</v>
          </cell>
          <cell r="E240"/>
          <cell r="F240">
            <v>9.3134503540236407E-6</v>
          </cell>
          <cell r="G240">
            <v>2.7115604768097898</v>
          </cell>
          <cell r="H240">
            <v>6.6886050847167899</v>
          </cell>
          <cell r="I240">
            <v>7.0298016564461303</v>
          </cell>
          <cell r="J240">
            <v>7.3883929923078897</v>
          </cell>
          <cell r="K240">
            <v>7.7652766749723696</v>
          </cell>
          <cell r="L240">
            <v>8.1613847306443095</v>
          </cell>
          <cell r="M240">
            <v>8.5776979544066396</v>
          </cell>
          <cell r="N240">
            <v>9.0152477741140693</v>
          </cell>
          <cell r="O240">
            <v>9.4751176855699395</v>
          </cell>
          <cell r="P240">
            <v>9.9584507075846602</v>
          </cell>
        </row>
        <row r="241">
          <cell r="B241" t="str">
            <v>RHNM-ESOLPV</v>
          </cell>
          <cell r="C241" t="str">
            <v>VAR_ncap</v>
          </cell>
          <cell r="D241" t="str">
            <v>-</v>
          </cell>
          <cell r="E241"/>
          <cell r="F241">
            <v>3.2194291949473702E-6</v>
          </cell>
          <cell r="G241">
            <v>0.80961437251396096</v>
          </cell>
          <cell r="H241">
            <v>0.84506051083865497</v>
          </cell>
          <cell r="I241">
            <v>8.4407723607739904E-2</v>
          </cell>
          <cell r="J241">
            <v>8.8712361476437296E-2</v>
          </cell>
          <cell r="K241">
            <v>1.0273479710028299</v>
          </cell>
          <cell r="L241">
            <v>0.81855744979457901</v>
          </cell>
          <cell r="M241">
            <v>0.17352962218690501</v>
          </cell>
          <cell r="N241">
            <v>0.21082564893592001</v>
          </cell>
          <cell r="O241">
            <v>1.1411141678863299</v>
          </cell>
          <cell r="P241">
            <v>0.93812818259071096</v>
          </cell>
        </row>
        <row r="242">
          <cell r="B242" t="str">
            <v>RHNM-ESOLPV</v>
          </cell>
          <cell r="C242" t="str">
            <v>VAR_cap</v>
          </cell>
          <cell r="D242" t="str">
            <v>-</v>
          </cell>
          <cell r="E242"/>
          <cell r="F242">
            <v>3.2194291949473702E-6</v>
          </cell>
          <cell r="G242">
            <v>0.80961759194315597</v>
          </cell>
          <cell r="H242">
            <v>1.65467810278181</v>
          </cell>
          <cell r="I242">
            <v>1.7390858263895499</v>
          </cell>
          <cell r="J242">
            <v>1.8277969475812399</v>
          </cell>
          <cell r="K242">
            <v>1.92103327058</v>
          </cell>
          <cell r="L242">
            <v>2.01902550588159</v>
          </cell>
          <cell r="M242">
            <v>2.1220162725042102</v>
          </cell>
          <cell r="N242">
            <v>2.2302606919202401</v>
          </cell>
          <cell r="O242">
            <v>2.3440268888037301</v>
          </cell>
          <cell r="P242">
            <v>2.4635976215998601</v>
          </cell>
        </row>
        <row r="243">
          <cell r="B243" t="str">
            <v>CHPNGA</v>
          </cell>
          <cell r="C243" t="str">
            <v>VAR_fout</v>
          </cell>
          <cell r="D243" t="str">
            <v>ELC35</v>
          </cell>
          <cell r="E243">
            <v>0.96588062392178575</v>
          </cell>
          <cell r="F243">
            <v>2.0593582381395062E-4</v>
          </cell>
          <cell r="G243">
            <v>1.1892773378692982E-3</v>
          </cell>
          <cell r="H243"/>
          <cell r="I243"/>
          <cell r="J243"/>
          <cell r="K243"/>
          <cell r="L243"/>
          <cell r="M243"/>
          <cell r="N243"/>
          <cell r="O243"/>
          <cell r="P243"/>
        </row>
        <row r="244">
          <cell r="B244" t="str">
            <v>CHPNGA</v>
          </cell>
          <cell r="C244" t="str">
            <v>VAR_fout</v>
          </cell>
          <cell r="D244" t="str">
            <v>LTH</v>
          </cell>
          <cell r="E244">
            <v>1.8035509852617722</v>
          </cell>
          <cell r="F244">
            <v>3.9571700478578491E-4</v>
          </cell>
          <cell r="G244">
            <v>2.3821180805159259E-3</v>
          </cell>
          <cell r="H244"/>
          <cell r="I244"/>
          <cell r="J244"/>
          <cell r="K244"/>
          <cell r="L244"/>
          <cell r="M244"/>
          <cell r="N244"/>
          <cell r="O244"/>
          <cell r="P244"/>
        </row>
        <row r="245">
          <cell r="B245" t="str">
            <v>CHPNGA</v>
          </cell>
          <cell r="C245" t="str">
            <v>VAR_fout</v>
          </cell>
          <cell r="D245" t="str">
            <v>CO2_E</v>
          </cell>
          <cell r="E245">
            <v>207.300886794734</v>
          </cell>
          <cell r="F245">
            <v>6.1693867075263698E-2</v>
          </cell>
          <cell r="G245">
            <v>0.32556855714670102</v>
          </cell>
          <cell r="H245"/>
          <cell r="I245"/>
          <cell r="J245"/>
          <cell r="K245"/>
          <cell r="L245"/>
          <cell r="M245">
            <v>5.8646409074720801E-3</v>
          </cell>
          <cell r="N245">
            <v>9.8748619097097003E-3</v>
          </cell>
          <cell r="O245">
            <v>7.8706634678736703E-3</v>
          </cell>
          <cell r="P245">
            <v>1.5961797778508601E-2</v>
          </cell>
        </row>
        <row r="246">
          <cell r="B246" t="str">
            <v>CHPNGA</v>
          </cell>
          <cell r="C246" t="str">
            <v>VAR_fin</v>
          </cell>
          <cell r="D246" t="str">
            <v>ENGA</v>
          </cell>
          <cell r="E246">
            <v>3.6755476382045105</v>
          </cell>
          <cell r="F246">
            <v>1.0938628914053858E-3</v>
          </cell>
          <cell r="G246">
            <v>5.7724921479911581E-3</v>
          </cell>
          <cell r="H246"/>
          <cell r="I246"/>
          <cell r="J246"/>
          <cell r="K246"/>
          <cell r="L246"/>
          <cell r="M246">
            <v>1.0398299481333468E-4</v>
          </cell>
          <cell r="N246">
            <v>1.7508620407286697E-4</v>
          </cell>
          <cell r="O246">
            <v>1.3955077070698012E-4</v>
          </cell>
          <cell r="P246">
            <v>2.8301059890972779E-4</v>
          </cell>
        </row>
        <row r="247">
          <cell r="B247" t="str">
            <v>CHPNGA</v>
          </cell>
          <cell r="C247" t="str">
            <v>VAR_ncap</v>
          </cell>
          <cell r="D247" t="str">
            <v>-</v>
          </cell>
          <cell r="E247"/>
          <cell r="F247">
            <v>1.93904257886529E-7</v>
          </cell>
          <cell r="G247"/>
          <cell r="H247"/>
          <cell r="I247"/>
          <cell r="J247"/>
          <cell r="K247"/>
          <cell r="L247"/>
        </row>
        <row r="248">
          <cell r="B248" t="str">
            <v>CHPNGA</v>
          </cell>
          <cell r="C248" t="str">
            <v>VAR_cap</v>
          </cell>
          <cell r="D248" t="str">
            <v>-</v>
          </cell>
          <cell r="E248">
            <v>4.5947630979376292E-2</v>
          </cell>
          <cell r="F248">
            <v>7.023102522457636E-5</v>
          </cell>
          <cell r="G248">
            <v>7.0172318442376924E-5</v>
          </cell>
          <cell r="H248">
            <v>-5.6757347211000564E-8</v>
          </cell>
          <cell r="I248">
            <v>-5.0425768863878589E-8</v>
          </cell>
          <cell r="J248"/>
          <cell r="K248"/>
          <cell r="L248"/>
        </row>
        <row r="249">
          <cell r="B249" t="str">
            <v>EHYD-PUM00</v>
          </cell>
          <cell r="C249" t="str">
            <v>VAR_fout</v>
          </cell>
          <cell r="D249" t="str">
            <v>ELC</v>
          </cell>
          <cell r="E249">
            <v>12.841921283518701</v>
          </cell>
          <cell r="F249">
            <v>16.03296483281747</v>
          </cell>
          <cell r="G249">
            <v>5.4722129678494049</v>
          </cell>
          <cell r="H249">
            <v>12.782529075670338</v>
          </cell>
          <cell r="I249">
            <v>13.073832574588408</v>
          </cell>
          <cell r="J249">
            <v>13.128509780108159</v>
          </cell>
          <cell r="K249">
            <v>13.214950372910605</v>
          </cell>
          <cell r="L249">
            <v>13.295061260268488</v>
          </cell>
          <cell r="M249">
            <v>13.335529381544548</v>
          </cell>
          <cell r="N249">
            <v>14.507011497442338</v>
          </cell>
          <cell r="O249">
            <v>14.868475975968384</v>
          </cell>
          <cell r="P249">
            <v>14.81038737183963</v>
          </cell>
        </row>
        <row r="250">
          <cell r="B250" t="str">
            <v>EHYD-PUM00</v>
          </cell>
          <cell r="C250" t="str">
            <v>VAR_fout</v>
          </cell>
          <cell r="D250" t="str">
            <v>AUX_PUMP_OUT</v>
          </cell>
          <cell r="E250">
            <v>12.841921283518701</v>
          </cell>
          <cell r="F250">
            <v>16.03296483281747</v>
          </cell>
          <cell r="G250">
            <v>5.4722129678494049</v>
          </cell>
          <cell r="H250">
            <v>12.782529075670338</v>
          </cell>
          <cell r="I250">
            <v>13.073832574588408</v>
          </cell>
          <cell r="J250">
            <v>13.128509780108159</v>
          </cell>
          <cell r="K250">
            <v>13.214950372910605</v>
          </cell>
          <cell r="L250">
            <v>13.295061260268488</v>
          </cell>
          <cell r="M250">
            <v>13.33552938154455</v>
          </cell>
          <cell r="N250">
            <v>14.507011497442338</v>
          </cell>
          <cell r="O250">
            <v>14.868475975968384</v>
          </cell>
          <cell r="P250">
            <v>14.81038737183963</v>
          </cell>
        </row>
        <row r="251">
          <cell r="B251" t="str">
            <v>EHYD-PUM00</v>
          </cell>
          <cell r="C251" t="str">
            <v>VAR_fin</v>
          </cell>
          <cell r="D251" t="str">
            <v>AUX_PUMP_IN</v>
          </cell>
          <cell r="E251">
            <v>16.052401813790713</v>
          </cell>
          <cell r="F251">
            <v>20.041206250413492</v>
          </cell>
          <cell r="G251">
            <v>6.8402662738391884</v>
          </cell>
          <cell r="H251">
            <v>15.978161269388153</v>
          </cell>
          <cell r="I251">
            <v>16.34229096000799</v>
          </cell>
          <cell r="J251">
            <v>16.410636992505392</v>
          </cell>
          <cell r="K251">
            <v>16.518687736048829</v>
          </cell>
          <cell r="L251">
            <v>16.618826215980917</v>
          </cell>
          <cell r="M251">
            <v>16.66941136509254</v>
          </cell>
          <cell r="N251">
            <v>18.13376392577867</v>
          </cell>
          <cell r="O251">
            <v>18.585594610063566</v>
          </cell>
          <cell r="P251">
            <v>18.512983721221147</v>
          </cell>
        </row>
        <row r="252">
          <cell r="B252" t="str">
            <v>EHYD-PUM00</v>
          </cell>
          <cell r="C252" t="str">
            <v>VAR_fin</v>
          </cell>
          <cell r="D252" t="str">
            <v>ELC</v>
          </cell>
          <cell r="E252">
            <v>16.052401813790713</v>
          </cell>
          <cell r="F252">
            <v>20.041206250413492</v>
          </cell>
          <cell r="G252">
            <v>6.8402662738391884</v>
          </cell>
          <cell r="H252">
            <v>15.978161269388153</v>
          </cell>
          <cell r="I252">
            <v>16.34229096000799</v>
          </cell>
          <cell r="J252">
            <v>16.410636992505392</v>
          </cell>
          <cell r="K252">
            <v>16.518687736048829</v>
          </cell>
          <cell r="L252">
            <v>16.618826215980917</v>
          </cell>
          <cell r="M252">
            <v>16.66941136509254</v>
          </cell>
          <cell r="N252">
            <v>18.13376392577867</v>
          </cell>
          <cell r="O252">
            <v>18.585594610063566</v>
          </cell>
          <cell r="P252">
            <v>18.512983721221147</v>
          </cell>
        </row>
        <row r="253">
          <cell r="B253" t="str">
            <v>EHYD-PUM00</v>
          </cell>
          <cell r="C253" t="str">
            <v>VAR_cap</v>
          </cell>
          <cell r="D253" t="str">
            <v>-</v>
          </cell>
          <cell r="E253">
            <v>3.3394499999999998</v>
          </cell>
          <cell r="F253">
            <v>3.97102894612105</v>
          </cell>
          <cell r="G253">
            <v>4.3594499999999998</v>
          </cell>
          <cell r="H253">
            <v>4.3594499999999998</v>
          </cell>
          <cell r="I253">
            <v>4.3594499999999998</v>
          </cell>
          <cell r="J253">
            <v>4.3594499999999998</v>
          </cell>
          <cell r="K253">
            <v>4.3594499999999998</v>
          </cell>
          <cell r="L253">
            <v>4.3594499999999998</v>
          </cell>
          <cell r="M253">
            <v>4.3594499999999998</v>
          </cell>
          <cell r="N253">
            <v>4.3594499999999998</v>
          </cell>
          <cell r="O253">
            <v>4.3594499999999998</v>
          </cell>
          <cell r="P253">
            <v>4.3594499999999998</v>
          </cell>
        </row>
        <row r="254">
          <cell r="B254" t="str">
            <v>RHNS-SHSTG-CHPNGA</v>
          </cell>
          <cell r="C254" t="str">
            <v>VAR_fout</v>
          </cell>
          <cell r="D254" t="str">
            <v>RHNS_LTH_CHPNGA</v>
          </cell>
          <cell r="E254">
            <v>4.3649368214845342E-5</v>
          </cell>
          <cell r="F254">
            <v>6.0284142089106466E-5</v>
          </cell>
          <cell r="G254">
            <v>9.1284156678915159E-4</v>
          </cell>
          <cell r="H254">
            <v>2.2726480823193592E-3</v>
          </cell>
          <cell r="I254">
            <v>9.3063129620254157E-4</v>
          </cell>
          <cell r="J254">
            <v>1.2874352364093942E-3</v>
          </cell>
          <cell r="K254">
            <v>1.0317064434293612E-4</v>
          </cell>
          <cell r="L254">
            <v>1.3070515067711334E-4</v>
          </cell>
          <cell r="M254">
            <v>1.4061332831970337E-3</v>
          </cell>
          <cell r="N254">
            <v>3.0599861544778474E-3</v>
          </cell>
          <cell r="O254">
            <v>2.6685866948575805E-3</v>
          </cell>
          <cell r="P254">
            <v>6.1642651597452669E-3</v>
          </cell>
        </row>
        <row r="255">
          <cell r="B255" t="str">
            <v>RHNS-SHSTG-CHPNGA</v>
          </cell>
          <cell r="C255" t="str">
            <v>VAR_fout</v>
          </cell>
          <cell r="D255" t="str">
            <v>AUX_RNS-CHPNGA_OUT</v>
          </cell>
          <cell r="E255">
            <v>4.3649368214845416E-5</v>
          </cell>
          <cell r="F255">
            <v>6.0243979436149154E-5</v>
          </cell>
          <cell r="G255">
            <v>9.1189167962287855E-4</v>
          </cell>
          <cell r="H255">
            <v>2.2726480823193592E-3</v>
          </cell>
          <cell r="I255">
            <v>9.297767220095189E-4</v>
          </cell>
          <cell r="J255">
            <v>1.287435236409399E-3</v>
          </cell>
          <cell r="K255">
            <v>1.0308642340877882E-4</v>
          </cell>
          <cell r="L255">
            <v>1.3070515067711345E-4</v>
          </cell>
          <cell r="M255">
            <v>1.4061332831970348E-3</v>
          </cell>
          <cell r="N255">
            <v>3.059986154477853E-3</v>
          </cell>
          <cell r="O255">
            <v>2.6685866948575822E-3</v>
          </cell>
          <cell r="P255">
            <v>6.1642651597452738E-3</v>
          </cell>
        </row>
        <row r="256">
          <cell r="B256" t="str">
            <v>RHNS-SHSTG-CHPNGA</v>
          </cell>
          <cell r="C256" t="str">
            <v>VAR_fin</v>
          </cell>
          <cell r="D256" t="str">
            <v>RHNS_LTH_CHPNGA</v>
          </cell>
          <cell r="E256">
            <v>3.4677357666028413E-5</v>
          </cell>
          <cell r="F256">
            <v>7.9511076691092623E-5</v>
          </cell>
          <cell r="G256">
            <v>1.1780090507777156E-3</v>
          </cell>
          <cell r="H256">
            <v>2.8406728829392012E-3</v>
          </cell>
          <cell r="I256">
            <v>1.1282395350901814E-3</v>
          </cell>
          <cell r="J256">
            <v>1.5146203756941589E-3</v>
          </cell>
          <cell r="K256">
            <v>8.5594434080526102E-5</v>
          </cell>
          <cell r="L256">
            <v>1.1158034383003627E-4</v>
          </cell>
          <cell r="M256">
            <v>1.5623703146646489E-3</v>
          </cell>
          <cell r="N256">
            <v>3.4009399710913462E-3</v>
          </cell>
          <cell r="O256">
            <v>2.9653733702938662E-3</v>
          </cell>
          <cell r="P256">
            <v>6.8502622357412514E-3</v>
          </cell>
        </row>
        <row r="257">
          <cell r="B257" t="str">
            <v>RHNS-SHSTG-CHPNGA</v>
          </cell>
          <cell r="C257" t="str">
            <v>VAR_fin</v>
          </cell>
          <cell r="D257" t="str">
            <v>AUX_RNS-CHPNGA_IN</v>
          </cell>
          <cell r="E257">
            <v>3.4677357666028413E-5</v>
          </cell>
          <cell r="F257">
            <v>7.9511076691092623E-5</v>
          </cell>
          <cell r="G257">
            <v>1.1780090507777156E-3</v>
          </cell>
          <cell r="H257">
            <v>2.8406728829392012E-3</v>
          </cell>
          <cell r="I257">
            <v>1.1282395350901814E-3</v>
          </cell>
          <cell r="J257">
            <v>1.5146203756941589E-3</v>
          </cell>
          <cell r="K257">
            <v>8.5594434080526102E-5</v>
          </cell>
          <cell r="L257">
            <v>1.1158034383003627E-4</v>
          </cell>
          <cell r="M257">
            <v>1.5623703146646489E-3</v>
          </cell>
          <cell r="N257">
            <v>3.4009399710913462E-3</v>
          </cell>
          <cell r="O257">
            <v>2.9653733702938662E-3</v>
          </cell>
          <cell r="P257">
            <v>6.8502622357412514E-3</v>
          </cell>
        </row>
        <row r="258">
          <cell r="B258" t="str">
            <v>RHNS-SHSTG-CHPNGA</v>
          </cell>
          <cell r="C258" t="str">
            <v>VAR_ncap</v>
          </cell>
          <cell r="D258" t="str">
            <v>-</v>
          </cell>
          <cell r="E258">
            <v>1.2307088084754401E-3</v>
          </cell>
          <cell r="F258">
            <v>3.47260410774273E-5</v>
          </cell>
          <cell r="G258">
            <v>3.0263206033610201E-5</v>
          </cell>
          <cell r="H258">
            <v>1.86746241238056E-5</v>
          </cell>
          <cell r="I258">
            <v>1.0195321309586899E-3</v>
          </cell>
          <cell r="J258">
            <v>9.4227809416712506E-5</v>
          </cell>
          <cell r="K258">
            <v>2.26278034334442E-5</v>
          </cell>
          <cell r="L258">
            <v>1.3723509987310001E-3</v>
          </cell>
          <cell r="M258">
            <v>1.25710170649277E-4</v>
          </cell>
          <cell r="N258">
            <v>1.42089183396406E-3</v>
          </cell>
          <cell r="O258">
            <v>4.8249604683109901E-4</v>
          </cell>
          <cell r="P258">
            <v>2.9805876910445001E-3</v>
          </cell>
        </row>
        <row r="259">
          <cell r="B259" t="str">
            <v>RHNS-SHSTG-CHPNGA</v>
          </cell>
          <cell r="C259" t="str">
            <v>VAR_cap</v>
          </cell>
          <cell r="D259" t="str">
            <v>-</v>
          </cell>
          <cell r="E259">
            <v>1.2307088084754401E-3</v>
          </cell>
          <cell r="F259">
            <v>1.2635372499543664E-3</v>
          </cell>
          <cell r="G259">
            <v>1.2875495744672644E-3</v>
          </cell>
          <cell r="H259">
            <v>1.2897211190044627E-3</v>
          </cell>
          <cell r="I259">
            <v>1.3773907306388073E-3</v>
          </cell>
          <cell r="J259">
            <v>1.1228598264809652E-3</v>
          </cell>
          <cell r="K259">
            <v>1.112899337851207E-3</v>
          </cell>
          <cell r="L259">
            <v>1.4698740154925533E-3</v>
          </cell>
          <cell r="M259">
            <v>1.5120606217488165E-3</v>
          </cell>
          <cell r="N259">
            <v>2.8960288319547531E-3</v>
          </cell>
          <cell r="O259">
            <v>2.1966113676661681E-3</v>
          </cell>
          <cell r="P259">
            <v>4.8620632977673262E-3</v>
          </cell>
        </row>
        <row r="260">
          <cell r="B260" t="str">
            <v>ITOT-CHPGFC</v>
          </cell>
          <cell r="C260" t="str">
            <v>VAR_fout</v>
          </cell>
          <cell r="D260" t="str">
            <v>ITOT_NKEV_GAS_ELC_CHP</v>
          </cell>
          <cell r="E260"/>
          <cell r="F260"/>
          <cell r="G260"/>
          <cell r="H260">
            <v>2.9758834197958061E-4</v>
          </cell>
          <cell r="I260">
            <v>4.7249416876910075E-4</v>
          </cell>
          <cell r="J260">
            <v>4.2748593301400045E-3</v>
          </cell>
          <cell r="K260">
            <v>2.9865403576992567E-3</v>
          </cell>
          <cell r="L260">
            <v>9.8063670737534342E-4</v>
          </cell>
          <cell r="M260">
            <v>1.3681371818521021E-3</v>
          </cell>
          <cell r="N260">
            <v>2.8326633587019085E-3</v>
          </cell>
          <cell r="O260">
            <v>1.2155882137151318E-3</v>
          </cell>
          <cell r="P260">
            <v>7.8970091766588388E-4</v>
          </cell>
        </row>
        <row r="261">
          <cell r="B261" t="str">
            <v>ITOT-CHPGFC</v>
          </cell>
          <cell r="C261" t="str">
            <v>VAR_fout</v>
          </cell>
          <cell r="D261" t="str">
            <v>ITOT_LTH_CHP</v>
          </cell>
          <cell r="E261"/>
          <cell r="F261"/>
          <cell r="G261"/>
          <cell r="H261">
            <v>1.4879417098979028E-4</v>
          </cell>
          <cell r="I261">
            <v>2.2432635994312834E-4</v>
          </cell>
          <cell r="J261">
            <v>1.9217257539161515E-3</v>
          </cell>
          <cell r="K261">
            <v>1.2738342101888038E-3</v>
          </cell>
          <cell r="L261">
            <v>3.9569551350233185E-4</v>
          </cell>
          <cell r="M261">
            <v>5.5205535408067317E-4</v>
          </cell>
          <cell r="N261">
            <v>1.1430045131604226E-3</v>
          </cell>
          <cell r="O261">
            <v>4.9050050728856179E-4</v>
          </cell>
          <cell r="P261">
            <v>3.1865124747921652E-4</v>
          </cell>
        </row>
        <row r="262">
          <cell r="B262" t="str">
            <v>ITOT-CHPGFC</v>
          </cell>
          <cell r="C262" t="str">
            <v>VAR_fout</v>
          </cell>
          <cell r="D262" t="str">
            <v>CO2_I</v>
          </cell>
          <cell r="E262"/>
          <cell r="F262"/>
          <cell r="G262"/>
          <cell r="H262">
            <v>3.2276889399323702E-2</v>
          </cell>
          <cell r="I262">
            <v>5.0044452804840003E-2</v>
          </cell>
          <cell r="J262">
            <v>0.44238911233008499</v>
          </cell>
          <cell r="K262">
            <v>0.30213610076096498</v>
          </cell>
          <cell r="L262">
            <v>9.7031421571876095E-2</v>
          </cell>
          <cell r="M262">
            <v>0.13537357378326101</v>
          </cell>
          <cell r="N262">
            <v>0.28028458496629499</v>
          </cell>
          <cell r="O262">
            <v>0.12027925483076</v>
          </cell>
          <cell r="P262">
            <v>7.8138827642729503E-2</v>
          </cell>
        </row>
        <row r="263">
          <cell r="B263" t="str">
            <v>ITOT-CHPGFC</v>
          </cell>
          <cell r="C263" t="str">
            <v>VAR_fin</v>
          </cell>
          <cell r="D263" t="str">
            <v>INGA</v>
          </cell>
          <cell r="E263"/>
          <cell r="F263"/>
          <cell r="G263"/>
          <cell r="H263">
            <v>5.7228527303765473E-4</v>
          </cell>
          <cell r="I263">
            <v>8.8731299299361747E-4</v>
          </cell>
          <cell r="J263">
            <v>7.8437785874128554E-3</v>
          </cell>
          <cell r="K263">
            <v>5.3570230631376893E-3</v>
          </cell>
          <cell r="L263">
            <v>1.7204152760970936E-3</v>
          </cell>
          <cell r="M263">
            <v>2.400240669915967E-3</v>
          </cell>
          <cell r="N263">
            <v>4.9695848398279173E-3</v>
          </cell>
          <cell r="O263">
            <v>2.1326109012546157E-3</v>
          </cell>
          <cell r="P263">
            <v>1.3854402064313763E-3</v>
          </cell>
        </row>
        <row r="264">
          <cell r="B264" t="str">
            <v>ITOT-CHPGFC</v>
          </cell>
          <cell r="C264" t="str">
            <v>VAR_ncap</v>
          </cell>
          <cell r="D264" t="str">
            <v>-</v>
          </cell>
          <cell r="E264"/>
          <cell r="F264"/>
          <cell r="G264"/>
          <cell r="H264">
            <v>5.6063492314925902E-5</v>
          </cell>
          <cell r="I264">
            <v>5.1321508370240197E-5</v>
          </cell>
          <cell r="J264">
            <v>1.4334262078944399E-4</v>
          </cell>
          <cell r="K264">
            <v>2.6188707691261501E-6</v>
          </cell>
          <cell r="L264">
            <v>7.6705494369522795E-5</v>
          </cell>
          <cell r="M264">
            <v>5.2349260180913601E-5</v>
          </cell>
          <cell r="N264">
            <v>1.5434998715653601E-4</v>
          </cell>
          <cell r="O264">
            <v>4.4122870801853696E-6</v>
          </cell>
          <cell r="P264">
            <v>2.8953846735618201E-5</v>
          </cell>
        </row>
        <row r="265">
          <cell r="B265" t="str">
            <v>ITOT-CHPGFC</v>
          </cell>
          <cell r="C265" t="str">
            <v>VAR_cap</v>
          </cell>
          <cell r="D265" t="str">
            <v>-</v>
          </cell>
          <cell r="E265"/>
          <cell r="F265"/>
          <cell r="G265"/>
          <cell r="H265">
            <v>5.6063492314925902E-5</v>
          </cell>
          <cell r="I265">
            <v>1.0735229736871912E-4</v>
          </cell>
          <cell r="J265">
            <v>2.3992335288243471E-4</v>
          </cell>
          <cell r="K265">
            <v>1.971364421955758E-4</v>
          </cell>
          <cell r="L265">
            <v>2.2243985335070762E-4</v>
          </cell>
          <cell r="M265">
            <v>1.5309578975871696E-4</v>
          </cell>
          <cell r="N265">
            <v>2.8314714136390911E-4</v>
          </cell>
          <cell r="O265">
            <v>2.0773452753834732E-4</v>
          </cell>
          <cell r="P265">
            <v>1.873801554703373E-4</v>
          </cell>
        </row>
        <row r="266">
          <cell r="B266" t="str">
            <v>ENUC_AMR_BEZ_I</v>
          </cell>
          <cell r="C266" t="str">
            <v>VAR_fout</v>
          </cell>
          <cell r="D266" t="str">
            <v>HTH</v>
          </cell>
          <cell r="E266"/>
          <cell r="F266"/>
          <cell r="G266"/>
          <cell r="H266"/>
          <cell r="I266"/>
          <cell r="J266"/>
          <cell r="K266"/>
          <cell r="L266"/>
          <cell r="M266">
            <v>1.0456668250477525</v>
          </cell>
          <cell r="N266">
            <v>1.9512001066321567</v>
          </cell>
          <cell r="O266">
            <v>1.7782892065403024</v>
          </cell>
          <cell r="P266">
            <v>1.8316144022369101</v>
          </cell>
        </row>
        <row r="267">
          <cell r="B267" t="str">
            <v>ENUC_AMR_BEZ_I</v>
          </cell>
          <cell r="C267" t="str">
            <v>VAR_fout</v>
          </cell>
          <cell r="D267" t="str">
            <v>ELC</v>
          </cell>
          <cell r="E267"/>
          <cell r="F267"/>
          <cell r="G267"/>
          <cell r="H267"/>
          <cell r="I267"/>
          <cell r="J267"/>
          <cell r="K267"/>
          <cell r="L267"/>
          <cell r="M267">
            <v>3.760343649855507</v>
          </cell>
          <cell r="N267">
            <v>6.9599684911748829</v>
          </cell>
          <cell r="O267">
            <v>6.9818833565784155</v>
          </cell>
          <cell r="P267">
            <v>7.018818880433054</v>
          </cell>
        </row>
        <row r="268">
          <cell r="B268" t="str">
            <v>ENUC_AMR_BEZ_I</v>
          </cell>
          <cell r="C268" t="str">
            <v>VAR_fin</v>
          </cell>
          <cell r="D268" t="str">
            <v>URN</v>
          </cell>
          <cell r="E268"/>
          <cell r="F268"/>
          <cell r="G268"/>
          <cell r="H268"/>
          <cell r="I268"/>
          <cell r="J268"/>
          <cell r="K268"/>
          <cell r="L268"/>
          <cell r="M268">
            <v>9.4676526472813922</v>
          </cell>
          <cell r="N268">
            <v>17.540330680742677</v>
          </cell>
          <cell r="O268">
            <v>17.405260781489261</v>
          </cell>
          <cell r="P268">
            <v>17.544009167175478</v>
          </cell>
        </row>
        <row r="269">
          <cell r="B269" t="str">
            <v>ENUC_AMR_BEZ_I</v>
          </cell>
          <cell r="C269" t="str">
            <v>VAR_ncap</v>
          </cell>
          <cell r="D269" t="str">
            <v>-</v>
          </cell>
          <cell r="E269"/>
          <cell r="F269"/>
          <cell r="G269"/>
          <cell r="H269"/>
          <cell r="I269"/>
          <cell r="J269"/>
          <cell r="K269"/>
          <cell r="L269">
            <v>0.29999774790560602</v>
          </cell>
          <cell r="M269">
            <v>1.67276814394321E-7</v>
          </cell>
          <cell r="N269">
            <v>1.97045419396599E-7</v>
          </cell>
          <cell r="O269">
            <v>6.7702991282934395E-7</v>
          </cell>
        </row>
        <row r="270">
          <cell r="B270" t="str">
            <v>ENUC_AMR_BEZ_I</v>
          </cell>
          <cell r="C270" t="str">
            <v>VAR_cap</v>
          </cell>
          <cell r="D270" t="str">
            <v>-</v>
          </cell>
          <cell r="E270"/>
          <cell r="F270"/>
          <cell r="G270"/>
          <cell r="H270"/>
          <cell r="I270"/>
          <cell r="J270"/>
          <cell r="K270"/>
          <cell r="L270"/>
          <cell r="M270">
            <v>0.165055585460013</v>
          </cell>
          <cell r="N270">
            <v>0.29999791518242103</v>
          </cell>
          <cell r="O270">
            <v>0.299998043276958</v>
          </cell>
          <cell r="P270">
            <v>0.29999878925775297</v>
          </cell>
        </row>
        <row r="271">
          <cell r="B271" t="str">
            <v>ITOT-SWSTG-CHP</v>
          </cell>
          <cell r="C271" t="str">
            <v>VAR_fout</v>
          </cell>
          <cell r="D271" t="str">
            <v>ITOT_LTH_CHP</v>
          </cell>
          <cell r="E271">
            <v>3.2913678276887945E-4</v>
          </cell>
          <cell r="F271">
            <v>1.7583022085938195E-4</v>
          </cell>
          <cell r="G271">
            <v>5.7709016248775898E-2</v>
          </cell>
          <cell r="H271">
            <v>1.0167516406721351E-3</v>
          </cell>
          <cell r="I271">
            <v>6.2289259454406951E-3</v>
          </cell>
          <cell r="J271">
            <v>0.52820298209327721</v>
          </cell>
          <cell r="K271">
            <v>0.268195059964075</v>
          </cell>
          <cell r="L271">
            <v>0.17225793745648227</v>
          </cell>
          <cell r="M271">
            <v>0.19245545319490218</v>
          </cell>
          <cell r="N271">
            <v>0.14296824845036912</v>
          </cell>
          <cell r="O271">
            <v>0.10706460555493448</v>
          </cell>
          <cell r="P271">
            <v>0.22733620756927983</v>
          </cell>
        </row>
        <row r="272">
          <cell r="B272" t="str">
            <v>ITOT-SWSTG-CHP</v>
          </cell>
          <cell r="C272" t="str">
            <v>VAR_fout</v>
          </cell>
          <cell r="D272" t="str">
            <v>AUX_ITOT-CHP_OUT</v>
          </cell>
          <cell r="E272">
            <v>3.291367827688788E-4</v>
          </cell>
          <cell r="F272">
            <v>1.7568662004606192E-4</v>
          </cell>
          <cell r="G272">
            <v>5.7635407809683036E-2</v>
          </cell>
          <cell r="H272">
            <v>1.0167516406721369E-3</v>
          </cell>
          <cell r="I272">
            <v>6.2220049166124359E-3</v>
          </cell>
          <cell r="J272">
            <v>0.52820298209327776</v>
          </cell>
          <cell r="K272">
            <v>0.26793315072582924</v>
          </cell>
          <cell r="L272">
            <v>0.1722579374564823</v>
          </cell>
          <cell r="M272">
            <v>0.19245545319490218</v>
          </cell>
          <cell r="N272">
            <v>0.14296824845036912</v>
          </cell>
          <cell r="O272">
            <v>0.10706460555493451</v>
          </cell>
          <cell r="P272">
            <v>0.22733620756927983</v>
          </cell>
        </row>
        <row r="273">
          <cell r="B273" t="str">
            <v>ITOT-SWSTG-CHP</v>
          </cell>
          <cell r="C273" t="str">
            <v>VAR_fin</v>
          </cell>
          <cell r="D273" t="str">
            <v>ITOT_LTH_CHP</v>
          </cell>
          <cell r="E273">
            <v>4.1011077893412671E-4</v>
          </cell>
          <cell r="F273">
            <v>2.1337535268265958E-4</v>
          </cell>
          <cell r="G273">
            <v>6.8702761563075351E-2</v>
          </cell>
          <cell r="H273">
            <v>1.1696202458089044E-3</v>
          </cell>
          <cell r="I273">
            <v>6.921971096220475E-3</v>
          </cell>
          <cell r="J273">
            <v>0.56796113806715987</v>
          </cell>
          <cell r="K273">
            <v>0.2793707963971872</v>
          </cell>
          <cell r="L273">
            <v>0.17399885370443721</v>
          </cell>
          <cell r="M273">
            <v>0.19440037963142953</v>
          </cell>
          <cell r="N273">
            <v>0.14441332273673527</v>
          </cell>
          <cell r="O273">
            <v>0.1081470413455527</v>
          </cell>
          <cell r="P273">
            <v>0.22963447448795277</v>
          </cell>
        </row>
        <row r="274">
          <cell r="B274" t="str">
            <v>ITOT-SWSTG-CHP</v>
          </cell>
          <cell r="C274" t="str">
            <v>VAR_fin</v>
          </cell>
          <cell r="D274" t="str">
            <v>AUX_ITOT-CHP_IN</v>
          </cell>
          <cell r="E274">
            <v>4.1011077893412671E-4</v>
          </cell>
          <cell r="F274">
            <v>2.1337535268265958E-4</v>
          </cell>
          <cell r="G274">
            <v>6.8702761563075351E-2</v>
          </cell>
          <cell r="H274">
            <v>1.1696202458089044E-3</v>
          </cell>
          <cell r="I274">
            <v>6.921971096220475E-3</v>
          </cell>
          <cell r="J274">
            <v>0.56796113806715987</v>
          </cell>
          <cell r="K274">
            <v>0.2793707963971872</v>
          </cell>
          <cell r="L274">
            <v>0.17399885370443721</v>
          </cell>
          <cell r="M274">
            <v>0.19440037963142953</v>
          </cell>
          <cell r="N274">
            <v>0.14441332273673527</v>
          </cell>
          <cell r="O274">
            <v>0.1081470413455527</v>
          </cell>
          <cell r="P274">
            <v>0.22963447448795277</v>
          </cell>
        </row>
        <row r="275">
          <cell r="B275" t="str">
            <v>ITOT-SWSTG-CHP</v>
          </cell>
          <cell r="C275" t="str">
            <v>VAR_ncap</v>
          </cell>
          <cell r="D275" t="str">
            <v>-</v>
          </cell>
          <cell r="E275">
            <v>1.9788902741425499E-3</v>
          </cell>
          <cell r="F275">
            <v>3.22085320116072E-5</v>
          </cell>
          <cell r="G275">
            <v>1.6174974602559699E-3</v>
          </cell>
          <cell r="H275">
            <v>8.7993640107472801E-6</v>
          </cell>
          <cell r="I275">
            <v>9.4543013795684401E-4</v>
          </cell>
          <cell r="J275">
            <v>5.4651942613203899E-2</v>
          </cell>
          <cell r="K275">
            <v>1.7342733600634E-2</v>
          </cell>
          <cell r="L275">
            <v>2.17100376721465E-2</v>
          </cell>
          <cell r="M275">
            <v>6.9639376637487706E-5</v>
          </cell>
          <cell r="N275">
            <v>1.0546974551666399E-3</v>
          </cell>
          <cell r="O275">
            <v>1.04241918737251E-2</v>
          </cell>
          <cell r="P275">
            <v>1.25213337296549E-2</v>
          </cell>
        </row>
        <row r="276">
          <cell r="B276" t="str">
            <v>ITOT-SWSTG-CHP</v>
          </cell>
          <cell r="C276" t="str">
            <v>VAR_cap</v>
          </cell>
          <cell r="D276" t="str">
            <v>-</v>
          </cell>
          <cell r="E276">
            <v>1.9890937764686701E-3</v>
          </cell>
          <cell r="F276">
            <v>2.0179441430968857E-3</v>
          </cell>
          <cell r="G276">
            <v>3.6298567062146526E-3</v>
          </cell>
          <cell r="H276">
            <v>2.9032789488414846E-3</v>
          </cell>
          <cell r="I276">
            <v>2.8882384058161177E-3</v>
          </cell>
          <cell r="J276">
            <v>5.5926615802476182E-2</v>
          </cell>
          <cell r="K276">
            <v>7.2926336021829158E-2</v>
          </cell>
          <cell r="L276">
            <v>9.3688160356815264E-2</v>
          </cell>
          <cell r="M276">
            <v>4.5188415680504294E-2</v>
          </cell>
          <cell r="N276">
            <v>2.2809913272949147E-2</v>
          </cell>
          <cell r="O276">
            <v>1.5338869753644197E-2</v>
          </cell>
          <cell r="P276">
            <v>2.3979342502850047E-2</v>
          </cell>
        </row>
        <row r="277">
          <cell r="B277" t="str">
            <v>D-ELFO</v>
          </cell>
          <cell r="C277" t="str">
            <v>VAR_fout</v>
          </cell>
          <cell r="D277" t="str">
            <v>CO2</v>
          </cell>
          <cell r="E277">
            <v>26.603114501798</v>
          </cell>
          <cell r="F277">
            <v>16.401403321686299</v>
          </cell>
          <cell r="G277">
            <v>5.7208924489583701</v>
          </cell>
          <cell r="H277">
            <v>4.9288004254224296</v>
          </cell>
          <cell r="I277">
            <v>0.186849520861328</v>
          </cell>
          <cell r="J277">
            <v>37.348034795564502</v>
          </cell>
          <cell r="K277">
            <v>37.484326419086003</v>
          </cell>
          <cell r="L277">
            <v>5.7239424726750702E-3</v>
          </cell>
          <cell r="M277">
            <v>0.366298314144621</v>
          </cell>
          <cell r="N277">
            <v>0.46170978239802801</v>
          </cell>
          <cell r="O277">
            <v>0.304361723718861</v>
          </cell>
          <cell r="P277">
            <v>0.60967656973357998</v>
          </cell>
        </row>
        <row r="278">
          <cell r="B278" t="str">
            <v>D-ELFO</v>
          </cell>
          <cell r="C278" t="str">
            <v>VAR_fout</v>
          </cell>
          <cell r="D278" t="str">
            <v>ELFO</v>
          </cell>
          <cell r="E278">
            <v>0.35493638380556863</v>
          </cell>
          <cell r="F278">
            <v>0.218826062036553</v>
          </cell>
          <cell r="G278">
            <v>7.6327637421424038E-2</v>
          </cell>
          <cell r="H278">
            <v>6.5759616205108215E-2</v>
          </cell>
          <cell r="I278">
            <v>2.4929296622709487E-3</v>
          </cell>
          <cell r="J278">
            <v>0.49829415317842846</v>
          </cell>
          <cell r="K278">
            <v>0.5001125438782269</v>
          </cell>
          <cell r="L278">
            <v>7.6368330566147749E-5</v>
          </cell>
          <cell r="M278">
            <v>4.8871194764725989E-3</v>
          </cell>
          <cell r="N278">
            <v>6.1600907863978106E-3</v>
          </cell>
          <cell r="O278">
            <v>4.0607670044911686E-3</v>
          </cell>
          <cell r="P278">
            <v>8.1342504817469834E-3</v>
          </cell>
        </row>
        <row r="279">
          <cell r="B279" t="str">
            <v>D-ELFO</v>
          </cell>
          <cell r="C279" t="str">
            <v>VAR_fin</v>
          </cell>
          <cell r="D279" t="str">
            <v>LFO</v>
          </cell>
          <cell r="E279">
            <v>0.36096491861327029</v>
          </cell>
          <cell r="F279">
            <v>0.22254278591161872</v>
          </cell>
          <cell r="G279">
            <v>7.762404951096831E-2</v>
          </cell>
          <cell r="H279">
            <v>6.687653223096926E-2</v>
          </cell>
          <cell r="I279">
            <v>2.5352716534779857E-3</v>
          </cell>
          <cell r="J279">
            <v>0.50675759559789024</v>
          </cell>
          <cell r="K279">
            <v>0.50860687135801996</v>
          </cell>
          <cell r="L279">
            <v>7.7665433821913989E-5</v>
          </cell>
          <cell r="M279">
            <v>4.9701263791671751E-3</v>
          </cell>
          <cell r="N279">
            <v>6.2647188927819186E-3</v>
          </cell>
          <cell r="O279">
            <v>4.1297384493739582E-3</v>
          </cell>
          <cell r="P279">
            <v>8.272409358664596E-3</v>
          </cell>
        </row>
        <row r="280">
          <cell r="B280" t="str">
            <v>EHYD-DAM00</v>
          </cell>
          <cell r="C280" t="str">
            <v>VAR_fout</v>
          </cell>
          <cell r="D280" t="str">
            <v>ELC</v>
          </cell>
          <cell r="E280">
            <v>66.745680087465431</v>
          </cell>
          <cell r="F280">
            <v>49.787155011147334</v>
          </cell>
          <cell r="G280">
            <v>68.6996131020951</v>
          </cell>
          <cell r="H280">
            <v>69.688675505389412</v>
          </cell>
          <cell r="I280">
            <v>70.476252231865132</v>
          </cell>
          <cell r="J280">
            <v>71.392348507390025</v>
          </cell>
          <cell r="K280">
            <v>71.231895603264988</v>
          </cell>
          <cell r="L280">
            <v>71.394484463461197</v>
          </cell>
          <cell r="M280">
            <v>71.397532038751919</v>
          </cell>
          <cell r="N280">
            <v>71.394048112547537</v>
          </cell>
          <cell r="O280">
            <v>71.397027012226303</v>
          </cell>
          <cell r="P280">
            <v>71.399677491985244</v>
          </cell>
        </row>
        <row r="281">
          <cell r="B281" t="str">
            <v>EHYD-DAM00</v>
          </cell>
          <cell r="C281" t="str">
            <v>VAR_fin</v>
          </cell>
          <cell r="D281" t="str">
            <v>HYDD</v>
          </cell>
          <cell r="E281">
            <v>66.745680087465431</v>
          </cell>
          <cell r="F281">
            <v>49.787155011147334</v>
          </cell>
          <cell r="G281">
            <v>68.6996131020951</v>
          </cell>
          <cell r="H281">
            <v>69.688675505389412</v>
          </cell>
          <cell r="I281">
            <v>70.476252231865132</v>
          </cell>
          <cell r="J281">
            <v>71.392348507390025</v>
          </cell>
          <cell r="K281">
            <v>71.231895603264988</v>
          </cell>
          <cell r="L281">
            <v>71.394484463461197</v>
          </cell>
          <cell r="M281">
            <v>71.397532038751919</v>
          </cell>
          <cell r="N281">
            <v>71.394048112547537</v>
          </cell>
          <cell r="O281">
            <v>71.397027012226303</v>
          </cell>
          <cell r="P281">
            <v>71.399677491985244</v>
          </cell>
        </row>
        <row r="282">
          <cell r="B282" t="str">
            <v>EHYD-DAM00</v>
          </cell>
          <cell r="C282" t="str">
            <v>VAR_cap</v>
          </cell>
          <cell r="D282" t="str">
            <v>-</v>
          </cell>
          <cell r="E282">
            <v>7.3394300010600002</v>
          </cell>
          <cell r="F282">
            <v>7.3394300010600002</v>
          </cell>
          <cell r="G282">
            <v>7.3394300010600002</v>
          </cell>
          <cell r="H282">
            <v>7.3394300010600002</v>
          </cell>
          <cell r="I282">
            <v>7.3394300010600002</v>
          </cell>
          <cell r="J282">
            <v>7.3394300010600002</v>
          </cell>
          <cell r="K282">
            <v>7.3394300010600002</v>
          </cell>
          <cell r="L282">
            <v>7.3394300010600002</v>
          </cell>
          <cell r="M282">
            <v>7.3394300010600002</v>
          </cell>
          <cell r="N282">
            <v>7.3394300010600002</v>
          </cell>
          <cell r="O282">
            <v>7.3394300010600002</v>
          </cell>
          <cell r="P282">
            <v>7.3394300010600002</v>
          </cell>
        </row>
        <row r="283">
          <cell r="B283" t="str">
            <v>RHES-SHSTG-CHPWOD</v>
          </cell>
          <cell r="C283" t="str">
            <v>VAR_fout</v>
          </cell>
          <cell r="D283" t="str">
            <v>AUX_RES-CHPWOD_OUT</v>
          </cell>
          <cell r="E283">
            <v>4.120408204739923E-5</v>
          </cell>
          <cell r="F283">
            <v>3.96804548245947E-5</v>
          </cell>
          <cell r="G283">
            <v>5.3096449093830091E-5</v>
          </cell>
          <cell r="H283">
            <v>4.6168484755529366E-4</v>
          </cell>
          <cell r="I283">
            <v>7.1081279020908459E-4</v>
          </cell>
          <cell r="J283">
            <v>1.4421291472494393E-3</v>
          </cell>
          <cell r="K283">
            <v>1.3776925896182919E-3</v>
          </cell>
          <cell r="L283">
            <v>1.6294577287220052E-3</v>
          </cell>
          <cell r="M283">
            <v>1.252188228561986E-3</v>
          </cell>
          <cell r="N283">
            <v>2.713734626876197E-3</v>
          </cell>
          <cell r="O283">
            <v>1.8436800850409826E-3</v>
          </cell>
          <cell r="P283">
            <v>4.7442864985519969E-3</v>
          </cell>
        </row>
        <row r="284">
          <cell r="B284" t="str">
            <v>RHES-SHSTG-CHPWOD</v>
          </cell>
          <cell r="C284" t="str">
            <v>VAR_fout</v>
          </cell>
          <cell r="D284" t="str">
            <v>RHES_LTH_CHPWOD</v>
          </cell>
          <cell r="E284">
            <v>4.1204082047399135E-5</v>
          </cell>
          <cell r="F284">
            <v>3.9706908461144367E-5</v>
          </cell>
          <cell r="G284">
            <v>5.3151757894969412E-5</v>
          </cell>
          <cell r="H284">
            <v>4.6168484755529366E-4</v>
          </cell>
          <cell r="I284">
            <v>7.1146611078831928E-4</v>
          </cell>
          <cell r="J284">
            <v>1.4421291472494339E-3</v>
          </cell>
          <cell r="K284">
            <v>1.3788181554594792E-3</v>
          </cell>
          <cell r="L284">
            <v>1.6294577287220035E-3</v>
          </cell>
          <cell r="M284">
            <v>1.2521882285619847E-3</v>
          </cell>
          <cell r="N284">
            <v>2.7137346268761952E-3</v>
          </cell>
          <cell r="O284">
            <v>1.8436800850409809E-3</v>
          </cell>
          <cell r="P284">
            <v>4.7442864985519926E-3</v>
          </cell>
        </row>
        <row r="285">
          <cell r="B285" t="str">
            <v>RHES-SHSTG-CHPWOD</v>
          </cell>
          <cell r="C285" t="str">
            <v>VAR_fin</v>
          </cell>
          <cell r="D285" t="str">
            <v>AUX_RES-CHPWOD_IN</v>
          </cell>
          <cell r="E285">
            <v>3.2743131002713778E-5</v>
          </cell>
          <cell r="F285">
            <v>2.4918611833092197E-5</v>
          </cell>
          <cell r="G285">
            <v>4.2445954020958361E-5</v>
          </cell>
          <cell r="H285">
            <v>5.7697565214481338E-4</v>
          </cell>
          <cell r="I285">
            <v>8.6252743176324807E-4</v>
          </cell>
          <cell r="J285">
            <v>1.696887434066683E-3</v>
          </cell>
          <cell r="K285">
            <v>1.5762854444382535E-3</v>
          </cell>
          <cell r="L285">
            <v>1.8114871921049395E-3</v>
          </cell>
          <cell r="M285">
            <v>1.3913202539608594E-3</v>
          </cell>
          <cell r="N285">
            <v>3.0162160515411897E-3</v>
          </cell>
          <cell r="O285">
            <v>2.048799224596368E-3</v>
          </cell>
          <cell r="P285">
            <v>5.2723984751964726E-3</v>
          </cell>
        </row>
        <row r="286">
          <cell r="B286" t="str">
            <v>RHES-SHSTG-CHPWOD</v>
          </cell>
          <cell r="C286" t="str">
            <v>VAR_fin</v>
          </cell>
          <cell r="D286" t="str">
            <v>RHES_LTH_CHPWOD</v>
          </cell>
          <cell r="E286">
            <v>3.2743131002713778E-5</v>
          </cell>
          <cell r="F286">
            <v>2.4918611833092197E-5</v>
          </cell>
          <cell r="G286">
            <v>4.2445954020958361E-5</v>
          </cell>
          <cell r="H286">
            <v>5.7697565214481338E-4</v>
          </cell>
          <cell r="I286">
            <v>8.6252743176324807E-4</v>
          </cell>
          <cell r="J286">
            <v>1.696887434066683E-3</v>
          </cell>
          <cell r="K286">
            <v>1.5762854444382535E-3</v>
          </cell>
          <cell r="L286">
            <v>1.8114871921049395E-3</v>
          </cell>
          <cell r="M286">
            <v>1.3913202539608594E-3</v>
          </cell>
          <cell r="N286">
            <v>3.0162160515411897E-3</v>
          </cell>
          <cell r="O286">
            <v>2.048799224596368E-3</v>
          </cell>
          <cell r="P286">
            <v>5.2723984751964726E-3</v>
          </cell>
        </row>
        <row r="287">
          <cell r="B287" t="str">
            <v>RHES-SHSTG-CHPWOD</v>
          </cell>
          <cell r="C287" t="str">
            <v>VAR_ncap</v>
          </cell>
          <cell r="D287" t="str">
            <v>-</v>
          </cell>
          <cell r="E287">
            <v>8.9727092219974596E-4</v>
          </cell>
          <cell r="F287">
            <v>2.0921523136414899E-5</v>
          </cell>
          <cell r="G287">
            <v>3.7275450445118398E-5</v>
          </cell>
          <cell r="H287">
            <v>3.1862613597108101E-5</v>
          </cell>
          <cell r="I287">
            <v>1.02744493285012E-3</v>
          </cell>
          <cell r="J287">
            <v>4.35186143946747E-4</v>
          </cell>
          <cell r="K287">
            <v>7.2379918041955003E-5</v>
          </cell>
          <cell r="L287">
            <v>1.6571911843032501E-3</v>
          </cell>
          <cell r="M287">
            <v>3.8765896732872201E-5</v>
          </cell>
          <cell r="N287">
            <v>1.2382225358393501E-3</v>
          </cell>
          <cell r="O287">
            <v>6.6853940522158004E-4</v>
          </cell>
          <cell r="P287">
            <v>2.9786539727090899E-3</v>
          </cell>
        </row>
        <row r="288">
          <cell r="B288" t="str">
            <v>RHES-SHSTG-CHPWOD</v>
          </cell>
          <cell r="C288" t="str">
            <v>VAR_cap</v>
          </cell>
          <cell r="D288" t="str">
            <v>-</v>
          </cell>
          <cell r="E288">
            <v>8.9727092219974596E-4</v>
          </cell>
          <cell r="F288">
            <v>9.158852602481973E-4</v>
          </cell>
          <cell r="G288">
            <v>9.4702219805670119E-4</v>
          </cell>
          <cell r="H288">
            <v>9.6866167629290438E-4</v>
          </cell>
          <cell r="I288">
            <v>1.3153393240321924E-3</v>
          </cell>
          <cell r="J288">
            <v>1.4799914291351323E-3</v>
          </cell>
          <cell r="K288">
            <v>1.5202722535544503E-3</v>
          </cell>
          <cell r="L288">
            <v>2.1488742677648735E-3</v>
          </cell>
          <cell r="M288">
            <v>1.7921784443825492E-3</v>
          </cell>
          <cell r="N288">
            <v>2.9110533326058906E-3</v>
          </cell>
          <cell r="O288">
            <v>2.1944156102754629E-3</v>
          </cell>
          <cell r="P288">
            <v>4.8637868683192457E-3</v>
          </cell>
        </row>
        <row r="289">
          <cell r="B289" t="str">
            <v>ENUC_GOE_EXT</v>
          </cell>
          <cell r="C289" t="str">
            <v>VAR_fout</v>
          </cell>
          <cell r="D289" t="str">
            <v>ELC</v>
          </cell>
          <cell r="E289"/>
          <cell r="F289"/>
          <cell r="G289">
            <v>27.363298279566227</v>
          </cell>
          <cell r="H289">
            <v>28.981813835400487</v>
          </cell>
          <cell r="I289">
            <v>29.707556078588254</v>
          </cell>
          <cell r="J289"/>
          <cell r="K289"/>
          <cell r="L289"/>
        </row>
        <row r="290">
          <cell r="B290" t="str">
            <v>ENUC_GOE_EXT</v>
          </cell>
          <cell r="C290" t="str">
            <v>VAR_fin</v>
          </cell>
          <cell r="D290" t="str">
            <v>URN</v>
          </cell>
          <cell r="E290"/>
          <cell r="F290"/>
          <cell r="G290">
            <v>82.524137174191083</v>
          </cell>
          <cell r="H290">
            <v>87.405368902311054</v>
          </cell>
          <cell r="I290">
            <v>89.594112810959615</v>
          </cell>
          <cell r="J290"/>
          <cell r="K290"/>
          <cell r="L290"/>
        </row>
        <row r="291">
          <cell r="B291" t="str">
            <v>ENUC_GOE_EXT</v>
          </cell>
          <cell r="C291" t="str">
            <v>VAR_ncap</v>
          </cell>
          <cell r="D291" t="str">
            <v>-</v>
          </cell>
          <cell r="E291"/>
          <cell r="F291"/>
          <cell r="G291">
            <v>1.00976889545327</v>
          </cell>
          <cell r="H291"/>
          <cell r="I291"/>
          <cell r="J291"/>
          <cell r="K291"/>
          <cell r="L291"/>
        </row>
        <row r="292">
          <cell r="B292" t="str">
            <v>ENUC_GOE_EXT</v>
          </cell>
          <cell r="C292" t="str">
            <v>VAR_cap</v>
          </cell>
          <cell r="D292" t="str">
            <v>-</v>
          </cell>
          <cell r="E292"/>
          <cell r="F292"/>
          <cell r="G292">
            <v>1.00976889545327</v>
          </cell>
          <cell r="H292">
            <v>1.00976885704035</v>
          </cell>
          <cell r="I292">
            <v>1.0097688184416631</v>
          </cell>
          <cell r="J292"/>
          <cell r="K292"/>
          <cell r="L292"/>
        </row>
        <row r="293">
          <cell r="B293" t="str">
            <v>ESOL-PV_A</v>
          </cell>
          <cell r="C293" t="str">
            <v>VAR_fout</v>
          </cell>
          <cell r="D293" t="str">
            <v>ELC35</v>
          </cell>
          <cell r="E293"/>
          <cell r="F293"/>
          <cell r="G293"/>
          <cell r="H293">
            <v>0.34127998258070291</v>
          </cell>
          <cell r="I293">
            <v>1.2719935003443339</v>
          </cell>
          <cell r="J293">
            <v>1.2720838340591312</v>
          </cell>
          <cell r="K293">
            <v>1.8734330696393273</v>
          </cell>
          <cell r="L293">
            <v>1.8734426581236687</v>
          </cell>
          <cell r="M293">
            <v>1.5321644660037261</v>
          </cell>
          <cell r="N293">
            <v>0.60145356385465554</v>
          </cell>
          <cell r="O293">
            <v>0.5078365262409269</v>
          </cell>
          <cell r="P293">
            <v>3.8999237914438042E-3</v>
          </cell>
        </row>
        <row r="294">
          <cell r="B294" t="str">
            <v>ESOL-PV_A</v>
          </cell>
          <cell r="C294" t="str">
            <v>VAR_fin</v>
          </cell>
          <cell r="D294" t="str">
            <v>SOL</v>
          </cell>
          <cell r="E294"/>
          <cell r="F294"/>
          <cell r="G294"/>
          <cell r="H294">
            <v>0.34127998258070291</v>
          </cell>
          <cell r="I294">
            <v>1.2719935003443339</v>
          </cell>
          <cell r="J294">
            <v>1.2720838340591312</v>
          </cell>
          <cell r="K294">
            <v>1.8734330696393273</v>
          </cell>
          <cell r="L294">
            <v>1.8734426581236687</v>
          </cell>
          <cell r="M294">
            <v>1.5321644660037261</v>
          </cell>
          <cell r="N294">
            <v>0.60145356385465554</v>
          </cell>
          <cell r="O294">
            <v>0.5078365262409269</v>
          </cell>
          <cell r="P294">
            <v>3.8999237914438042E-3</v>
          </cell>
        </row>
        <row r="295">
          <cell r="B295" t="str">
            <v>ESOL-PV_A</v>
          </cell>
          <cell r="C295" t="str">
            <v>VAR_fin</v>
          </cell>
          <cell r="D295" t="str">
            <v>SOLPVC</v>
          </cell>
          <cell r="E295"/>
          <cell r="F295"/>
          <cell r="G295"/>
          <cell r="H295">
            <v>0.34127998258070302</v>
          </cell>
          <cell r="I295">
            <v>1.2719935003443299</v>
          </cell>
          <cell r="J295">
            <v>1.2720838340591301</v>
          </cell>
          <cell r="K295">
            <v>1.87343306963933</v>
          </cell>
          <cell r="L295">
            <v>1.8734426581236701</v>
          </cell>
          <cell r="M295">
            <v>1.5321644660037299</v>
          </cell>
          <cell r="N295">
            <v>0.60145356385465498</v>
          </cell>
          <cell r="O295">
            <v>0.50783652624092601</v>
          </cell>
          <cell r="P295">
            <v>3.8999237914438098E-3</v>
          </cell>
        </row>
        <row r="296">
          <cell r="B296" t="str">
            <v>ESOL-PV_A</v>
          </cell>
          <cell r="C296" t="str">
            <v>VAR_ncap</v>
          </cell>
          <cell r="D296" t="str">
            <v>-</v>
          </cell>
          <cell r="E296"/>
          <cell r="F296"/>
          <cell r="G296"/>
          <cell r="H296">
            <v>0.18449520857288501</v>
          </cell>
          <cell r="I296">
            <v>1.65837950923456E-5</v>
          </cell>
          <cell r="J296">
            <v>8.7218521745690905E-2</v>
          </cell>
          <cell r="K296">
            <v>1.65801914461611E-6</v>
          </cell>
          <cell r="L296">
            <v>3.151764050534E-7</v>
          </cell>
          <cell r="M296">
            <v>4.5422435447955402E-7</v>
          </cell>
          <cell r="N296">
            <v>1.5636340161445501E-6</v>
          </cell>
          <cell r="O296">
            <v>5.6243287948845003E-4</v>
          </cell>
        </row>
        <row r="297">
          <cell r="B297" t="str">
            <v>ESOL-PV_A</v>
          </cell>
          <cell r="C297" t="str">
            <v>VAR_cap</v>
          </cell>
          <cell r="D297" t="str">
            <v>-</v>
          </cell>
          <cell r="E297"/>
          <cell r="F297"/>
          <cell r="G297"/>
          <cell r="H297">
            <v>4.9500662975819197E-2</v>
          </cell>
          <cell r="I297">
            <v>0.18449520857288501</v>
          </cell>
          <cell r="J297">
            <v>0.18450830982179001</v>
          </cell>
          <cell r="K297">
            <v>0.27173057367651499</v>
          </cell>
          <cell r="L297">
            <v>0.27173197213281303</v>
          </cell>
          <cell r="M297">
            <v>0.22223165052816099</v>
          </cell>
          <cell r="N297">
            <v>8.7237532960687397E-2</v>
          </cell>
          <cell r="O297">
            <v>7.3659165108104996E-2</v>
          </cell>
          <cell r="P297">
            <v>5.66423933408744E-4</v>
          </cell>
        </row>
        <row r="298">
          <cell r="B298" t="str">
            <v>G-INTC-IND</v>
          </cell>
          <cell r="C298" t="str">
            <v>VAR_fout</v>
          </cell>
          <cell r="D298" t="str">
            <v>ELC35</v>
          </cell>
          <cell r="E298">
            <v>3.1369986748262121E-3</v>
          </cell>
          <cell r="F298">
            <v>1.1475097989291562E-3</v>
          </cell>
          <cell r="G298">
            <v>1.2742876846176384E-3</v>
          </cell>
          <cell r="H298">
            <v>5.1858551388045794E-4</v>
          </cell>
          <cell r="I298">
            <v>1.3674852210324359E-3</v>
          </cell>
          <cell r="J298">
            <v>9.4048272366276889E-4</v>
          </cell>
          <cell r="K298">
            <v>1.2373995673449411E-3</v>
          </cell>
          <cell r="L298">
            <v>2.1408764223664074E-3</v>
          </cell>
          <cell r="M298">
            <v>1.4628581678233004E-3</v>
          </cell>
          <cell r="N298">
            <v>2.9659821862631388E-3</v>
          </cell>
          <cell r="O298">
            <v>2.2750433646643192E-3</v>
          </cell>
          <cell r="P298">
            <v>5.0859549930453102E-3</v>
          </cell>
        </row>
        <row r="299">
          <cell r="B299" t="str">
            <v>G-INTC-IND</v>
          </cell>
          <cell r="C299" t="str">
            <v>VAR_fout</v>
          </cell>
          <cell r="D299" t="str">
            <v>ITOT_ELC</v>
          </cell>
          <cell r="E299">
            <v>55.819939313745898</v>
          </cell>
          <cell r="F299">
            <v>57.142633450945503</v>
          </cell>
          <cell r="G299">
            <v>52.93877219990712</v>
          </cell>
          <cell r="H299">
            <v>53.475235733948999</v>
          </cell>
          <cell r="I299">
            <v>54.66726438848405</v>
          </cell>
          <cell r="J299">
            <v>42.681934888423392</v>
          </cell>
          <cell r="K299">
            <v>53.343336812371739</v>
          </cell>
          <cell r="L299">
            <v>43.835056928183569</v>
          </cell>
          <cell r="M299">
            <v>42.92218606190248</v>
          </cell>
          <cell r="N299">
            <v>43.932212571998512</v>
          </cell>
          <cell r="O299">
            <v>41.584201022491634</v>
          </cell>
          <cell r="P299">
            <v>40.988627413313409</v>
          </cell>
        </row>
        <row r="300">
          <cell r="B300" t="str">
            <v>G-INTC-IND</v>
          </cell>
          <cell r="C300" t="str">
            <v>VAR_fout</v>
          </cell>
          <cell r="D300" t="str">
            <v>ELC13</v>
          </cell>
          <cell r="E300">
            <v>2.9562602569452039E-3</v>
          </cell>
          <cell r="F300">
            <v>8.1363110730535545E-4</v>
          </cell>
          <cell r="G300">
            <v>9.6590398118564982E-4</v>
          </cell>
          <cell r="H300">
            <v>3.9466377315870743E-4</v>
          </cell>
          <cell r="I300">
            <v>9.7179559671017445E-4</v>
          </cell>
          <cell r="J300">
            <v>7.1266999164106958E-4</v>
          </cell>
          <cell r="K300">
            <v>8.9597926180645594E-4</v>
          </cell>
          <cell r="L300">
            <v>1.6584389989836759E-3</v>
          </cell>
          <cell r="M300">
            <v>1.07668684894437E-3</v>
          </cell>
          <cell r="N300">
            <v>2.2106678433904863E-3</v>
          </cell>
          <cell r="O300">
            <v>1.6973369950261756E-3</v>
          </cell>
          <cell r="P300">
            <v>3.7998886893148361E-3</v>
          </cell>
        </row>
        <row r="301">
          <cell r="B301" t="str">
            <v>G-INTC-IND</v>
          </cell>
          <cell r="C301" t="str">
            <v>VAR_fin</v>
          </cell>
          <cell r="D301" t="str">
            <v>ELC3</v>
          </cell>
          <cell r="E301">
            <v>25.752900459262861</v>
          </cell>
          <cell r="F301">
            <v>57.141962299599875</v>
          </cell>
          <cell r="G301">
            <v>52.937144257951203</v>
          </cell>
          <cell r="H301">
            <v>24.500516638060837</v>
          </cell>
          <cell r="I301">
            <v>54.666778945289231</v>
          </cell>
          <cell r="J301">
            <v>19.386762786416053</v>
          </cell>
          <cell r="K301">
            <v>53.325258893431901</v>
          </cell>
          <cell r="L301">
            <v>19.783321280431075</v>
          </cell>
          <cell r="M301">
            <v>42.921455894960502</v>
          </cell>
          <cell r="N301">
            <v>43.929683225355312</v>
          </cell>
          <cell r="O301">
            <v>41.581339220518402</v>
          </cell>
          <cell r="P301">
            <v>40.981008077440549</v>
          </cell>
        </row>
        <row r="302">
          <cell r="B302" t="str">
            <v>G-INTC-IND</v>
          </cell>
          <cell r="C302" t="str">
            <v>VAR_fin</v>
          </cell>
          <cell r="D302" t="str">
            <v>ELC5</v>
          </cell>
          <cell r="E302">
            <v>30.073129151247191</v>
          </cell>
          <cell r="F302">
            <v>2.6301558323684462E-3</v>
          </cell>
          <cell r="G302">
            <v>3.8659529898760975E-3</v>
          </cell>
          <cell r="H302">
            <v>28.975629402207581</v>
          </cell>
          <cell r="I302">
            <v>2.8213676722908167E-3</v>
          </cell>
          <cell r="J302">
            <v>23.296825254722645</v>
          </cell>
          <cell r="K302">
            <v>2.0200512044518355E-2</v>
          </cell>
          <cell r="L302">
            <v>24.055534963173852</v>
          </cell>
          <cell r="M302">
            <v>3.2622468482648866E-3</v>
          </cell>
          <cell r="N302">
            <v>7.6853767833267948E-3</v>
          </cell>
          <cell r="O302">
            <v>6.8248566658569883E-3</v>
          </cell>
          <cell r="P302">
            <v>1.649130610099828E-2</v>
          </cell>
        </row>
        <row r="303">
          <cell r="B303" t="str">
            <v>G-INTC-IND</v>
          </cell>
          <cell r="C303" t="str">
            <v>VAR_ncap</v>
          </cell>
          <cell r="D303" t="str">
            <v>-</v>
          </cell>
          <cell r="E303">
            <v>2.5016689462182502E-7</v>
          </cell>
          <cell r="F303">
            <v>2.5973262540111298E-7</v>
          </cell>
          <cell r="G303">
            <v>2.24527840812594E-7</v>
          </cell>
          <cell r="H303">
            <v>2.7712064191684798E-7</v>
          </cell>
          <cell r="I303">
            <v>4.3624433585205299E-7</v>
          </cell>
          <cell r="J303">
            <v>5.2500094080443203E-7</v>
          </cell>
          <cell r="K303">
            <v>6.6991298913291105E-7</v>
          </cell>
          <cell r="L303">
            <v>9.3725407609550696E-7</v>
          </cell>
          <cell r="M303">
            <v>1.1554109903222201E-6</v>
          </cell>
          <cell r="N303">
            <v>2.1808275294980898E-6</v>
          </cell>
          <cell r="O303">
            <v>3.8887798690095296E-6</v>
          </cell>
        </row>
        <row r="304">
          <cell r="B304" t="str">
            <v>G-INTC-IND</v>
          </cell>
          <cell r="C304" t="str">
            <v>VAR_cap</v>
          </cell>
          <cell r="D304" t="str">
            <v>-</v>
          </cell>
          <cell r="E304">
            <v>4.4927373631622096</v>
          </cell>
          <cell r="F304">
            <v>4.4927374445007642</v>
          </cell>
          <cell r="G304">
            <v>4.4927378730617296</v>
          </cell>
          <cell r="H304">
            <v>4.4927382500583937</v>
          </cell>
          <cell r="I304">
            <v>4.4927384797656469</v>
          </cell>
          <cell r="J304">
            <v>4.4927390132111045</v>
          </cell>
          <cell r="K304">
            <v>4.4927396585112271</v>
          </cell>
          <cell r="L304">
            <v>4.4927400058684785</v>
          </cell>
          <cell r="M304">
            <v>4.4927415788173661</v>
          </cell>
          <cell r="N304">
            <v>4.4927426237157979</v>
          </cell>
          <cell r="O304">
            <v>4.4927461517658198</v>
          </cell>
          <cell r="P304">
            <v>4.4927481681409427</v>
          </cell>
        </row>
        <row r="305">
          <cell r="B305" t="str">
            <v>D-IH2R</v>
          </cell>
          <cell r="C305" t="str">
            <v>VAR_fout</v>
          </cell>
          <cell r="D305" t="str">
            <v>IH2</v>
          </cell>
          <cell r="E305"/>
          <cell r="F305"/>
          <cell r="G305"/>
          <cell r="H305">
            <v>1.5163353583651836E-3</v>
          </cell>
          <cell r="I305">
            <v>9.0010484463108611</v>
          </cell>
          <cell r="J305">
            <v>11.416898346568672</v>
          </cell>
          <cell r="K305">
            <v>4.7545322185472134</v>
          </cell>
          <cell r="L305">
            <v>4.7544987804821748</v>
          </cell>
          <cell r="M305">
            <v>1.4314558962912711</v>
          </cell>
          <cell r="N305">
            <v>0.57072466776660746</v>
          </cell>
          <cell r="O305">
            <v>0.33695594230322917</v>
          </cell>
          <cell r="P305">
            <v>0.48672493682999252</v>
          </cell>
        </row>
        <row r="306">
          <cell r="B306" t="str">
            <v>D-IH2R</v>
          </cell>
          <cell r="C306" t="str">
            <v>VAR_fin</v>
          </cell>
          <cell r="D306" t="str">
            <v>H2</v>
          </cell>
          <cell r="E306"/>
          <cell r="F306"/>
          <cell r="G306"/>
          <cell r="H306">
            <v>1.5163353583651836E-3</v>
          </cell>
          <cell r="I306">
            <v>9.0010484463108611</v>
          </cell>
          <cell r="J306">
            <v>11.416898346568672</v>
          </cell>
          <cell r="K306">
            <v>4.7545322185472134</v>
          </cell>
          <cell r="L306">
            <v>4.7544987804821748</v>
          </cell>
          <cell r="M306">
            <v>1.4314558962912711</v>
          </cell>
          <cell r="N306">
            <v>0.57072466776660746</v>
          </cell>
          <cell r="O306">
            <v>0.33695594230322917</v>
          </cell>
          <cell r="P306">
            <v>0.48672493682999252</v>
          </cell>
        </row>
        <row r="307">
          <cell r="B307" t="str">
            <v>D-IH2R</v>
          </cell>
          <cell r="C307" t="str">
            <v>VAR_ncap</v>
          </cell>
          <cell r="D307" t="str">
            <v>-</v>
          </cell>
          <cell r="E307"/>
          <cell r="F307"/>
          <cell r="G307"/>
          <cell r="H307">
            <v>1.6331637027943899E-4</v>
          </cell>
          <cell r="I307">
            <v>0.368005722297363</v>
          </cell>
          <cell r="J307">
            <v>0.32497371903018202</v>
          </cell>
          <cell r="K307">
            <v>0.167517991456894</v>
          </cell>
          <cell r="L307">
            <v>1.32382047632707E-6</v>
          </cell>
          <cell r="M307">
            <v>2.4696206253785699E-2</v>
          </cell>
          <cell r="N307">
            <v>1.3630143737183801E-3</v>
          </cell>
          <cell r="O307">
            <v>1.16329648734799E-2</v>
          </cell>
          <cell r="P307">
            <v>5.5228330400966599E-3</v>
          </cell>
        </row>
        <row r="308">
          <cell r="B308" t="str">
            <v>D-IH2R</v>
          </cell>
          <cell r="C308" t="str">
            <v>VAR_cap</v>
          </cell>
          <cell r="D308" t="str">
            <v>-</v>
          </cell>
          <cell r="E308"/>
          <cell r="F308"/>
          <cell r="G308"/>
          <cell r="H308">
            <v>1.6331637027943899E-4</v>
          </cell>
          <cell r="I308">
            <v>0.36812970916624999</v>
          </cell>
          <cell r="J308">
            <v>0.40225379382980497</v>
          </cell>
          <cell r="K308">
            <v>0.167517991456894</v>
          </cell>
          <cell r="L308">
            <v>0.16751931527736999</v>
          </cell>
          <cell r="M308">
            <v>5.0436430622805097E-2</v>
          </cell>
          <cell r="N308">
            <v>2.01119326943969E-2</v>
          </cell>
          <cell r="O308">
            <v>1.1874384600785401E-2</v>
          </cell>
          <cell r="P308">
            <v>1.71557979135766E-2</v>
          </cell>
        </row>
        <row r="309">
          <cell r="B309" t="str">
            <v>ESOL-PV_E</v>
          </cell>
          <cell r="C309" t="str">
            <v>VAR_fout</v>
          </cell>
          <cell r="D309" t="str">
            <v>CELC_E</v>
          </cell>
          <cell r="E309"/>
          <cell r="F309"/>
          <cell r="G309"/>
          <cell r="H309">
            <v>4.7796875576641473E-6</v>
          </cell>
          <cell r="I309">
            <v>4.7844793434212896E-4</v>
          </cell>
          <cell r="J309">
            <v>1.4624141333938097E-3</v>
          </cell>
          <cell r="K309">
            <v>1.6216070385675172E-3</v>
          </cell>
          <cell r="L309">
            <v>1.6265359753273685E-3</v>
          </cell>
          <cell r="M309">
            <v>1.6275681259815323E-3</v>
          </cell>
          <cell r="N309">
            <v>1.630928831907537E-3</v>
          </cell>
          <cell r="O309">
            <v>1.1142187818388286E-3</v>
          </cell>
          <cell r="P309">
            <v>1.4411907558441041E-3</v>
          </cell>
        </row>
        <row r="310">
          <cell r="B310" t="str">
            <v>ESOL-PV_E</v>
          </cell>
          <cell r="C310" t="str">
            <v>VAR_fin</v>
          </cell>
          <cell r="D310" t="str">
            <v>SOL</v>
          </cell>
          <cell r="E310"/>
          <cell r="F310"/>
          <cell r="G310"/>
          <cell r="H310">
            <v>4.7796875576641473E-6</v>
          </cell>
          <cell r="I310">
            <v>4.7844793434212896E-4</v>
          </cell>
          <cell r="J310">
            <v>1.4624141333938097E-3</v>
          </cell>
          <cell r="K310">
            <v>1.6216070385675172E-3</v>
          </cell>
          <cell r="L310">
            <v>1.6265359753273685E-3</v>
          </cell>
          <cell r="M310">
            <v>1.6275681259815323E-3</v>
          </cell>
          <cell r="N310">
            <v>1.630928831907537E-3</v>
          </cell>
          <cell r="O310">
            <v>1.1142187818388286E-3</v>
          </cell>
          <cell r="P310">
            <v>1.4411907558441041E-3</v>
          </cell>
        </row>
        <row r="311">
          <cell r="B311" t="str">
            <v>ESOL-PV_E</v>
          </cell>
          <cell r="C311" t="str">
            <v>VAR_fin</v>
          </cell>
          <cell r="D311" t="str">
            <v>SOLPVC</v>
          </cell>
          <cell r="E311"/>
          <cell r="F311"/>
          <cell r="G311"/>
          <cell r="H311">
            <v>4.7796875576641499E-6</v>
          </cell>
          <cell r="I311">
            <v>4.7844793434212901E-4</v>
          </cell>
          <cell r="J311">
            <v>1.4624141333938101E-3</v>
          </cell>
          <cell r="K311">
            <v>1.62160703856752E-3</v>
          </cell>
          <cell r="L311">
            <v>1.62653597532737E-3</v>
          </cell>
          <cell r="M311">
            <v>1.6275681259815299E-3</v>
          </cell>
          <cell r="N311">
            <v>1.6309288319075401E-3</v>
          </cell>
          <cell r="O311">
            <v>1.1142187818388299E-3</v>
          </cell>
          <cell r="P311">
            <v>1.4411907558440999E-3</v>
          </cell>
        </row>
        <row r="312">
          <cell r="B312" t="str">
            <v>ESOL-PV_E</v>
          </cell>
          <cell r="C312" t="str">
            <v>VAR_ncap</v>
          </cell>
          <cell r="D312" t="str">
            <v>-</v>
          </cell>
          <cell r="E312"/>
          <cell r="F312"/>
          <cell r="G312"/>
          <cell r="H312">
            <v>1.4410542542097001E-6</v>
          </cell>
          <cell r="I312">
            <v>1.3648570950935599E-4</v>
          </cell>
          <cell r="J312">
            <v>2.8371903563083502E-4</v>
          </cell>
          <cell r="K312">
            <v>4.6396917594602299E-5</v>
          </cell>
          <cell r="L312">
            <v>1.59536960993983E-6</v>
          </cell>
          <cell r="M312">
            <v>1.2002463969857999E-6</v>
          </cell>
          <cell r="N312">
            <v>1.97983741270223E-6</v>
          </cell>
          <cell r="O312">
            <v>7.8646866253613903E-6</v>
          </cell>
          <cell r="P312">
            <v>3.5772425456624598E-4</v>
          </cell>
        </row>
        <row r="313">
          <cell r="B313" t="str">
            <v>ESOL-PV_E</v>
          </cell>
          <cell r="C313" t="str">
            <v>VAR_cap</v>
          </cell>
          <cell r="D313" t="str">
            <v>-</v>
          </cell>
          <cell r="E313"/>
          <cell r="F313"/>
          <cell r="G313"/>
          <cell r="H313">
            <v>1.4410542542097001E-6</v>
          </cell>
          <cell r="I313">
            <v>1.37926763763566E-4</v>
          </cell>
          <cell r="J313">
            <v>4.2164579939440099E-4</v>
          </cell>
          <cell r="K313">
            <v>4.68042716989003E-4</v>
          </cell>
          <cell r="L313">
            <v>4.69638086598943E-4</v>
          </cell>
          <cell r="M313">
            <v>4.70451693464641E-4</v>
          </cell>
          <cell r="N313">
            <v>4.7137711615442103E-4</v>
          </cell>
          <cell r="O313">
            <v>3.2251449818868701E-4</v>
          </cell>
          <cell r="P313">
            <v>4.1676131220583798E-4</v>
          </cell>
        </row>
        <row r="314">
          <cell r="B314" t="str">
            <v>EWSTINC</v>
          </cell>
          <cell r="C314" t="str">
            <v>VAR_fout</v>
          </cell>
          <cell r="D314" t="str">
            <v>ELC35</v>
          </cell>
          <cell r="E314">
            <v>6.5070002657818566</v>
          </cell>
          <cell r="F314">
            <v>7.3027684026900088</v>
          </cell>
          <cell r="G314">
            <v>7.4118446001400704</v>
          </cell>
          <cell r="H314">
            <v>7.398138818325271</v>
          </cell>
          <cell r="I314">
            <v>7.4918607131338035</v>
          </cell>
          <cell r="J314">
            <v>5.8262313730185822</v>
          </cell>
          <cell r="K314">
            <v>4.5214679770193671</v>
          </cell>
          <cell r="L314">
            <v>4.6999646641545691</v>
          </cell>
          <cell r="M314">
            <v>4.6534304480598054</v>
          </cell>
          <cell r="N314">
            <v>4.6534311167722624</v>
          </cell>
          <cell r="O314">
            <v>4.6534304889355189</v>
          </cell>
          <cell r="P314">
            <v>4.6534307321553259</v>
          </cell>
        </row>
        <row r="315">
          <cell r="B315" t="str">
            <v>EWSTINC</v>
          </cell>
          <cell r="C315" t="str">
            <v>VAR_fout</v>
          </cell>
          <cell r="D315" t="str">
            <v>CO2_E</v>
          </cell>
          <cell r="E315">
            <v>1689.2932654198901</v>
          </cell>
          <cell r="F315">
            <v>1895.8839676800101</v>
          </cell>
          <cell r="G315">
            <v>1924.20142245852</v>
          </cell>
          <cell r="H315">
            <v>1920.6432414271101</v>
          </cell>
          <cell r="I315">
            <v>1944.97453991422</v>
          </cell>
          <cell r="J315">
            <v>1512.5577100365699</v>
          </cell>
          <cell r="K315">
            <v>1173.8258938695101</v>
          </cell>
          <cell r="L315">
            <v>1220.1657185446199</v>
          </cell>
          <cell r="M315">
            <v>1208.08489256496</v>
          </cell>
          <cell r="N315">
            <v>1208.0850661705299</v>
          </cell>
          <cell r="O315">
            <v>1208.08490317678</v>
          </cell>
          <cell r="P315">
            <v>1208.0849663194799</v>
          </cell>
        </row>
        <row r="316">
          <cell r="B316" t="str">
            <v>EWSTINC</v>
          </cell>
          <cell r="C316" t="str">
            <v>VAR_fin</v>
          </cell>
          <cell r="D316" t="str">
            <v>EWST</v>
          </cell>
          <cell r="E316">
            <v>18.203591222197037</v>
          </cell>
          <cell r="F316">
            <v>20.42978413448283</v>
          </cell>
          <cell r="G316">
            <v>20.734929121320196</v>
          </cell>
          <cell r="H316">
            <v>20.696586653309339</v>
          </cell>
          <cell r="I316">
            <v>20.958777369765308</v>
          </cell>
          <cell r="J316">
            <v>16.299113254704409</v>
          </cell>
          <cell r="K316">
            <v>12.648985925317945</v>
          </cell>
          <cell r="L316">
            <v>13.148337484317034</v>
          </cell>
          <cell r="M316">
            <v>13.018156169881081</v>
          </cell>
          <cell r="N316">
            <v>13.018158040630706</v>
          </cell>
          <cell r="O316">
            <v>13.018156284232534</v>
          </cell>
          <cell r="P316">
            <v>13.01815696464957</v>
          </cell>
        </row>
        <row r="317">
          <cell r="B317" t="str">
            <v>EWSTINC</v>
          </cell>
          <cell r="C317" t="str">
            <v>VAR_ncap</v>
          </cell>
          <cell r="D317" t="str">
            <v>-</v>
          </cell>
          <cell r="E317"/>
          <cell r="F317">
            <v>1.60347155245054E-7</v>
          </cell>
          <cell r="G317">
            <v>9.9254876266867098E-7</v>
          </cell>
          <cell r="H317">
            <v>6.7314470426035805E-2</v>
          </cell>
          <cell r="I317">
            <v>0.1607810841516</v>
          </cell>
          <cell r="J317">
            <v>2.5629228408288102E-2</v>
          </cell>
          <cell r="K317">
            <v>2.7091473330537798E-5</v>
          </cell>
          <cell r="L317">
            <v>9.4561013168995706E-3</v>
          </cell>
          <cell r="M317">
            <v>2.6538763525844798E-7</v>
          </cell>
          <cell r="N317">
            <v>1.12139478151765E-6</v>
          </cell>
          <cell r="O317">
            <v>0.123711746842859</v>
          </cell>
          <cell r="P317">
            <v>5.0235136193656403E-2</v>
          </cell>
        </row>
        <row r="318">
          <cell r="B318" t="str">
            <v>EWSTINC</v>
          </cell>
          <cell r="C318" t="str">
            <v>VAR_cap</v>
          </cell>
          <cell r="D318" t="str">
            <v>-</v>
          </cell>
          <cell r="E318">
            <v>0.27650474436312844</v>
          </cell>
          <cell r="F318">
            <v>0.27650332094338725</v>
          </cell>
          <cell r="G318">
            <v>0.27650373785216409</v>
          </cell>
          <cell r="H318">
            <v>0.27599238131911802</v>
          </cell>
          <cell r="I318">
            <v>0.34899561321781958</v>
          </cell>
          <cell r="J318">
            <v>0.35067355323879484</v>
          </cell>
          <cell r="K318">
            <v>0.27936090943685449</v>
          </cell>
          <cell r="L318">
            <v>0.26795643193203167</v>
          </cell>
          <cell r="M318">
            <v>0.24514578772358256</v>
          </cell>
          <cell r="N318">
            <v>0.19589357260366644</v>
          </cell>
          <cell r="O318">
            <v>0.18328995236814691</v>
          </cell>
          <cell r="P318">
            <v>0.18343046428638471</v>
          </cell>
        </row>
        <row r="319">
          <cell r="B319" t="str">
            <v>D-IBIO</v>
          </cell>
          <cell r="C319" t="str">
            <v>VAR_fout</v>
          </cell>
          <cell r="D319" t="str">
            <v>IBIO</v>
          </cell>
          <cell r="E319">
            <v>0.43672636444825019</v>
          </cell>
          <cell r="F319">
            <v>0.55206537324846738</v>
          </cell>
          <cell r="G319">
            <v>2.8956670014089534</v>
          </cell>
          <cell r="H319">
            <v>6.3347646795463506</v>
          </cell>
          <cell r="I319">
            <v>6.3347804753735115</v>
          </cell>
          <cell r="J319">
            <v>6.3347816822059366</v>
          </cell>
          <cell r="K319">
            <v>6.3347825780289613</v>
          </cell>
          <cell r="L319">
            <v>6.3347844294410445</v>
          </cell>
          <cell r="M319">
            <v>6.3347861514491237</v>
          </cell>
          <cell r="N319">
            <v>6.3347944420729023</v>
          </cell>
          <cell r="O319">
            <v>6.3348005298375467</v>
          </cell>
          <cell r="P319">
            <v>6.3348300350030797</v>
          </cell>
        </row>
        <row r="320">
          <cell r="B320" t="str">
            <v>D-IBIO</v>
          </cell>
          <cell r="C320" t="str">
            <v>VAR_fin</v>
          </cell>
          <cell r="D320" t="str">
            <v>BIO</v>
          </cell>
          <cell r="E320">
            <v>0.43672636444825019</v>
          </cell>
          <cell r="F320">
            <v>0.55206537324846738</v>
          </cell>
          <cell r="G320">
            <v>2.8956670014089534</v>
          </cell>
          <cell r="H320">
            <v>6.3347646795463506</v>
          </cell>
          <cell r="I320">
            <v>6.3347804753735115</v>
          </cell>
          <cell r="J320">
            <v>6.3347816822059366</v>
          </cell>
          <cell r="K320">
            <v>6.3347825780289613</v>
          </cell>
          <cell r="L320">
            <v>6.3347844294410445</v>
          </cell>
          <cell r="M320">
            <v>6.3347861514491237</v>
          </cell>
          <cell r="N320">
            <v>6.3347944420729023</v>
          </cell>
          <cell r="O320">
            <v>6.3348005298375467</v>
          </cell>
          <cell r="P320">
            <v>6.3348300350030797</v>
          </cell>
        </row>
        <row r="321">
          <cell r="B321" t="str">
            <v>D-EWOD</v>
          </cell>
          <cell r="C321" t="str">
            <v>VAR_fout</v>
          </cell>
          <cell r="D321" t="str">
            <v>EWOD</v>
          </cell>
          <cell r="E321">
            <v>3.2131665141770309</v>
          </cell>
          <cell r="F321">
            <v>2.6260652774393352</v>
          </cell>
          <cell r="G321">
            <v>2.2953804319272493</v>
          </cell>
          <cell r="H321">
            <v>5.1547246650422762</v>
          </cell>
          <cell r="I321">
            <v>4.8488587509316998</v>
          </cell>
          <cell r="J321">
            <v>6.1063382293268678</v>
          </cell>
          <cell r="K321">
            <v>6.6636774514768735</v>
          </cell>
          <cell r="L321">
            <v>6.8081769429104995</v>
          </cell>
          <cell r="M321">
            <v>6.3282721493588712</v>
          </cell>
          <cell r="N321">
            <v>5.9504434221686697</v>
          </cell>
          <cell r="O321">
            <v>5.6541100077005488</v>
          </cell>
          <cell r="P321">
            <v>5.430338150665726</v>
          </cell>
        </row>
        <row r="322">
          <cell r="B322" t="str">
            <v>D-EWOD</v>
          </cell>
          <cell r="C322" t="str">
            <v>VAR_fin</v>
          </cell>
          <cell r="D322" t="str">
            <v>WOD</v>
          </cell>
          <cell r="E322">
            <v>3.2131665141770309</v>
          </cell>
          <cell r="F322">
            <v>2.6260652774393352</v>
          </cell>
          <cell r="G322">
            <v>2.2953804319272493</v>
          </cell>
          <cell r="H322">
            <v>5.1547246650422762</v>
          </cell>
          <cell r="I322">
            <v>4.8488587509316998</v>
          </cell>
          <cell r="J322">
            <v>6.1063382293268678</v>
          </cell>
          <cell r="K322">
            <v>6.6636774514768735</v>
          </cell>
          <cell r="L322">
            <v>6.8081769429104995</v>
          </cell>
          <cell r="M322">
            <v>6.3282721493588712</v>
          </cell>
          <cell r="N322">
            <v>5.9504434221686697</v>
          </cell>
          <cell r="O322">
            <v>5.6541100077005488</v>
          </cell>
          <cell r="P322">
            <v>5.430338150665726</v>
          </cell>
        </row>
        <row r="323">
          <cell r="B323" t="str">
            <v>HPLWOD</v>
          </cell>
          <cell r="C323" t="str">
            <v>VAR_fout</v>
          </cell>
          <cell r="D323" t="str">
            <v>LTH</v>
          </cell>
          <cell r="E323">
            <v>2.0359680736478922</v>
          </cell>
          <cell r="F323">
            <v>1.8374609832207596</v>
          </cell>
          <cell r="G323">
            <v>1.5754054031536835</v>
          </cell>
          <cell r="H323">
            <v>3.6056795808039332</v>
          </cell>
          <cell r="I323">
            <v>3.3891406460936278</v>
          </cell>
          <cell r="J323">
            <v>2.6224526343538201</v>
          </cell>
          <cell r="K323">
            <v>2.0292048811631829</v>
          </cell>
          <cell r="L323">
            <v>1.5701659440348414</v>
          </cell>
          <cell r="M323">
            <v>1.2149586390630274</v>
          </cell>
          <cell r="N323">
            <v>0.94011471102055821</v>
          </cell>
          <cell r="O323">
            <v>0.72744262046586761</v>
          </cell>
          <cell r="P323">
            <v>0.56292127973259642</v>
          </cell>
        </row>
        <row r="324">
          <cell r="B324" t="str">
            <v>HPLWOD</v>
          </cell>
          <cell r="C324" t="str">
            <v>VAR_fin</v>
          </cell>
          <cell r="D324" t="str">
            <v>EWOD</v>
          </cell>
          <cell r="E324">
            <v>2.9085258194969907</v>
          </cell>
          <cell r="F324">
            <v>2.6249442617439391</v>
          </cell>
          <cell r="G324">
            <v>2.2505791473624037</v>
          </cell>
          <cell r="H324">
            <v>5.1509708297199071</v>
          </cell>
          <cell r="I324">
            <v>4.8416294944194762</v>
          </cell>
          <cell r="J324">
            <v>3.746360906219746</v>
          </cell>
          <cell r="K324">
            <v>2.8988641159474047</v>
          </cell>
          <cell r="L324">
            <v>2.2430942057640593</v>
          </cell>
          <cell r="M324">
            <v>1.7356551986614683</v>
          </cell>
          <cell r="N324">
            <v>1.3430210157436544</v>
          </cell>
          <cell r="O324">
            <v>1.039203743522668</v>
          </cell>
          <cell r="P324">
            <v>0.8041732567608515</v>
          </cell>
        </row>
        <row r="325">
          <cell r="B325" t="str">
            <v>HPLWOD</v>
          </cell>
          <cell r="C325" t="str">
            <v>VAR_ncap</v>
          </cell>
          <cell r="D325" t="str">
            <v>-</v>
          </cell>
          <cell r="E325">
            <v>0.25824227855127102</v>
          </cell>
          <cell r="F325">
            <v>9.5384311193576397E-7</v>
          </cell>
          <cell r="G325">
            <v>1.79294025147929E-6</v>
          </cell>
          <cell r="H325">
            <v>0.199097755016306</v>
          </cell>
          <cell r="I325">
            <v>8.6504222215144093E-6</v>
          </cell>
          <cell r="J325">
            <v>2.6397097802101699E-2</v>
          </cell>
          <cell r="K325">
            <v>9.5008213224699697E-2</v>
          </cell>
          <cell r="L325">
            <v>7.7750457126434497E-2</v>
          </cell>
          <cell r="M325">
            <v>5.8398507960354598E-6</v>
          </cell>
          <cell r="N325">
            <v>1.2008527189723001E-5</v>
          </cell>
          <cell r="O325">
            <v>1.45343390559983E-2</v>
          </cell>
          <cell r="P325">
            <v>5.6882660657688003E-2</v>
          </cell>
        </row>
        <row r="326">
          <cell r="B326" t="str">
            <v>HPLWOD</v>
          </cell>
          <cell r="C326" t="str">
            <v>VAR_cap</v>
          </cell>
          <cell r="D326" t="str">
            <v>-</v>
          </cell>
          <cell r="E326">
            <v>0.25824227855127102</v>
          </cell>
          <cell r="F326">
            <v>0.25824323239438302</v>
          </cell>
          <cell r="G326">
            <v>0.258245025334634</v>
          </cell>
          <cell r="H326">
            <v>0.45734278035094</v>
          </cell>
          <cell r="I326">
            <v>0.45735143077316198</v>
          </cell>
          <cell r="J326">
            <v>0.33264337293624102</v>
          </cell>
          <cell r="K326">
            <v>0.25739531997738402</v>
          </cell>
          <cell r="L326">
            <v>0.199164418575457</v>
          </cell>
          <cell r="M326">
            <v>0.19566673914580601</v>
          </cell>
          <cell r="N326">
            <v>0.17277651872912</v>
          </cell>
          <cell r="O326">
            <v>9.2302644560418506E-2</v>
          </cell>
          <cell r="P326">
            <v>7.1434848091671999E-2</v>
          </cell>
        </row>
        <row r="327">
          <cell r="B327" t="str">
            <v>ENGA-GTCC</v>
          </cell>
          <cell r="C327" t="str">
            <v>VAR_fout</v>
          </cell>
          <cell r="D327" t="str">
            <v>ELC13</v>
          </cell>
          <cell r="E327"/>
          <cell r="F327"/>
          <cell r="G327"/>
          <cell r="H327"/>
          <cell r="I327"/>
          <cell r="J327">
            <v>5.797941254935403E-6</v>
          </cell>
          <cell r="K327">
            <v>4.0861190940821077E-6</v>
          </cell>
          <cell r="L327">
            <v>9.2808167511669246E-5</v>
          </cell>
          <cell r="M327">
            <v>1.5074878215150477E-3</v>
          </cell>
          <cell r="N327">
            <v>1.7457283072067902E-3</v>
          </cell>
          <cell r="O327">
            <v>1.7399411355840516E-3</v>
          </cell>
          <cell r="P327">
            <v>2.7578787197800251E-3</v>
          </cell>
        </row>
        <row r="328">
          <cell r="B328" t="str">
            <v>ENGA-GTCC</v>
          </cell>
          <cell r="C328" t="str">
            <v>VAR_fout</v>
          </cell>
          <cell r="D328" t="str">
            <v>CO2_E</v>
          </cell>
          <cell r="E328"/>
          <cell r="F328"/>
          <cell r="G328"/>
          <cell r="H328"/>
          <cell r="I328"/>
          <cell r="J328">
            <v>6.0344210167569102E-4</v>
          </cell>
          <cell r="K328">
            <v>5.58046360660649E-4</v>
          </cell>
          <cell r="L328">
            <v>1.9527667295201102E-2</v>
          </cell>
          <cell r="M328">
            <v>0.15707974521915499</v>
          </cell>
          <cell r="N328">
            <v>0.19112114319735299</v>
          </cell>
          <cell r="O328">
            <v>0.18810119716933399</v>
          </cell>
          <cell r="P328">
            <v>0.302298061130719</v>
          </cell>
        </row>
        <row r="329">
          <cell r="B329" t="str">
            <v>ENGA-GTCC</v>
          </cell>
          <cell r="C329" t="str">
            <v>VAR_fin</v>
          </cell>
          <cell r="D329" t="str">
            <v>ENGA</v>
          </cell>
          <cell r="E329"/>
          <cell r="F329"/>
          <cell r="G329"/>
          <cell r="H329"/>
          <cell r="I329"/>
          <cell r="J329">
            <v>1.0699328043895224E-5</v>
          </cell>
          <cell r="K329">
            <v>9.8944390188058167E-6</v>
          </cell>
          <cell r="L329">
            <v>3.4623523573051602E-4</v>
          </cell>
          <cell r="M329">
            <v>2.7851018655878634E-3</v>
          </cell>
          <cell r="N329">
            <v>3.3886727517261094E-3</v>
          </cell>
          <cell r="O329">
            <v>3.3351276093853536E-3</v>
          </cell>
          <cell r="P329">
            <v>5.3598947008992636E-3</v>
          </cell>
        </row>
        <row r="330">
          <cell r="B330" t="str">
            <v>ENGA-GTCC</v>
          </cell>
          <cell r="C330" t="str">
            <v>VAR_fin</v>
          </cell>
          <cell r="D330" t="str">
            <v>GTC</v>
          </cell>
          <cell r="E330"/>
          <cell r="F330"/>
          <cell r="G330"/>
          <cell r="H330"/>
          <cell r="I330"/>
          <cell r="J330">
            <v>1.78934721914871E-6</v>
          </cell>
          <cell r="K330">
            <v>2.3227301898214682E-6</v>
          </cell>
          <cell r="L330">
            <v>5.0038161015809741E-6</v>
          </cell>
          <cell r="M330">
            <v>2.6098393613124599E-4</v>
          </cell>
          <cell r="N330">
            <v>3.6059311601963675E-4</v>
          </cell>
          <cell r="O330">
            <v>4.5319677136677829E-4</v>
          </cell>
          <cell r="P330">
            <v>5.5157607662108233E-4</v>
          </cell>
        </row>
        <row r="331">
          <cell r="B331" t="str">
            <v>ENGA-GTCC</v>
          </cell>
          <cell r="C331" t="str">
            <v>VAR_ncap</v>
          </cell>
          <cell r="D331" t="str">
            <v>-</v>
          </cell>
          <cell r="E331"/>
          <cell r="F331"/>
          <cell r="G331"/>
          <cell r="H331"/>
          <cell r="I331"/>
          <cell r="J331">
            <v>4.6446404150950601E-6</v>
          </cell>
          <cell r="K331">
            <v>5.0535471915400798E-6</v>
          </cell>
          <cell r="L331">
            <v>1.3411763417222101E-4</v>
          </cell>
          <cell r="M331">
            <v>2.2253190546457901E-4</v>
          </cell>
          <cell r="N331">
            <v>2.5703899785862699E-6</v>
          </cell>
          <cell r="O331">
            <v>1.9443311660334299E-4</v>
          </cell>
        </row>
        <row r="332">
          <cell r="B332" t="str">
            <v>ENGA-GTCC</v>
          </cell>
          <cell r="C332" t="str">
            <v>VAR_cap</v>
          </cell>
          <cell r="D332" t="str">
            <v>-</v>
          </cell>
          <cell r="E332"/>
          <cell r="F332"/>
          <cell r="G332"/>
          <cell r="H332"/>
          <cell r="I332"/>
          <cell r="J332">
            <v>1.78934721914871E-6</v>
          </cell>
          <cell r="K332">
            <v>2.3227301898214694E-6</v>
          </cell>
          <cell r="L332">
            <v>5.00381610158098E-6</v>
          </cell>
          <cell r="M332">
            <v>2.6098393613124696E-4</v>
          </cell>
          <cell r="N332">
            <v>3.6059311601963724E-4</v>
          </cell>
          <cell r="O332">
            <v>4.5319677136677872E-4</v>
          </cell>
          <cell r="P332">
            <v>5.5157607662108222E-4</v>
          </cell>
        </row>
        <row r="333">
          <cell r="B333" t="str">
            <v>D-SNGA</v>
          </cell>
          <cell r="C333" t="str">
            <v>VAR_fout</v>
          </cell>
          <cell r="D333" t="str">
            <v>CO2</v>
          </cell>
          <cell r="E333">
            <v>1522.2449924058899</v>
          </cell>
          <cell r="F333">
            <v>1415.7305115297499</v>
          </cell>
          <cell r="G333">
            <v>1654.9090391418299</v>
          </cell>
          <cell r="H333">
            <v>1606.1786998871501</v>
          </cell>
          <cell r="I333">
            <v>1607.6175318582</v>
          </cell>
          <cell r="J333">
            <v>1560.02025747178</v>
          </cell>
          <cell r="K333">
            <v>1308.15156683282</v>
          </cell>
          <cell r="L333">
            <v>410.98344335493999</v>
          </cell>
          <cell r="M333">
            <v>179.493323821117</v>
          </cell>
          <cell r="N333">
            <v>88.085060296522798</v>
          </cell>
          <cell r="O333">
            <v>52.685107244897402</v>
          </cell>
          <cell r="P333">
            <v>27.368687717795599</v>
          </cell>
        </row>
        <row r="334">
          <cell r="B334" t="str">
            <v>D-SNGA</v>
          </cell>
          <cell r="C334" t="str">
            <v>VAR_fout</v>
          </cell>
          <cell r="D334" t="str">
            <v>SNGA</v>
          </cell>
          <cell r="E334">
            <v>27.209569693068662</v>
          </cell>
          <cell r="F334">
            <v>28.48835243138095</v>
          </cell>
          <cell r="G334">
            <v>29.256691471030791</v>
          </cell>
          <cell r="H334">
            <v>28.38783461282668</v>
          </cell>
          <cell r="I334">
            <v>28.413221239783386</v>
          </cell>
          <cell r="J334">
            <v>27.689747744658231</v>
          </cell>
          <cell r="K334">
            <v>23.237251879268374</v>
          </cell>
          <cell r="L334">
            <v>8.281103724913967</v>
          </cell>
          <cell r="M334">
            <v>4.9703814056563873</v>
          </cell>
          <cell r="N334">
            <v>3.3551357096142582</v>
          </cell>
          <cell r="O334">
            <v>2.7296384236551341</v>
          </cell>
          <cell r="P334">
            <v>2.2822934782044939</v>
          </cell>
        </row>
        <row r="335">
          <cell r="B335" t="str">
            <v>D-SNGA</v>
          </cell>
          <cell r="C335" t="str">
            <v>VAR_fout</v>
          </cell>
          <cell r="D335" t="str">
            <v>RSH2</v>
          </cell>
          <cell r="E335"/>
          <cell r="F335"/>
          <cell r="G335"/>
          <cell r="H335">
            <v>1.285527140860276E-3</v>
          </cell>
          <cell r="I335">
            <v>4.1276472836333324E-2</v>
          </cell>
          <cell r="J335">
            <v>0.24599018159376942</v>
          </cell>
          <cell r="K335">
            <v>0.54234735622598707</v>
          </cell>
          <cell r="L335">
            <v>0.25636401275975856</v>
          </cell>
          <cell r="M335">
            <v>0.15390769214191488</v>
          </cell>
          <cell r="N335">
            <v>5.8688097267411796E-2</v>
          </cell>
          <cell r="O335">
            <v>3.3382248835292658E-2</v>
          </cell>
          <cell r="P335">
            <v>2.476642975685469E-2</v>
          </cell>
        </row>
        <row r="336">
          <cell r="B336" t="str">
            <v>D-SNGA</v>
          </cell>
          <cell r="C336" t="str">
            <v>VAR_fin</v>
          </cell>
          <cell r="D336" t="str">
            <v>NGA</v>
          </cell>
          <cell r="E336">
            <v>26.990159439820793</v>
          </cell>
          <cell r="F336">
            <v>25.101604814357344</v>
          </cell>
          <cell r="G336">
            <v>29.342358850032355</v>
          </cell>
          <cell r="H336">
            <v>28.478345742679991</v>
          </cell>
          <cell r="I336">
            <v>28.50385694784049</v>
          </cell>
          <cell r="J336">
            <v>27.659933643116624</v>
          </cell>
          <cell r="K336">
            <v>23.194176716893907</v>
          </cell>
          <cell r="L336">
            <v>7.2869404850166628</v>
          </cell>
          <cell r="M336">
            <v>3.1825057415091602</v>
          </cell>
          <cell r="N336">
            <v>1.5617918492291274</v>
          </cell>
          <cell r="O336">
            <v>0.93413310717903197</v>
          </cell>
          <cell r="P336">
            <v>0.48526042052828977</v>
          </cell>
        </row>
        <row r="337">
          <cell r="B337" t="str">
            <v>D-SNGA</v>
          </cell>
          <cell r="C337" t="str">
            <v>VAR_fin</v>
          </cell>
          <cell r="D337" t="str">
            <v>BNGA</v>
          </cell>
          <cell r="E337">
            <v>0.30633447757210158</v>
          </cell>
          <cell r="F337">
            <v>3.4777570657325163</v>
          </cell>
          <cell r="G337">
            <v>7.7966206536933241E-3</v>
          </cell>
          <cell r="H337">
            <v>2.0715099083672462E-4</v>
          </cell>
          <cell r="I337">
            <v>2.9153505954851948E-4</v>
          </cell>
          <cell r="J337">
            <v>0.11910084229865069</v>
          </cell>
          <cell r="K337">
            <v>0.1191029537798223</v>
          </cell>
          <cell r="L337">
            <v>1.0214977488945318</v>
          </cell>
          <cell r="M337">
            <v>1.8042916161411773</v>
          </cell>
          <cell r="N337">
            <v>1.8042999916748999</v>
          </cell>
          <cell r="O337">
            <v>1.8043728329146744</v>
          </cell>
          <cell r="P337">
            <v>1.8044519501161209</v>
          </cell>
        </row>
        <row r="338">
          <cell r="B338" t="str">
            <v>D-SNGA</v>
          </cell>
          <cell r="C338" t="str">
            <v>VAR_fin</v>
          </cell>
          <cell r="D338" t="str">
            <v>H2</v>
          </cell>
          <cell r="E338"/>
          <cell r="F338"/>
          <cell r="G338"/>
          <cell r="H338">
            <v>1.285161250670617E-3</v>
          </cell>
          <cell r="I338">
            <v>4.1276218401732956E-2</v>
          </cell>
          <cell r="J338">
            <v>0.24599018159377065</v>
          </cell>
          <cell r="K338">
            <v>0.54234709453695606</v>
          </cell>
          <cell r="L338">
            <v>0.25636328842390382</v>
          </cell>
          <cell r="M338">
            <v>0.15390739736284376</v>
          </cell>
          <cell r="N338">
            <v>5.8688034202393664E-2</v>
          </cell>
          <cell r="O338">
            <v>3.3382203332718345E-2</v>
          </cell>
          <cell r="P338">
            <v>2.4765428747351312E-2</v>
          </cell>
        </row>
        <row r="339">
          <cell r="B339" t="str">
            <v>D-SNGA</v>
          </cell>
          <cell r="C339" t="str">
            <v>VAR_ncap</v>
          </cell>
          <cell r="D339" t="str">
            <v>-</v>
          </cell>
          <cell r="E339">
            <v>1.7236572036278899E-7</v>
          </cell>
          <cell r="F339">
            <v>8.3070444891318197E-8</v>
          </cell>
          <cell r="G339">
            <v>1.3519125229704299E-7</v>
          </cell>
          <cell r="H339">
            <v>1.5608146779384E-7</v>
          </cell>
          <cell r="I339">
            <v>2.44319936418109E-7</v>
          </cell>
          <cell r="J339">
            <v>3.6126851184273299E-7</v>
          </cell>
          <cell r="K339">
            <v>6.9671716597915203E-7</v>
          </cell>
          <cell r="L339">
            <v>0.49488809714565901</v>
          </cell>
          <cell r="M339">
            <v>3.4589857590082601E-7</v>
          </cell>
          <cell r="N339">
            <v>8.9371906720318196E-7</v>
          </cell>
          <cell r="O339">
            <v>9.7331947265338404E-7</v>
          </cell>
          <cell r="P339">
            <v>5.5330798312603998E-6</v>
          </cell>
        </row>
        <row r="340">
          <cell r="B340" t="str">
            <v>D-SNGA</v>
          </cell>
          <cell r="C340" t="str">
            <v>VAR_cap</v>
          </cell>
          <cell r="D340" t="str">
            <v>-</v>
          </cell>
          <cell r="E340">
            <v>2.2350523739908605</v>
          </cell>
          <cell r="F340">
            <v>2.2350524570613053</v>
          </cell>
          <cell r="G340">
            <v>2.2350525922525577</v>
          </cell>
          <cell r="H340">
            <v>2.2350527483340255</v>
          </cell>
          <cell r="I340">
            <v>2.2350529926539617</v>
          </cell>
          <cell r="J340">
            <v>2.2350533539224737</v>
          </cell>
          <cell r="K340">
            <v>2.2350540506396399</v>
          </cell>
          <cell r="L340">
            <v>1.2583776037495649</v>
          </cell>
          <cell r="M340">
            <v>0.49489029205873503</v>
          </cell>
          <cell r="N340">
            <v>0.49489101760264498</v>
          </cell>
          <cell r="O340">
            <v>0.49489174293522997</v>
          </cell>
          <cell r="P340">
            <v>0.49489714546822</v>
          </cell>
        </row>
        <row r="341">
          <cell r="B341" t="str">
            <v>RHES-CHPWOD</v>
          </cell>
          <cell r="C341" t="str">
            <v>VAR_fout</v>
          </cell>
          <cell r="D341" t="str">
            <v>RHES_KEV_WOD_ELC_CHP</v>
          </cell>
          <cell r="E341"/>
          <cell r="F341"/>
          <cell r="G341"/>
          <cell r="H341">
            <v>2.3774155287133164E-4</v>
          </cell>
          <cell r="I341">
            <v>4.3421752651441809E-4</v>
          </cell>
          <cell r="J341">
            <v>2.1323818145247688E-3</v>
          </cell>
          <cell r="K341">
            <v>3.4396393102445705E-3</v>
          </cell>
          <cell r="L341">
            <v>3.5811361721693317E-3</v>
          </cell>
          <cell r="M341">
            <v>2.0689683863075654E-3</v>
          </cell>
          <cell r="N341">
            <v>1.9289290639334456E-3</v>
          </cell>
          <cell r="O341">
            <v>2.5639999053489659E-3</v>
          </cell>
          <cell r="P341">
            <v>2.6361333173977033E-3</v>
          </cell>
        </row>
        <row r="342">
          <cell r="B342" t="str">
            <v>RHES-CHPWOD</v>
          </cell>
          <cell r="C342" t="str">
            <v>VAR_fout</v>
          </cell>
          <cell r="D342" t="str">
            <v>RHES_LTH_CHPWOD</v>
          </cell>
          <cell r="E342"/>
          <cell r="F342"/>
          <cell r="G342"/>
          <cell r="H342">
            <v>6.41799446128858E-4</v>
          </cell>
          <cell r="I342">
            <v>1.1479806611196799E-3</v>
          </cell>
          <cell r="J342">
            <v>5.5186370447038993E-3</v>
          </cell>
          <cell r="K342">
            <v>8.7252158163755502E-3</v>
          </cell>
          <cell r="L342">
            <v>8.9002564870085676E-3</v>
          </cell>
          <cell r="M342">
            <v>5.1420410775652684E-3</v>
          </cell>
          <cell r="N342">
            <v>4.7939990519414513E-3</v>
          </cell>
          <cell r="O342">
            <v>6.372351034182459E-3</v>
          </cell>
          <cell r="P342">
            <v>6.5516253866927656E-3</v>
          </cell>
        </row>
        <row r="343">
          <cell r="B343" t="str">
            <v>RHES-CHPWOD</v>
          </cell>
          <cell r="C343" t="str">
            <v>VAR_fin</v>
          </cell>
          <cell r="D343" t="str">
            <v>RWOD</v>
          </cell>
          <cell r="E343"/>
          <cell r="F343"/>
          <cell r="G343"/>
          <cell r="H343">
            <v>1.4204673511509591E-3</v>
          </cell>
          <cell r="I343">
            <v>2.3610575692783083E-3</v>
          </cell>
          <cell r="J343">
            <v>9.0977475458834788E-3</v>
          </cell>
          <cell r="K343">
            <v>1.3619393577541708E-2</v>
          </cell>
          <cell r="L343">
            <v>1.3753265418042015E-2</v>
          </cell>
          <cell r="M343">
            <v>8.0343401941876114E-3</v>
          </cell>
          <cell r="N343">
            <v>8.366905195770909E-3</v>
          </cell>
          <cell r="O343">
            <v>9.9826540855580022E-3</v>
          </cell>
          <cell r="P343">
            <v>1.1501183040363896E-2</v>
          </cell>
        </row>
        <row r="344">
          <cell r="B344" t="str">
            <v>RHES-CHPWOD</v>
          </cell>
          <cell r="C344" t="str">
            <v>VAR_ncap</v>
          </cell>
          <cell r="D344" t="str">
            <v>-</v>
          </cell>
          <cell r="E344"/>
          <cell r="F344"/>
          <cell r="G344"/>
          <cell r="H344">
            <v>2.1149757925718901E-5</v>
          </cell>
          <cell r="I344">
            <v>1.7609123108304401E-5</v>
          </cell>
          <cell r="J344">
            <v>1.54871625196403E-4</v>
          </cell>
          <cell r="K344">
            <v>1.33316749167282E-4</v>
          </cell>
          <cell r="L344">
            <v>3.0303165387005101E-5</v>
          </cell>
          <cell r="M344">
            <v>1.4248325164676401E-5</v>
          </cell>
          <cell r="N344">
            <v>1.27073090899025E-4</v>
          </cell>
          <cell r="O344">
            <v>8.5871739062949205E-5</v>
          </cell>
          <cell r="P344">
            <v>2.1710694326293201E-5</v>
          </cell>
        </row>
        <row r="345">
          <cell r="B345" t="str">
            <v>RHES-CHPWOD</v>
          </cell>
          <cell r="C345" t="str">
            <v>VAR_cap</v>
          </cell>
          <cell r="D345" t="str">
            <v>-</v>
          </cell>
          <cell r="E345"/>
          <cell r="F345"/>
          <cell r="G345"/>
          <cell r="H345">
            <v>2.1149757925718901E-5</v>
          </cell>
          <cell r="I345">
            <v>3.8747531523203238E-5</v>
          </cell>
          <cell r="J345">
            <v>1.8955840136540393E-4</v>
          </cell>
          <cell r="K345">
            <v>3.0575684455300573E-4</v>
          </cell>
          <cell r="L345">
            <v>3.1841859601763423E-4</v>
          </cell>
          <cell r="M345">
            <v>1.8390253028623582E-4</v>
          </cell>
          <cell r="N345">
            <v>1.7154356070407832E-4</v>
          </cell>
          <cell r="O345">
            <v>2.2792002865863403E-4</v>
          </cell>
          <cell r="P345">
            <v>2.3456810420005201E-4</v>
          </cell>
        </row>
        <row r="346">
          <cell r="B346" t="str">
            <v>G-INTC-RES</v>
          </cell>
          <cell r="C346" t="str">
            <v>VAR_fout</v>
          </cell>
          <cell r="D346" t="str">
            <v>RHNS_ELC</v>
          </cell>
          <cell r="E346">
            <v>12.555522535609475</v>
          </cell>
          <cell r="F346">
            <v>14.929002327117281</v>
          </cell>
          <cell r="G346">
            <v>14.934548696713316</v>
          </cell>
          <cell r="H346">
            <v>15.68508617383314</v>
          </cell>
          <cell r="I346">
            <v>17.671059576121149</v>
          </cell>
          <cell r="J346">
            <v>19.649372959279997</v>
          </cell>
          <cell r="K346">
            <v>19.62465791868809</v>
          </cell>
          <cell r="L346">
            <v>21.468655569880429</v>
          </cell>
          <cell r="M346">
            <v>21.891630810173694</v>
          </cell>
          <cell r="N346">
            <v>21.871070742291788</v>
          </cell>
          <cell r="O346">
            <v>21.92318561718443</v>
          </cell>
          <cell r="P346">
            <v>21.83314581789741</v>
          </cell>
        </row>
        <row r="347">
          <cell r="B347" t="str">
            <v>G-INTC-RES</v>
          </cell>
          <cell r="C347" t="str">
            <v>VAR_fout</v>
          </cell>
          <cell r="D347" t="str">
            <v>ELC35</v>
          </cell>
          <cell r="E347">
            <v>42.679923398339199</v>
          </cell>
          <cell r="F347">
            <v>2.6924908752144539E-3</v>
          </cell>
          <cell r="G347">
            <v>3.9519194805514015E-3</v>
          </cell>
          <cell r="H347">
            <v>1.5124593452000793E-3</v>
          </cell>
          <cell r="I347">
            <v>2.2904901992926888E-2</v>
          </cell>
          <cell r="J347">
            <v>2.6185291129460601E-3</v>
          </cell>
          <cell r="K347">
            <v>2.5554763413054532E-3</v>
          </cell>
          <cell r="L347">
            <v>6.2865050155800776E-3</v>
          </cell>
          <cell r="M347">
            <v>1.1797283906786958E-2</v>
          </cell>
          <cell r="N347">
            <v>6.3110494019747665E-2</v>
          </cell>
          <cell r="O347">
            <v>0.20892944493128657</v>
          </cell>
          <cell r="P347">
            <v>0.50678731946770172</v>
          </cell>
        </row>
        <row r="348">
          <cell r="B348" t="str">
            <v>G-INTC-RES</v>
          </cell>
          <cell r="C348" t="str">
            <v>VAR_fout</v>
          </cell>
          <cell r="D348" t="str">
            <v>RHES_ELC</v>
          </cell>
          <cell r="E348">
            <v>22.093307851289069</v>
          </cell>
          <cell r="F348">
            <v>18.586131613633864</v>
          </cell>
          <cell r="G348">
            <v>18.302668500761595</v>
          </cell>
          <cell r="H348">
            <v>16.908003703939318</v>
          </cell>
          <cell r="I348">
            <v>17.828722600162575</v>
          </cell>
          <cell r="J348">
            <v>18.963641922238782</v>
          </cell>
          <cell r="K348">
            <v>19.196703061275628</v>
          </cell>
          <cell r="L348">
            <v>21.490874736416945</v>
          </cell>
          <cell r="M348">
            <v>22.233742468584602</v>
          </cell>
          <cell r="N348">
            <v>21.915347394603014</v>
          </cell>
          <cell r="O348">
            <v>21.841738542703002</v>
          </cell>
          <cell r="P348">
            <v>21.301159313298388</v>
          </cell>
        </row>
        <row r="349">
          <cell r="B349" t="str">
            <v>G-INTC-RES</v>
          </cell>
          <cell r="C349" t="str">
            <v>VAR_fout</v>
          </cell>
          <cell r="D349" t="str">
            <v>RHNM_ELC</v>
          </cell>
          <cell r="E349">
            <v>11.88005784302799</v>
          </cell>
          <cell r="F349">
            <v>15.011968343792748</v>
          </cell>
          <cell r="G349">
            <v>14.620371728246331</v>
          </cell>
          <cell r="H349">
            <v>15.053122602671825</v>
          </cell>
          <cell r="I349">
            <v>16.594256693322667</v>
          </cell>
          <cell r="J349">
            <v>18.306893604121271</v>
          </cell>
          <cell r="K349">
            <v>18.372859069377256</v>
          </cell>
          <cell r="L349">
            <v>20.421168303245068</v>
          </cell>
          <cell r="M349">
            <v>20.938498911803645</v>
          </cell>
          <cell r="N349">
            <v>21.000556352668298</v>
          </cell>
          <cell r="O349">
            <v>20.886857801175839</v>
          </cell>
          <cell r="P349">
            <v>20.69032340097846</v>
          </cell>
        </row>
        <row r="350">
          <cell r="B350" t="str">
            <v>G-INTC-RES</v>
          </cell>
          <cell r="C350" t="str">
            <v>VAR_fout</v>
          </cell>
          <cell r="D350" t="str">
            <v>RHEM_ELC</v>
          </cell>
          <cell r="E350">
            <v>23.102793231937582</v>
          </cell>
          <cell r="F350">
            <v>19.424378490359391</v>
          </cell>
          <cell r="G350">
            <v>18.975962209553717</v>
          </cell>
          <cell r="H350">
            <v>18.639986496767083</v>
          </cell>
          <cell r="I350">
            <v>20.777120377935876</v>
          </cell>
          <cell r="J350">
            <v>21.931067566375727</v>
          </cell>
          <cell r="K350">
            <v>22.174805405043262</v>
          </cell>
          <cell r="L350">
            <v>24.132549688430846</v>
          </cell>
          <cell r="M350">
            <v>25.374869288580694</v>
          </cell>
          <cell r="N350">
            <v>25.085218632512504</v>
          </cell>
          <cell r="O350">
            <v>25.04814929106152</v>
          </cell>
          <cell r="P350">
            <v>23.780596215950645</v>
          </cell>
        </row>
        <row r="351">
          <cell r="B351" t="str">
            <v>G-INTC-RES</v>
          </cell>
          <cell r="C351" t="str">
            <v>VAR_fin</v>
          </cell>
          <cell r="D351" t="str">
            <v>ELC5</v>
          </cell>
          <cell r="E351">
            <v>112.31159564691714</v>
          </cell>
          <cell r="F351">
            <v>67.954173265778451</v>
          </cell>
          <cell r="G351">
            <v>66.83750305475553</v>
          </cell>
          <cell r="H351">
            <v>66.287711436556592</v>
          </cell>
          <cell r="I351">
            <v>72.894064149535183</v>
          </cell>
          <cell r="J351">
            <v>78.853594581128718</v>
          </cell>
          <cell r="K351">
            <v>79.371580930725585</v>
          </cell>
          <cell r="L351">
            <v>87.519534802988844</v>
          </cell>
          <cell r="M351">
            <v>90.450538763049408</v>
          </cell>
          <cell r="N351">
            <v>89.935303616095311</v>
          </cell>
          <cell r="O351">
            <v>89.908860697056127</v>
          </cell>
          <cell r="P351">
            <v>88.112012067592616</v>
          </cell>
        </row>
        <row r="352">
          <cell r="B352" t="str">
            <v>G-INTC-RES</v>
          </cell>
          <cell r="C352" t="str">
            <v>VAR_ncap</v>
          </cell>
          <cell r="D352" t="str">
            <v>-</v>
          </cell>
          <cell r="E352">
            <v>2.62353717818176E-8</v>
          </cell>
          <cell r="F352">
            <v>2.4438123677140601E-8</v>
          </cell>
          <cell r="G352">
            <v>2.28066881593162E-8</v>
          </cell>
          <cell r="H352">
            <v>2.9199479926575799E-8</v>
          </cell>
          <cell r="I352">
            <v>5.05410567997581E-8</v>
          </cell>
          <cell r="J352">
            <v>6.0624954203784805E-8</v>
          </cell>
          <cell r="K352">
            <v>7.7870604724432197E-8</v>
          </cell>
          <cell r="L352">
            <v>1.10309016049399E-7</v>
          </cell>
          <cell r="M352">
            <v>1.9069772036497601E-7</v>
          </cell>
          <cell r="N352">
            <v>2.5563159455680799E-7</v>
          </cell>
          <cell r="O352">
            <v>4.53360559500254E-7</v>
          </cell>
        </row>
        <row r="353">
          <cell r="B353" t="str">
            <v>G-INTC-RES</v>
          </cell>
          <cell r="C353" t="str">
            <v>VAR_cap</v>
          </cell>
          <cell r="D353" t="str">
            <v>-</v>
          </cell>
          <cell r="E353">
            <v>4.3300925142827298</v>
          </cell>
          <cell r="F353">
            <v>4.3300925228128238</v>
          </cell>
          <cell r="G353">
            <v>4.3300925649562254</v>
          </cell>
          <cell r="H353">
            <v>4.330092603828156</v>
          </cell>
          <cell r="I353">
            <v>4.3300926291335831</v>
          </cell>
          <cell r="J353">
            <v>4.3300926908592068</v>
          </cell>
          <cell r="K353">
            <v>4.3300927656222443</v>
          </cell>
          <cell r="L353">
            <v>4.3300928059990094</v>
          </cell>
          <cell r="M353">
            <v>4.3300930212278779</v>
          </cell>
          <cell r="N353">
            <v>4.3300931685664032</v>
          </cell>
          <cell r="O353">
            <v>4.3300935809254639</v>
          </cell>
          <cell r="P353">
            <v>4.3300938159978992</v>
          </cell>
        </row>
        <row r="354">
          <cell r="B354" t="str">
            <v>SCOM-CHPNGA</v>
          </cell>
          <cell r="C354" t="str">
            <v>VAR_fout</v>
          </cell>
          <cell r="D354" t="str">
            <v>CO2_S</v>
          </cell>
          <cell r="E354">
            <v>93.673741700111606</v>
          </cell>
          <cell r="F354">
            <v>98.055431046962497</v>
          </cell>
          <cell r="G354">
            <v>185.83645225875199</v>
          </cell>
          <cell r="H354">
            <v>203.69534345004001</v>
          </cell>
          <cell r="I354">
            <v>197.02420667008201</v>
          </cell>
          <cell r="J354">
            <v>120.51736633483</v>
          </cell>
          <cell r="K354"/>
          <cell r="L354"/>
          <cell r="M354">
            <v>0.30667004969166201</v>
          </cell>
          <cell r="N354">
            <v>0.30012899188594899</v>
          </cell>
          <cell r="O354">
            <v>0.23131842917581</v>
          </cell>
          <cell r="P354">
            <v>0.53645114638800795</v>
          </cell>
        </row>
        <row r="355">
          <cell r="B355" t="str">
            <v>SCOM-CHPNGA</v>
          </cell>
          <cell r="C355" t="str">
            <v>VAR_fout</v>
          </cell>
          <cell r="D355" t="str">
            <v>SCOM_NKEV_GAS_ELC_CHP</v>
          </cell>
          <cell r="E355">
            <v>0.59440070871766748</v>
          </cell>
          <cell r="F355">
            <v>0.62587358998259968</v>
          </cell>
          <cell r="G355">
            <v>1.1856852971159655</v>
          </cell>
          <cell r="H355">
            <v>1.2988023941144442</v>
          </cell>
          <cell r="I355">
            <v>1.2528534270171676</v>
          </cell>
          <cell r="J355">
            <v>0.7662691275162381</v>
          </cell>
          <cell r="K355"/>
          <cell r="L355"/>
          <cell r="M355">
            <v>1.8795932817530802E-3</v>
          </cell>
          <cell r="N355">
            <v>1.7609892139568571E-3</v>
          </cell>
          <cell r="O355">
            <v>1.3508186289412129E-3</v>
          </cell>
          <cell r="P355">
            <v>3.1494596183481334E-3</v>
          </cell>
        </row>
        <row r="356">
          <cell r="B356" t="str">
            <v>SCOM-CHPNGA</v>
          </cell>
          <cell r="C356" t="str">
            <v>VAR_fout</v>
          </cell>
          <cell r="D356" t="str">
            <v>SCOM_LTH_CHPNGA</v>
          </cell>
          <cell r="E356">
            <v>0.69257956095250173</v>
          </cell>
          <cell r="F356">
            <v>0.75020685511250096</v>
          </cell>
          <cell r="G356">
            <v>1.480778213779143</v>
          </cell>
          <cell r="H356">
            <v>1.7307664316530071</v>
          </cell>
          <cell r="I356">
            <v>1.7744078013237699</v>
          </cell>
          <cell r="J356">
            <v>1.1494036912743557</v>
          </cell>
          <cell r="K356"/>
          <cell r="L356"/>
          <cell r="M356">
            <v>2.8193899226296201E-3</v>
          </cell>
          <cell r="N356">
            <v>2.6414838209352859E-3</v>
          </cell>
          <cell r="O356">
            <v>2.0262279434118194E-3</v>
          </cell>
          <cell r="P356">
            <v>4.7241894275221984E-3</v>
          </cell>
        </row>
        <row r="357">
          <cell r="B357" t="str">
            <v>SCOM-CHPNGA</v>
          </cell>
          <cell r="C357" t="str">
            <v>VAR_fin</v>
          </cell>
          <cell r="D357" t="str">
            <v>SNGA</v>
          </cell>
          <cell r="E357">
            <v>1.6608819450374395</v>
          </cell>
          <cell r="F357">
            <v>1.7385714724638721</v>
          </cell>
          <cell r="G357">
            <v>3.2949725577792806</v>
          </cell>
          <cell r="H357">
            <v>3.6116195647170217</v>
          </cell>
          <cell r="I357">
            <v>3.4933369976964856</v>
          </cell>
          <cell r="J357">
            <v>2.1368327364331572</v>
          </cell>
          <cell r="K357"/>
          <cell r="L357"/>
          <cell r="M357">
            <v>5.4374122285755578E-3</v>
          </cell>
          <cell r="N357">
            <v>5.3214360263466069E-3</v>
          </cell>
          <cell r="O357">
            <v>4.1013905882235809E-3</v>
          </cell>
          <cell r="P357">
            <v>9.511545148723561E-3</v>
          </cell>
        </row>
        <row r="358">
          <cell r="B358" t="str">
            <v>SCOM-CHPNGA</v>
          </cell>
          <cell r="C358" t="str">
            <v>VAR_ncap</v>
          </cell>
          <cell r="D358" t="str">
            <v>-</v>
          </cell>
          <cell r="E358"/>
          <cell r="F358">
            <v>8.7012172443826502E-2</v>
          </cell>
          <cell r="G358"/>
          <cell r="H358"/>
          <cell r="I358"/>
          <cell r="J358"/>
          <cell r="K358"/>
          <cell r="L358"/>
          <cell r="M358">
            <v>2.0924694858414801E-4</v>
          </cell>
          <cell r="N358">
            <v>5.7756110137941504E-6</v>
          </cell>
          <cell r="O358">
            <v>8.3787883735041102E-7</v>
          </cell>
          <cell r="P358">
            <v>1.9154020321254201E-4</v>
          </cell>
        </row>
        <row r="359">
          <cell r="B359" t="str">
            <v>SCOM-CHPNGA</v>
          </cell>
          <cell r="C359" t="str">
            <v>VAR_cap</v>
          </cell>
          <cell r="D359" t="str">
            <v>-</v>
          </cell>
          <cell r="E359">
            <v>6.5199902692747697E-2</v>
          </cell>
          <cell r="F359">
            <v>9.9680962464130107E-2</v>
          </cell>
          <cell r="G359">
            <v>9.9678999941113566E-2</v>
          </cell>
          <cell r="H359">
            <v>9.8023126121923945E-2</v>
          </cell>
          <cell r="I359">
            <v>8.9060391396280636E-2</v>
          </cell>
          <cell r="J359">
            <v>5.3490663729847579E-2</v>
          </cell>
          <cell r="K359"/>
          <cell r="L359"/>
          <cell r="M359">
            <v>2.0924694858414801E-4</v>
          </cell>
          <cell r="N359">
            <v>2.1489209996033843E-4</v>
          </cell>
          <cell r="O359">
            <v>2.1530370364058449E-4</v>
          </cell>
          <cell r="P359">
            <v>4.0599114296522838E-4</v>
          </cell>
        </row>
        <row r="360">
          <cell r="B360" t="str">
            <v>D-IPLT</v>
          </cell>
          <cell r="C360" t="str">
            <v>VAR_fout</v>
          </cell>
          <cell r="D360" t="str">
            <v>IPLT</v>
          </cell>
          <cell r="E360">
            <v>0.6257879821030542</v>
          </cell>
          <cell r="F360">
            <v>0.73757354672874675</v>
          </cell>
          <cell r="G360">
            <v>0.73632801748532106</v>
          </cell>
          <cell r="H360">
            <v>0.73426768274152909</v>
          </cell>
          <cell r="I360">
            <v>0.73221803512839168</v>
          </cell>
          <cell r="J360">
            <v>0.73017874151122597</v>
          </cell>
          <cell r="K360">
            <v>0.72815484527287844</v>
          </cell>
          <cell r="L360">
            <v>0.72615702023876794</v>
          </cell>
          <cell r="M360">
            <v>0.7261604413958147</v>
          </cell>
          <cell r="N360">
            <v>0.72617501536957185</v>
          </cell>
          <cell r="O360">
            <v>0.7261821399824383</v>
          </cell>
          <cell r="P360">
            <v>0.72619896695013231</v>
          </cell>
        </row>
        <row r="361">
          <cell r="B361" t="str">
            <v>D-IPLT</v>
          </cell>
          <cell r="C361" t="str">
            <v>VAR_fin</v>
          </cell>
          <cell r="D361" t="str">
            <v>PLT</v>
          </cell>
          <cell r="E361">
            <v>0.6257879821030542</v>
          </cell>
          <cell r="F361">
            <v>0.73757354672874675</v>
          </cell>
          <cell r="G361">
            <v>0.73632801748532106</v>
          </cell>
          <cell r="H361">
            <v>0.73426768274152909</v>
          </cell>
          <cell r="I361">
            <v>0.73221803512839168</v>
          </cell>
          <cell r="J361">
            <v>0.73017874151122597</v>
          </cell>
          <cell r="K361">
            <v>0.72815484527287844</v>
          </cell>
          <cell r="L361">
            <v>0.72615702023876794</v>
          </cell>
          <cell r="M361">
            <v>0.7261604413958147</v>
          </cell>
          <cell r="N361">
            <v>0.72617501536957185</v>
          </cell>
          <cell r="O361">
            <v>0.7261821399824383</v>
          </cell>
          <cell r="P361">
            <v>0.72619896695013231</v>
          </cell>
        </row>
        <row r="362">
          <cell r="B362" t="str">
            <v>LTH-STG</v>
          </cell>
          <cell r="C362" t="str">
            <v>VAR_fout</v>
          </cell>
          <cell r="D362" t="str">
            <v>AUX_LTH-STG_OUT</v>
          </cell>
          <cell r="E362">
            <v>1.5122410702684413E-4</v>
          </cell>
          <cell r="F362">
            <v>4.9086105211368694E-4</v>
          </cell>
          <cell r="G362">
            <v>2.3432817571943914E-3</v>
          </cell>
          <cell r="H362">
            <v>4.841810525614833E-4</v>
          </cell>
          <cell r="I362">
            <v>5.0478244288079904E-4</v>
          </cell>
          <cell r="J362">
            <v>1.2008280375762378E-3</v>
          </cell>
          <cell r="K362">
            <v>1.4991807132217617E-3</v>
          </cell>
          <cell r="L362">
            <v>1.3248482108676367E-3</v>
          </cell>
          <cell r="M362">
            <v>4.6440161223419221E-3</v>
          </cell>
          <cell r="N362">
            <v>5.702288987174846E-3</v>
          </cell>
          <cell r="O362">
            <v>4.6158110124344693E-3</v>
          </cell>
          <cell r="P362">
            <v>8.5267202729721152E-3</v>
          </cell>
        </row>
        <row r="363">
          <cell r="B363" t="str">
            <v>LTH-STG</v>
          </cell>
          <cell r="C363" t="str">
            <v>VAR_fout</v>
          </cell>
          <cell r="D363" t="str">
            <v>LTH</v>
          </cell>
          <cell r="E363">
            <v>1.5122410702684378E-4</v>
          </cell>
          <cell r="F363">
            <v>4.9118829281509513E-4</v>
          </cell>
          <cell r="G363">
            <v>2.3457226756914652E-3</v>
          </cell>
          <cell r="H363">
            <v>4.841810525614833E-4</v>
          </cell>
          <cell r="I363">
            <v>5.0524639733197504E-4</v>
          </cell>
          <cell r="J363">
            <v>1.2008280375762335E-3</v>
          </cell>
          <cell r="K363">
            <v>1.5004055340658931E-3</v>
          </cell>
          <cell r="L363">
            <v>1.3248482108676359E-3</v>
          </cell>
          <cell r="M363">
            <v>4.6440161223419178E-3</v>
          </cell>
          <cell r="N363">
            <v>5.7022889871748425E-3</v>
          </cell>
          <cell r="O363">
            <v>4.615811012434465E-3</v>
          </cell>
          <cell r="P363">
            <v>8.5267202729721065E-3</v>
          </cell>
        </row>
        <row r="364">
          <cell r="B364" t="str">
            <v>LTH-STG</v>
          </cell>
          <cell r="C364" t="str">
            <v>VAR_fin</v>
          </cell>
          <cell r="D364" t="str">
            <v>AUX_LTH-STG_IN</v>
          </cell>
          <cell r="E364">
            <v>2.035166786031351E-4</v>
          </cell>
          <cell r="F364">
            <v>6.4574418545101638E-4</v>
          </cell>
          <cell r="G364">
            <v>3.0262874329830425E-3</v>
          </cell>
          <cell r="H364">
            <v>6.0510177732082406E-4</v>
          </cell>
          <cell r="I364">
            <v>6.1230249398200028E-4</v>
          </cell>
          <cell r="J364">
            <v>1.4127388677367266E-3</v>
          </cell>
          <cell r="K364">
            <v>1.7147469332843047E-3</v>
          </cell>
          <cell r="L364">
            <v>1.4719890644896403E-3</v>
          </cell>
          <cell r="M364">
            <v>5.160017756798709E-3</v>
          </cell>
          <cell r="N364">
            <v>6.3358766524194785E-3</v>
          </cell>
          <cell r="O364">
            <v>5.1286527672751566E-3</v>
          </cell>
          <cell r="P364">
            <v>9.4742755880035338E-3</v>
          </cell>
        </row>
        <row r="365">
          <cell r="B365" t="str">
            <v>LTH-STG</v>
          </cell>
          <cell r="C365" t="str">
            <v>VAR_fin</v>
          </cell>
          <cell r="D365" t="str">
            <v>LTH</v>
          </cell>
          <cell r="E365">
            <v>2.035166786031351E-4</v>
          </cell>
          <cell r="F365">
            <v>6.4574418545101638E-4</v>
          </cell>
          <cell r="G365">
            <v>3.0262874329830425E-3</v>
          </cell>
          <cell r="H365">
            <v>6.0510177732082406E-4</v>
          </cell>
          <cell r="I365">
            <v>6.1230249398200028E-4</v>
          </cell>
          <cell r="J365">
            <v>1.4127388677367266E-3</v>
          </cell>
          <cell r="K365">
            <v>1.7147469332843047E-3</v>
          </cell>
          <cell r="L365">
            <v>1.4719890644896403E-3</v>
          </cell>
          <cell r="M365">
            <v>5.160017756798709E-3</v>
          </cell>
          <cell r="N365">
            <v>6.3358766524194785E-3</v>
          </cell>
          <cell r="O365">
            <v>5.1286527672751566E-3</v>
          </cell>
          <cell r="P365">
            <v>9.4742755880035338E-3</v>
          </cell>
        </row>
        <row r="366">
          <cell r="B366" t="str">
            <v>LTH-STG</v>
          </cell>
          <cell r="C366" t="str">
            <v>VAR_ncap</v>
          </cell>
          <cell r="D366" t="str">
            <v>-</v>
          </cell>
          <cell r="E366">
            <v>5.5157234605129202E-5</v>
          </cell>
          <cell r="F366">
            <v>2.5674410071651299E-6</v>
          </cell>
          <cell r="G366">
            <v>3.2937634803695399E-6</v>
          </cell>
          <cell r="H366">
            <v>2.5753910404761499E-6</v>
          </cell>
          <cell r="I366">
            <v>1.3012279591208801E-4</v>
          </cell>
          <cell r="J366">
            <v>3.0072657284461301E-5</v>
          </cell>
          <cell r="K366">
            <v>3.43398242626491E-5</v>
          </cell>
          <cell r="L366">
            <v>2.08119230386684E-4</v>
          </cell>
          <cell r="M366">
            <v>7.3888424731386497E-6</v>
          </cell>
          <cell r="N366">
            <v>1.29433359882004E-4</v>
          </cell>
          <cell r="O366">
            <v>1.7477667205029499E-5</v>
          </cell>
          <cell r="P366">
            <v>4.8498278181653302E-4</v>
          </cell>
        </row>
        <row r="367">
          <cell r="B367" t="str">
            <v>LTH-STG</v>
          </cell>
          <cell r="C367" t="str">
            <v>VAR_cap</v>
          </cell>
          <cell r="D367" t="str">
            <v>-</v>
          </cell>
          <cell r="E367">
            <v>2.2030058056428755E-4</v>
          </cell>
          <cell r="F367">
            <v>2.216949420847373E-4</v>
          </cell>
          <cell r="G367">
            <v>2.2336745820833697E-4</v>
          </cell>
          <cell r="H367">
            <v>1.4291156083015764E-4</v>
          </cell>
          <cell r="I367">
            <v>1.9315427445859901E-4</v>
          </cell>
          <cell r="J367">
            <v>1.8497825186379455E-4</v>
          </cell>
          <cell r="K367">
            <v>1.9395619946124216E-4</v>
          </cell>
          <cell r="L367">
            <v>3.9922816618424899E-4</v>
          </cell>
          <cell r="M367">
            <v>3.0766476424139925E-4</v>
          </cell>
          <cell r="N367">
            <v>3.7421870223586717E-4</v>
          </cell>
          <cell r="O367">
            <v>3.5643222561930439E-4</v>
          </cell>
          <cell r="P367">
            <v>6.3384430805059127E-4</v>
          </cell>
        </row>
        <row r="368">
          <cell r="B368" t="str">
            <v>ITOT-CHPOIL</v>
          </cell>
          <cell r="C368" t="str">
            <v>VAR_fout</v>
          </cell>
          <cell r="D368" t="str">
            <v>ITOT_LTH_CHP</v>
          </cell>
          <cell r="E368">
            <v>0.92933060974984127</v>
          </cell>
          <cell r="F368">
            <v>2.072278539732801</v>
          </cell>
          <cell r="G368">
            <v>9.0992925945108813E-2</v>
          </cell>
          <cell r="H368">
            <v>1.3164212358740199</v>
          </cell>
          <cell r="I368">
            <v>0.84865969751812875</v>
          </cell>
          <cell r="J368"/>
          <cell r="K368"/>
          <cell r="L368"/>
          <cell r="M368">
            <v>0.26171623929181637</v>
          </cell>
          <cell r="N368">
            <v>0.26122462936035468</v>
          </cell>
          <cell r="O368">
            <v>0.37781685127118259</v>
          </cell>
          <cell r="P368">
            <v>0.3752068843669456</v>
          </cell>
        </row>
        <row r="369">
          <cell r="B369" t="str">
            <v>ITOT-CHPOIL</v>
          </cell>
          <cell r="C369" t="str">
            <v>VAR_fout</v>
          </cell>
          <cell r="D369" t="str">
            <v>ITOT_NKEV_OIL_ELC_CHP</v>
          </cell>
          <cell r="E369">
            <v>7.0500942808608538E-2</v>
          </cell>
          <cell r="F369">
            <v>0.17147088663445637</v>
          </cell>
          <cell r="G369">
            <v>8.7153436827114624E-3</v>
          </cell>
          <cell r="H369">
            <v>0.17098002725649042</v>
          </cell>
          <cell r="I369">
            <v>0.17116995479924843</v>
          </cell>
          <cell r="J369"/>
          <cell r="K369"/>
          <cell r="L369"/>
          <cell r="M369">
            <v>0.11806463767851348</v>
          </cell>
          <cell r="N369">
            <v>0.11784286409429016</v>
          </cell>
          <cell r="O369">
            <v>0.17043959432884806</v>
          </cell>
          <cell r="P369">
            <v>0.16926219395913683</v>
          </cell>
        </row>
        <row r="370">
          <cell r="B370" t="str">
            <v>ITOT-CHPOIL</v>
          </cell>
          <cell r="C370" t="str">
            <v>VAR_fout</v>
          </cell>
          <cell r="D370" t="str">
            <v>CO2_I</v>
          </cell>
          <cell r="E370">
            <v>21.687696306349501</v>
          </cell>
          <cell r="F370">
            <v>51.2424510619771</v>
          </cell>
          <cell r="G370">
            <v>2.61759488826082</v>
          </cell>
          <cell r="H370">
            <v>47.8451417595113</v>
          </cell>
          <cell r="I370">
            <v>47.902443712277503</v>
          </cell>
          <cell r="J370"/>
          <cell r="K370"/>
          <cell r="L370"/>
          <cell r="M370">
            <v>33.089358897540201</v>
          </cell>
          <cell r="N370">
            <v>33.099089858046497</v>
          </cell>
          <cell r="O370">
            <v>47.853751649684099</v>
          </cell>
          <cell r="P370">
            <v>47.854782822376798</v>
          </cell>
        </row>
        <row r="371">
          <cell r="B371" t="str">
            <v>ITOT-CHPOIL</v>
          </cell>
          <cell r="C371" t="str">
            <v>VAR_fin</v>
          </cell>
          <cell r="D371" t="str">
            <v>ILFO</v>
          </cell>
          <cell r="E371">
            <v>0.29426996345114609</v>
          </cell>
          <cell r="F371">
            <v>0.69528427492506284</v>
          </cell>
          <cell r="G371">
            <v>3.551689129254848E-2</v>
          </cell>
          <cell r="H371">
            <v>0.64918781220503841</v>
          </cell>
          <cell r="I371">
            <v>0.64996531495627519</v>
          </cell>
          <cell r="J371"/>
          <cell r="K371"/>
          <cell r="L371"/>
          <cell r="M371">
            <v>0.44897366211044981</v>
          </cell>
          <cell r="N371">
            <v>0.44910569685273377</v>
          </cell>
          <cell r="O371">
            <v>0.64930463568092389</v>
          </cell>
          <cell r="P371">
            <v>0.64931862716929223</v>
          </cell>
        </row>
        <row r="372">
          <cell r="B372" t="str">
            <v>ITOT-CHPOIL</v>
          </cell>
          <cell r="C372" t="str">
            <v>VAR_ncap</v>
          </cell>
          <cell r="D372" t="str">
            <v>-</v>
          </cell>
          <cell r="E372"/>
          <cell r="F372">
            <v>2.1345741812565301E-2</v>
          </cell>
          <cell r="G372"/>
          <cell r="H372"/>
          <cell r="I372"/>
          <cell r="J372"/>
          <cell r="K372"/>
          <cell r="L372"/>
          <cell r="M372">
            <v>1.8724755417411601E-2</v>
          </cell>
          <cell r="N372">
            <v>9.4578827393827905E-5</v>
          </cell>
          <cell r="O372">
            <v>1.1790382236056701E-2</v>
          </cell>
          <cell r="P372">
            <v>8.3002418365411001E-3</v>
          </cell>
        </row>
        <row r="373">
          <cell r="B373" t="str">
            <v>ITOT-CHPOIL</v>
          </cell>
          <cell r="C373" t="str">
            <v>VAR_cap</v>
          </cell>
          <cell r="D373" t="str">
            <v>-</v>
          </cell>
          <cell r="E373">
            <v>8.3051478676723408E-3</v>
          </cell>
          <cell r="F373">
            <v>2.2278160119364381E-2</v>
          </cell>
          <cell r="G373">
            <v>2.2277718007000756E-2</v>
          </cell>
          <cell r="H373">
            <v>2.2277497051486551E-2</v>
          </cell>
          <cell r="I373">
            <v>1.0943858777574944E-2</v>
          </cell>
          <cell r="J373"/>
          <cell r="K373"/>
          <cell r="L373"/>
          <cell r="M373">
            <v>1.8724755417411601E-2</v>
          </cell>
          <cell r="N373">
            <v>1.881904049584085E-2</v>
          </cell>
          <cell r="O373">
            <v>2.4672804339035046E-2</v>
          </cell>
          <cell r="P373">
            <v>2.0184099444229386E-2</v>
          </cell>
        </row>
        <row r="374">
          <cell r="B374" t="str">
            <v>ENUC_GOE</v>
          </cell>
          <cell r="C374" t="str">
            <v>VAR_fout</v>
          </cell>
          <cell r="D374" t="str">
            <v>ELC</v>
          </cell>
          <cell r="E374">
            <v>29.714400340141719</v>
          </cell>
          <cell r="F374">
            <v>29.714396035402576</v>
          </cell>
          <cell r="G374">
            <v>6.0328176094900723E-3</v>
          </cell>
          <cell r="H374"/>
          <cell r="I374"/>
          <cell r="J374"/>
          <cell r="K374"/>
          <cell r="L374"/>
        </row>
        <row r="375">
          <cell r="B375" t="str">
            <v>ENUC_GOE</v>
          </cell>
          <cell r="C375" t="str">
            <v>VAR_fin</v>
          </cell>
          <cell r="D375" t="str">
            <v>URN</v>
          </cell>
          <cell r="E375">
            <v>89.580576379151097</v>
          </cell>
          <cell r="F375">
            <v>89.580563401570899</v>
          </cell>
          <cell r="G375">
            <v>1.8187251718431802E-2</v>
          </cell>
          <cell r="H375"/>
          <cell r="I375"/>
          <cell r="J375"/>
          <cell r="K375"/>
          <cell r="L375"/>
        </row>
        <row r="376">
          <cell r="B376" t="str">
            <v>ENUC_GOE</v>
          </cell>
          <cell r="C376" t="str">
            <v>VAR_cap</v>
          </cell>
          <cell r="D376" t="str">
            <v>-</v>
          </cell>
          <cell r="E376">
            <v>1.01</v>
          </cell>
          <cell r="F376">
            <v>1.0099999558469692</v>
          </cell>
          <cell r="G376">
            <v>2.3101820118998084E-4</v>
          </cell>
          <cell r="H376"/>
          <cell r="I376"/>
          <cell r="J376"/>
          <cell r="K376"/>
          <cell r="L376"/>
        </row>
        <row r="377">
          <cell r="B377" t="str">
            <v>D-RNGA</v>
          </cell>
          <cell r="C377" t="str">
            <v>VAR_fout</v>
          </cell>
          <cell r="D377" t="str">
            <v>CO2</v>
          </cell>
          <cell r="E377">
            <v>2651.5216819888201</v>
          </cell>
          <cell r="F377">
            <v>2731.78261189676</v>
          </cell>
          <cell r="G377">
            <v>2745.2157713813399</v>
          </cell>
          <cell r="H377">
            <v>2988.70090714863</v>
          </cell>
          <cell r="I377">
            <v>2942.5214702940302</v>
          </cell>
          <cell r="J377">
            <v>2939.7872246042798</v>
          </cell>
          <cell r="K377">
            <v>2354.9706416504</v>
          </cell>
          <cell r="L377">
            <v>1020.4589809635</v>
          </cell>
          <cell r="M377">
            <v>314.84406717642702</v>
          </cell>
          <cell r="N377">
            <v>199.23070685847199</v>
          </cell>
          <cell r="O377">
            <v>199.12922880855101</v>
          </cell>
          <cell r="P377">
            <v>118.429889385045</v>
          </cell>
        </row>
        <row r="378">
          <cell r="B378" t="str">
            <v>D-RNGA</v>
          </cell>
          <cell r="C378" t="str">
            <v>VAR_fout</v>
          </cell>
          <cell r="D378" t="str">
            <v>RNGA</v>
          </cell>
          <cell r="E378">
            <v>47.173451384944791</v>
          </cell>
          <cell r="F378">
            <v>48.283019541841782</v>
          </cell>
          <cell r="G378">
            <v>48.520438225582303</v>
          </cell>
          <cell r="H378">
            <v>52.82377972807322</v>
          </cell>
          <cell r="I378">
            <v>52.007405407768871</v>
          </cell>
          <cell r="J378">
            <v>52.067814653112073</v>
          </cell>
          <cell r="K378">
            <v>41.729669372980105</v>
          </cell>
          <cell r="L378">
            <v>19.5491822994511</v>
          </cell>
          <cell r="M378">
            <v>9.6819869632206235</v>
          </cell>
          <cell r="N378">
            <v>7.6386353154758648</v>
          </cell>
          <cell r="O378">
            <v>7.6370501640859816</v>
          </cell>
          <cell r="P378">
            <v>6.2109302047993085</v>
          </cell>
        </row>
        <row r="379">
          <cell r="B379" t="str">
            <v>D-RNGA</v>
          </cell>
          <cell r="C379" t="str">
            <v>VAR_fout</v>
          </cell>
          <cell r="D379" t="str">
            <v>RSH2</v>
          </cell>
          <cell r="E379"/>
          <cell r="F379"/>
          <cell r="G379"/>
          <cell r="H379">
            <v>1.3083992095049891E-3</v>
          </cell>
          <cell r="I379">
            <v>6.3917531927075499E-2</v>
          </cell>
          <cell r="J379">
            <v>0.36315059428518814</v>
          </cell>
          <cell r="K379">
            <v>1.0097602913019494</v>
          </cell>
          <cell r="L379">
            <v>0.60574256723947939</v>
          </cell>
          <cell r="M379">
            <v>0.13346068812406067</v>
          </cell>
          <cell r="N379">
            <v>0.13317160814360701</v>
          </cell>
          <cell r="O379">
            <v>9.4074843339027298E-2</v>
          </cell>
          <cell r="P379">
            <v>6.699426141088205E-2</v>
          </cell>
        </row>
        <row r="380">
          <cell r="B380" t="str">
            <v>D-RNGA</v>
          </cell>
          <cell r="C380" t="str">
            <v>VAR_fin</v>
          </cell>
          <cell r="D380" t="str">
            <v>NGA</v>
          </cell>
          <cell r="E380">
            <v>47.012795779943566</v>
          </cell>
          <cell r="F380">
            <v>48.435861913063171</v>
          </cell>
          <cell r="G380">
            <v>48.674038499669074</v>
          </cell>
          <cell r="H380">
            <v>52.991150835968632</v>
          </cell>
          <cell r="I380">
            <v>52.172366494575009</v>
          </cell>
          <cell r="J380">
            <v>52.12388696106877</v>
          </cell>
          <cell r="K380">
            <v>41.754798610822782</v>
          </cell>
          <cell r="L380">
            <v>18.093244343324404</v>
          </cell>
          <cell r="M380">
            <v>5.5823416166033057</v>
          </cell>
          <cell r="N380">
            <v>3.5324593414622765</v>
          </cell>
          <cell r="O380">
            <v>3.5306600852579892</v>
          </cell>
          <cell r="P380">
            <v>2.0998207337774009</v>
          </cell>
        </row>
        <row r="381">
          <cell r="B381" t="str">
            <v>D-RNGA</v>
          </cell>
          <cell r="C381" t="str">
            <v>VAR_fin</v>
          </cell>
          <cell r="D381" t="str">
            <v>BNGA</v>
          </cell>
          <cell r="E381">
            <v>0.31135683683205756</v>
          </cell>
          <cell r="F381">
            <v>1.4035087777510404E-3</v>
          </cell>
          <cell r="G381">
            <v>1.4040682900645551E-3</v>
          </cell>
          <cell r="H381">
            <v>1.4047158147223473E-3</v>
          </cell>
          <cell r="I381">
            <v>1.406106400493753E-3</v>
          </cell>
          <cell r="J381">
            <v>0.11146255069551589</v>
          </cell>
          <cell r="K381">
            <v>0.11146458406243687</v>
          </cell>
          <cell r="L381">
            <v>1.5203832458185085</v>
          </cell>
          <cell r="M381">
            <v>4.1310449625594385</v>
          </cell>
          <cell r="N381">
            <v>4.1310535266568387</v>
          </cell>
          <cell r="O381">
            <v>4.1311278519880847</v>
          </cell>
          <cell r="P381">
            <v>4.1312134268458323</v>
          </cell>
        </row>
        <row r="382">
          <cell r="B382" t="str">
            <v>D-RNGA</v>
          </cell>
          <cell r="C382" t="str">
            <v>VAR_fin</v>
          </cell>
          <cell r="D382" t="str">
            <v>H2</v>
          </cell>
          <cell r="E382"/>
          <cell r="F382"/>
          <cell r="G382"/>
          <cell r="H382">
            <v>1.3080146621727493E-3</v>
          </cell>
          <cell r="I382">
            <v>6.3917491815449839E-2</v>
          </cell>
          <cell r="J382">
            <v>0.36315059428518809</v>
          </cell>
          <cell r="K382">
            <v>1.0097585720903137</v>
          </cell>
          <cell r="L382">
            <v>0.60574166025302367</v>
          </cell>
          <cell r="M382">
            <v>0.13346050733399686</v>
          </cell>
          <cell r="N382">
            <v>0.13317160814360723</v>
          </cell>
          <cell r="O382">
            <v>9.4074810308450246E-2</v>
          </cell>
          <cell r="P382">
            <v>6.6993818090041513E-2</v>
          </cell>
        </row>
        <row r="383">
          <cell r="B383" t="str">
            <v>D-RNGA</v>
          </cell>
          <cell r="C383" t="str">
            <v>VAR_ncap</v>
          </cell>
          <cell r="D383" t="str">
            <v>-</v>
          </cell>
          <cell r="E383">
            <v>1.5920506434558401E-7</v>
          </cell>
          <cell r="F383">
            <v>8.3053938629363E-8</v>
          </cell>
          <cell r="G383">
            <v>1.15927369075969E-7</v>
          </cell>
          <cell r="H383">
            <v>1.2486510591529299E-7</v>
          </cell>
          <cell r="I383">
            <v>3.71335153148094E-7</v>
          </cell>
          <cell r="J383">
            <v>1.8398523113111801E-7</v>
          </cell>
          <cell r="K383">
            <v>2.8051007550329398E-7</v>
          </cell>
          <cell r="L383">
            <v>0.14519549244605801</v>
          </cell>
          <cell r="M383">
            <v>0.433346066453143</v>
          </cell>
          <cell r="N383">
            <v>8.5385559408793605E-7</v>
          </cell>
          <cell r="O383">
            <v>8.8972360616771295E-7</v>
          </cell>
          <cell r="P383">
            <v>3.9214979033706296E-6</v>
          </cell>
        </row>
        <row r="384">
          <cell r="B384" t="str">
            <v>D-RNGA</v>
          </cell>
          <cell r="C384" t="str">
            <v>VAR_cap</v>
          </cell>
          <cell r="D384" t="str">
            <v>-</v>
          </cell>
          <cell r="E384">
            <v>3.0972401666009843</v>
          </cell>
          <cell r="F384">
            <v>3.0972402496549232</v>
          </cell>
          <cell r="G384">
            <v>3.0972403655822922</v>
          </cell>
          <cell r="H384">
            <v>3.097240490447398</v>
          </cell>
          <cell r="I384">
            <v>3.0972408617825513</v>
          </cell>
          <cell r="J384">
            <v>3.0972410457677824</v>
          </cell>
          <cell r="K384">
            <v>3.097241326277858</v>
          </cell>
          <cell r="L384">
            <v>1.203205441515466</v>
          </cell>
          <cell r="M384">
            <v>0.578542877781139</v>
          </cell>
          <cell r="N384">
            <v>0.57854357321726901</v>
          </cell>
          <cell r="O384">
            <v>0.57854424412329797</v>
          </cell>
          <cell r="P384">
            <v>0.57854805980676505</v>
          </cell>
        </row>
        <row r="385">
          <cell r="B385" t="str">
            <v>RHES-CHPGFC</v>
          </cell>
          <cell r="C385" t="str">
            <v>VAR_fout</v>
          </cell>
          <cell r="D385" t="str">
            <v>CO2_R</v>
          </cell>
          <cell r="E385"/>
          <cell r="F385"/>
          <cell r="G385"/>
          <cell r="H385"/>
          <cell r="I385"/>
          <cell r="J385"/>
          <cell r="K385"/>
          <cell r="L385"/>
          <cell r="M385">
            <v>6.3815436637733106E-2</v>
          </cell>
          <cell r="N385">
            <v>0.107281489719283</v>
          </cell>
          <cell r="O385">
            <v>0.10776621617155201</v>
          </cell>
          <cell r="P385">
            <v>0.19949768462961501</v>
          </cell>
        </row>
        <row r="386">
          <cell r="B386" t="str">
            <v>RHES-CHPGFC</v>
          </cell>
          <cell r="C386" t="str">
            <v>VAR_fout</v>
          </cell>
          <cell r="D386" t="str">
            <v>RHES_NKEV_GAS_ELC_CHP</v>
          </cell>
          <cell r="E386"/>
          <cell r="F386"/>
          <cell r="G386"/>
          <cell r="H386"/>
          <cell r="I386"/>
          <cell r="J386"/>
          <cell r="K386"/>
          <cell r="L386"/>
          <cell r="M386">
            <v>5.0916571785425261E-4</v>
          </cell>
          <cell r="N386">
            <v>8.5596933286661637E-4</v>
          </cell>
          <cell r="O386">
            <v>8.5983683115599722E-4</v>
          </cell>
          <cell r="P386">
            <v>1.5917368454490604E-3</v>
          </cell>
        </row>
        <row r="387">
          <cell r="B387" t="str">
            <v>RHES-CHPGFC</v>
          </cell>
          <cell r="C387" t="str">
            <v>VAR_fout</v>
          </cell>
          <cell r="D387" t="str">
            <v>RHES_LTH_CHPNGA</v>
          </cell>
          <cell r="E387"/>
          <cell r="F387"/>
          <cell r="G387"/>
          <cell r="H387"/>
          <cell r="I387"/>
          <cell r="J387"/>
          <cell r="K387"/>
          <cell r="L387"/>
          <cell r="M387">
            <v>5.0916571785425261E-4</v>
          </cell>
          <cell r="N387">
            <v>8.5596933286661637E-4</v>
          </cell>
          <cell r="O387">
            <v>8.5983683115599722E-4</v>
          </cell>
          <cell r="P387">
            <v>1.5917368454490604E-3</v>
          </cell>
        </row>
        <row r="388">
          <cell r="B388" t="str">
            <v>RHES-CHPGFC</v>
          </cell>
          <cell r="C388" t="str">
            <v>VAR_fin</v>
          </cell>
          <cell r="D388" t="str">
            <v>RNGA</v>
          </cell>
          <cell r="E388"/>
          <cell r="F388"/>
          <cell r="G388"/>
          <cell r="H388"/>
          <cell r="I388"/>
          <cell r="J388"/>
          <cell r="K388"/>
          <cell r="L388"/>
          <cell r="M388">
            <v>1.1314793730094503E-3</v>
          </cell>
          <cell r="N388">
            <v>1.902154073036926E-3</v>
          </cell>
          <cell r="O388">
            <v>1.910748513679994E-3</v>
          </cell>
          <cell r="P388">
            <v>3.5371929898867999E-3</v>
          </cell>
        </row>
        <row r="389">
          <cell r="B389" t="str">
            <v>RHES-CHPGFC</v>
          </cell>
          <cell r="C389" t="str">
            <v>VAR_ncap</v>
          </cell>
          <cell r="D389" t="str">
            <v>-</v>
          </cell>
          <cell r="E389"/>
          <cell r="F389"/>
          <cell r="G389"/>
          <cell r="H389"/>
          <cell r="I389"/>
          <cell r="J389"/>
          <cell r="K389"/>
          <cell r="L389"/>
          <cell r="M389">
            <v>4.5300266696030599E-5</v>
          </cell>
          <cell r="N389">
            <v>3.0994022270435802E-5</v>
          </cell>
          <cell r="O389">
            <v>3.9910348882616398E-7</v>
          </cell>
          <cell r="P389">
            <v>6.5550259352958401E-5</v>
          </cell>
        </row>
        <row r="390">
          <cell r="B390" t="str">
            <v>RHES-CHPGFC</v>
          </cell>
          <cell r="C390" t="str">
            <v>VAR_cap</v>
          </cell>
          <cell r="D390" t="str">
            <v>-</v>
          </cell>
          <cell r="E390"/>
          <cell r="F390"/>
          <cell r="G390"/>
          <cell r="H390"/>
          <cell r="I390"/>
          <cell r="J390"/>
          <cell r="K390"/>
          <cell r="L390"/>
          <cell r="M390">
            <v>4.5300266696030599E-5</v>
          </cell>
          <cell r="N390">
            <v>7.6272063024129756E-5</v>
          </cell>
          <cell r="O390">
            <v>7.6618993983023172E-5</v>
          </cell>
          <cell r="P390">
            <v>1.4201543304302082E-4</v>
          </cell>
        </row>
        <row r="391">
          <cell r="B391" t="str">
            <v>ITOT-CHPHFC</v>
          </cell>
          <cell r="C391" t="str">
            <v>VAR_fout</v>
          </cell>
          <cell r="D391" t="str">
            <v>ITOT_LTH_CHP</v>
          </cell>
          <cell r="E391"/>
          <cell r="F391"/>
          <cell r="G391"/>
          <cell r="H391">
            <v>5.3338300104569846E-3</v>
          </cell>
          <cell r="I391">
            <v>0.50803057365529991</v>
          </cell>
          <cell r="J391">
            <v>1.7678934148356868</v>
          </cell>
          <cell r="K391">
            <v>2.2164232337746399</v>
          </cell>
          <cell r="L391">
            <v>2.0149307832804788</v>
          </cell>
          <cell r="M391">
            <v>2.0149311630396722</v>
          </cell>
          <cell r="N391">
            <v>2.0149304658144209</v>
          </cell>
          <cell r="O391">
            <v>2.0149308369741639</v>
          </cell>
          <cell r="P391">
            <v>2.0149319126491148</v>
          </cell>
        </row>
        <row r="392">
          <cell r="B392" t="str">
            <v>ITOT-CHPHFC</v>
          </cell>
          <cell r="C392" t="str">
            <v>VAR_fout</v>
          </cell>
          <cell r="D392" t="str">
            <v>ITOT_KEV_HFC_ELC_CHP</v>
          </cell>
          <cell r="E392"/>
          <cell r="F392"/>
          <cell r="G392"/>
          <cell r="H392">
            <v>7.1357996085843365E-3</v>
          </cell>
          <cell r="I392">
            <v>0.75404837768927524</v>
          </cell>
          <cell r="J392">
            <v>2.9464890247261435</v>
          </cell>
          <cell r="K392">
            <v>4.0298604250447951</v>
          </cell>
          <cell r="L392">
            <v>4.0298615665609558</v>
          </cell>
          <cell r="M392">
            <v>4.0298623260793445</v>
          </cell>
          <cell r="N392">
            <v>4.0298609316288383</v>
          </cell>
          <cell r="O392">
            <v>4.0298616739483277</v>
          </cell>
          <cell r="P392">
            <v>4.0298638252982277</v>
          </cell>
        </row>
        <row r="393">
          <cell r="B393" t="str">
            <v>ITOT-CHPHFC</v>
          </cell>
          <cell r="C393" t="str">
            <v>VAR_fin</v>
          </cell>
          <cell r="D393" t="str">
            <v>IH2</v>
          </cell>
          <cell r="E393"/>
          <cell r="F393"/>
          <cell r="G393"/>
          <cell r="H393">
            <v>1.4415756785018869E-2</v>
          </cell>
          <cell r="I393">
            <v>1.443154789835934</v>
          </cell>
          <cell r="J393">
            <v>5.357252772229347</v>
          </cell>
          <cell r="K393">
            <v>7.0084529131213893</v>
          </cell>
          <cell r="L393">
            <v>6.7164359442682571</v>
          </cell>
          <cell r="M393">
            <v>6.7164372101322387</v>
          </cell>
          <cell r="N393">
            <v>6.7164348860480585</v>
          </cell>
          <cell r="O393">
            <v>6.7164361232472176</v>
          </cell>
          <cell r="P393">
            <v>6.7164397088303893</v>
          </cell>
        </row>
        <row r="394">
          <cell r="B394" t="str">
            <v>ITOT-CHPHFC</v>
          </cell>
          <cell r="C394" t="str">
            <v>VAR_ncap</v>
          </cell>
          <cell r="D394" t="str">
            <v>-</v>
          </cell>
          <cell r="E394"/>
          <cell r="F394"/>
          <cell r="G394"/>
          <cell r="H394">
            <v>2.7157492886493902E-4</v>
          </cell>
          <cell r="I394">
            <v>4.0169444093280299E-2</v>
          </cell>
          <cell r="J394">
            <v>6.9533051532172402E-2</v>
          </cell>
          <cell r="K394">
            <v>5.1847411895309198E-2</v>
          </cell>
          <cell r="L394">
            <v>4.3383593889183003E-2</v>
          </cell>
          <cell r="M394">
            <v>5.1292115693461197E-2</v>
          </cell>
          <cell r="N394">
            <v>5.5664554968432103E-2</v>
          </cell>
          <cell r="O394">
            <v>5.1961161677637202E-2</v>
          </cell>
          <cell r="P394">
            <v>4.2742463436335601E-2</v>
          </cell>
        </row>
        <row r="395">
          <cell r="B395" t="str">
            <v>ITOT-CHPHFC</v>
          </cell>
          <cell r="C395" t="str">
            <v>VAR_cap</v>
          </cell>
          <cell r="D395" t="str">
            <v>-</v>
          </cell>
          <cell r="E395"/>
          <cell r="F395"/>
          <cell r="G395"/>
          <cell r="H395">
            <v>2.7157492886493902E-4</v>
          </cell>
          <cell r="I395">
            <v>4.0440971438074264E-2</v>
          </cell>
          <cell r="J395">
            <v>0.10992220440280295</v>
          </cell>
          <cell r="K395">
            <v>0.16154970888675185</v>
          </cell>
          <cell r="L395">
            <v>0.1647637083690979</v>
          </cell>
          <cell r="M395">
            <v>0.1503372410913256</v>
          </cell>
          <cell r="N395">
            <v>0.15033985619336543</v>
          </cell>
          <cell r="O395">
            <v>0.15034117963259763</v>
          </cell>
          <cell r="P395">
            <v>0.15036771070867261</v>
          </cell>
        </row>
        <row r="396">
          <cell r="B396" t="str">
            <v>ENUC_AMR_GOE_I</v>
          </cell>
          <cell r="C396" t="str">
            <v>VAR_fout</v>
          </cell>
          <cell r="D396" t="str">
            <v>HTH</v>
          </cell>
          <cell r="E396"/>
          <cell r="F396"/>
          <cell r="G396"/>
          <cell r="H396"/>
          <cell r="I396"/>
          <cell r="J396"/>
          <cell r="K396"/>
          <cell r="L396"/>
          <cell r="M396">
            <v>0.97960881052199489</v>
          </cell>
          <cell r="N396">
            <v>1.8409853969434766</v>
          </cell>
          <cell r="O396">
            <v>1.74844399235766</v>
          </cell>
          <cell r="P396">
            <v>1.8138281589096181</v>
          </cell>
        </row>
        <row r="397">
          <cell r="B397" t="str">
            <v>ENUC_AMR_GOE_I</v>
          </cell>
          <cell r="C397" t="str">
            <v>VAR_fout</v>
          </cell>
          <cell r="D397" t="str">
            <v>ELC</v>
          </cell>
          <cell r="E397"/>
          <cell r="F397"/>
          <cell r="G397"/>
          <cell r="H397"/>
          <cell r="I397"/>
          <cell r="J397"/>
          <cell r="K397"/>
          <cell r="L397"/>
          <cell r="M397">
            <v>3.6141097643878068</v>
          </cell>
          <cell r="N397">
            <v>6.8293739490444105</v>
          </cell>
          <cell r="O397">
            <v>6.8617562484642205</v>
          </cell>
          <cell r="P397">
            <v>6.8440758718313672</v>
          </cell>
        </row>
        <row r="398">
          <cell r="B398" t="str">
            <v>ENUC_AMR_GOE_I</v>
          </cell>
          <cell r="C398" t="str">
            <v>VAR_fin</v>
          </cell>
          <cell r="D398" t="str">
            <v>URN</v>
          </cell>
          <cell r="E398"/>
          <cell r="F398"/>
          <cell r="G398"/>
          <cell r="H398"/>
          <cell r="I398"/>
          <cell r="J398"/>
          <cell r="K398"/>
          <cell r="L398"/>
          <cell r="M398">
            <v>9.0724818549655151</v>
          </cell>
          <cell r="N398">
            <v>17.132984197386779</v>
          </cell>
          <cell r="O398">
            <v>17.10659210324259</v>
          </cell>
          <cell r="P398">
            <v>17.136788131771688</v>
          </cell>
        </row>
        <row r="399">
          <cell r="B399" t="str">
            <v>ENUC_AMR_GOE_I</v>
          </cell>
          <cell r="C399" t="str">
            <v>VAR_ncap</v>
          </cell>
          <cell r="D399" t="str">
            <v>-</v>
          </cell>
          <cell r="E399"/>
          <cell r="F399"/>
          <cell r="G399"/>
          <cell r="H399"/>
          <cell r="I399"/>
          <cell r="J399"/>
          <cell r="K399"/>
          <cell r="L399">
            <v>0.28548595259260101</v>
          </cell>
          <cell r="M399">
            <v>2.5475782540414402E-7</v>
          </cell>
          <cell r="N399">
            <v>3.8957085536341699E-7</v>
          </cell>
          <cell r="O399">
            <v>2.3266846687031199E-6</v>
          </cell>
        </row>
        <row r="400">
          <cell r="B400" t="str">
            <v>ENUC_AMR_GOE_I</v>
          </cell>
          <cell r="C400" t="str">
            <v>VAR_cap</v>
          </cell>
          <cell r="D400" t="str">
            <v>-</v>
          </cell>
          <cell r="E400"/>
          <cell r="F400"/>
          <cell r="G400"/>
          <cell r="H400"/>
          <cell r="I400"/>
          <cell r="J400"/>
          <cell r="K400"/>
          <cell r="L400"/>
          <cell r="M400">
            <v>0.15707136194723301</v>
          </cell>
          <cell r="N400">
            <v>0.28548620735042601</v>
          </cell>
          <cell r="O400">
            <v>0.285486460601168</v>
          </cell>
          <cell r="P400">
            <v>0.28548892360595002</v>
          </cell>
        </row>
        <row r="401">
          <cell r="B401" t="str">
            <v>G-INTC-TRA</v>
          </cell>
          <cell r="C401" t="str">
            <v>VAR_fout</v>
          </cell>
          <cell r="D401" t="str">
            <v>TRAN_ELC</v>
          </cell>
          <cell r="E401">
            <v>6.6344978437764537</v>
          </cell>
          <cell r="F401">
            <v>12.128490302817738</v>
          </cell>
          <cell r="G401">
            <v>15.13285959014657</v>
          </cell>
          <cell r="H401">
            <v>24.311278316845105</v>
          </cell>
          <cell r="I401">
            <v>24.592571542159646</v>
          </cell>
          <cell r="J401">
            <v>25.034857249328152</v>
          </cell>
          <cell r="K401">
            <v>25.632090412058027</v>
          </cell>
          <cell r="L401">
            <v>26.175225372821163</v>
          </cell>
          <cell r="M401">
            <v>26.352454045314701</v>
          </cell>
          <cell r="N401">
            <v>26.403813371524677</v>
          </cell>
          <cell r="O401">
            <v>26.177094385023103</v>
          </cell>
          <cell r="P401">
            <v>25.753785377457184</v>
          </cell>
        </row>
        <row r="402">
          <cell r="B402" t="str">
            <v>G-INTC-TRA</v>
          </cell>
          <cell r="C402" t="str">
            <v>VAR_fin</v>
          </cell>
          <cell r="D402" t="str">
            <v>ELC3</v>
          </cell>
          <cell r="E402">
            <v>6.1241518557936487</v>
          </cell>
          <cell r="F402">
            <v>12.12597814098749</v>
          </cell>
          <cell r="G402">
            <v>15.129047328597501</v>
          </cell>
          <cell r="H402">
            <v>17.090106539564363</v>
          </cell>
          <cell r="I402">
            <v>24.422199695954095</v>
          </cell>
          <cell r="J402">
            <v>13.069668122811011</v>
          </cell>
          <cell r="K402">
            <v>25.223572409066819</v>
          </cell>
          <cell r="L402">
            <v>12.01078379449074</v>
          </cell>
          <cell r="M402">
            <v>26.297121924784115</v>
          </cell>
          <cell r="N402">
            <v>26.304730219773532</v>
          </cell>
          <cell r="O402">
            <v>25.950050926885453</v>
          </cell>
          <cell r="P402">
            <v>25.296979053123756</v>
          </cell>
        </row>
        <row r="403">
          <cell r="B403" t="str">
            <v>G-INTC-TRA</v>
          </cell>
          <cell r="C403" t="str">
            <v>VAR_fin</v>
          </cell>
          <cell r="D403" t="str">
            <v>ELC5</v>
          </cell>
          <cell r="E403">
            <v>0.51034598798280406</v>
          </cell>
          <cell r="F403">
            <v>2.5121618302482388E-3</v>
          </cell>
          <cell r="G403">
            <v>3.8122615490688025E-3</v>
          </cell>
          <cell r="H403">
            <v>7.2211717772807233</v>
          </cell>
          <cell r="I403">
            <v>0.1703718462055398</v>
          </cell>
          <cell r="J403">
            <v>11.965189126517114</v>
          </cell>
          <cell r="K403">
            <v>0.40851800299119578</v>
          </cell>
          <cell r="L403">
            <v>14.164441578330448</v>
          </cell>
          <cell r="M403">
            <v>5.5332120530598293E-2</v>
          </cell>
          <cell r="N403">
            <v>9.9083151751166151E-2</v>
          </cell>
          <cell r="O403">
            <v>0.22704345813767601</v>
          </cell>
          <cell r="P403">
            <v>0.45680632433341184</v>
          </cell>
        </row>
        <row r="404">
          <cell r="B404" t="str">
            <v>G-INTC-TRA</v>
          </cell>
          <cell r="C404" t="str">
            <v>VAR_ncap</v>
          </cell>
          <cell r="D404" t="str">
            <v>-</v>
          </cell>
          <cell r="E404">
            <v>1.01576521207542E-7</v>
          </cell>
          <cell r="F404">
            <v>1.09463683948414E-7</v>
          </cell>
          <cell r="G404">
            <v>1.3918186405440301E-7</v>
          </cell>
          <cell r="H404">
            <v>1.6762766375756501E-7</v>
          </cell>
          <cell r="I404">
            <v>2.4548998946725098E-7</v>
          </cell>
          <cell r="J404">
            <v>3.1562914237617701E-7</v>
          </cell>
          <cell r="K404">
            <v>3.9036624581602599E-7</v>
          </cell>
          <cell r="L404">
            <v>5.27274986764079E-7</v>
          </cell>
          <cell r="M404">
            <v>6.3312498127740404E-7</v>
          </cell>
          <cell r="N404">
            <v>1.12273012267982E-6</v>
          </cell>
          <cell r="O404">
            <v>2.0333195339740901E-6</v>
          </cell>
        </row>
        <row r="405">
          <cell r="B405" t="str">
            <v>G-INTC-TRA</v>
          </cell>
          <cell r="C405" t="str">
            <v>VAR_cap</v>
          </cell>
          <cell r="D405" t="str">
            <v>-</v>
          </cell>
          <cell r="E405">
            <v>0.86351880627381705</v>
          </cell>
          <cell r="F405">
            <v>0.86351883930011919</v>
          </cell>
          <cell r="G405">
            <v>0.86351901731402225</v>
          </cell>
          <cell r="H405">
            <v>0.86351924872284014</v>
          </cell>
          <cell r="I405">
            <v>0.8635193832419279</v>
          </cell>
          <cell r="J405">
            <v>0.86351969120963257</v>
          </cell>
          <cell r="K405">
            <v>0.86352007319973678</v>
          </cell>
          <cell r="L405">
            <v>0.86352027560892763</v>
          </cell>
          <cell r="M405">
            <v>0.86352115122253081</v>
          </cell>
          <cell r="N405">
            <v>0.86352170638237913</v>
          </cell>
          <cell r="O405">
            <v>0.86352353776001556</v>
          </cell>
          <cell r="P405">
            <v>0.86352459205855236</v>
          </cell>
        </row>
        <row r="406">
          <cell r="B406" t="str">
            <v>SCOM-SWHSTG-CHPBIO</v>
          </cell>
          <cell r="C406" t="str">
            <v>VAR_fout</v>
          </cell>
          <cell r="D406" t="str">
            <v>AUX_SCOM-CHPBIO_OUT</v>
          </cell>
          <cell r="E406">
            <v>4.5852923927803946E-6</v>
          </cell>
          <cell r="F406">
            <v>7.9460025189940399E-5</v>
          </cell>
          <cell r="G406">
            <v>1.2486526494952084E-2</v>
          </cell>
          <cell r="H406">
            <v>7.0231117426603129E-3</v>
          </cell>
          <cell r="I406">
            <v>3.4301646819458943E-2</v>
          </cell>
          <cell r="J406">
            <v>4.9631400491756475E-2</v>
          </cell>
          <cell r="K406">
            <v>0.4656114667492211</v>
          </cell>
          <cell r="L406">
            <v>0.47297955480726106</v>
          </cell>
          <cell r="M406">
            <v>0.46542408250846035</v>
          </cell>
          <cell r="N406">
            <v>0.45820553356742411</v>
          </cell>
          <cell r="O406">
            <v>0.39147572144179299</v>
          </cell>
          <cell r="P406">
            <v>0.46730183955180016</v>
          </cell>
        </row>
        <row r="407">
          <cell r="B407" t="str">
            <v>SCOM-SWHSTG-CHPBIO</v>
          </cell>
          <cell r="C407" t="str">
            <v>VAR_fout</v>
          </cell>
          <cell r="D407" t="str">
            <v>SCOM_LTH_CHPBIO</v>
          </cell>
          <cell r="E407">
            <v>4.585292392780404E-6</v>
          </cell>
          <cell r="F407">
            <v>7.9524973358678061E-5</v>
          </cell>
          <cell r="G407">
            <v>1.2502473527512674E-2</v>
          </cell>
          <cell r="H407">
            <v>7.0231117426602981E-3</v>
          </cell>
          <cell r="I407">
            <v>3.4339802155186908E-2</v>
          </cell>
          <cell r="J407">
            <v>4.9631400491756426E-2</v>
          </cell>
          <cell r="K407">
            <v>0.466066609922974</v>
          </cell>
          <cell r="L407">
            <v>0.472979554807261</v>
          </cell>
          <cell r="M407">
            <v>0.46542408250846029</v>
          </cell>
          <cell r="N407">
            <v>0.45820553356742405</v>
          </cell>
          <cell r="O407">
            <v>0.39147572144179288</v>
          </cell>
          <cell r="P407">
            <v>0.46730183955180005</v>
          </cell>
        </row>
        <row r="408">
          <cell r="B408" t="str">
            <v>SCOM-SWHSTG-CHPBIO</v>
          </cell>
          <cell r="C408" t="str">
            <v>VAR_fin</v>
          </cell>
          <cell r="D408" t="str">
            <v>SCOM_LTH_CHPBIO</v>
          </cell>
          <cell r="E408">
            <v>3.7763189706296362E-6</v>
          </cell>
          <cell r="F408">
            <v>9.6745709877478695E-5</v>
          </cell>
          <cell r="G408">
            <v>1.4883740011909114E-2</v>
          </cell>
          <cell r="H408">
            <v>8.073457907634975E-3</v>
          </cell>
          <cell r="I408">
            <v>3.8156637348140073E-2</v>
          </cell>
          <cell r="J408">
            <v>5.3368395928273409E-2</v>
          </cell>
          <cell r="K408">
            <v>0.4854879528348533</v>
          </cell>
          <cell r="L408">
            <v>0.47776002372755261</v>
          </cell>
          <cell r="M408">
            <v>0.47012659963829101</v>
          </cell>
          <cell r="N408">
            <v>0.46283655453219402</v>
          </cell>
          <cell r="O408">
            <v>0.39543119548290917</v>
          </cell>
          <cell r="P408">
            <v>0.47202514283578123</v>
          </cell>
        </row>
        <row r="409">
          <cell r="B409" t="str">
            <v>SCOM-SWHSTG-CHPBIO</v>
          </cell>
          <cell r="C409" t="str">
            <v>VAR_fin</v>
          </cell>
          <cell r="D409" t="str">
            <v>AUX_SCOM-CHPBIO_IN</v>
          </cell>
          <cell r="E409">
            <v>3.7763189706296362E-6</v>
          </cell>
          <cell r="F409">
            <v>9.6745709877478695E-5</v>
          </cell>
          <cell r="G409">
            <v>1.4883740011909114E-2</v>
          </cell>
          <cell r="H409">
            <v>8.073457907634975E-3</v>
          </cell>
          <cell r="I409">
            <v>3.8156637348140073E-2</v>
          </cell>
          <cell r="J409">
            <v>5.3368395928273409E-2</v>
          </cell>
          <cell r="K409">
            <v>0.4854879528348533</v>
          </cell>
          <cell r="L409">
            <v>0.47776002372755261</v>
          </cell>
          <cell r="M409">
            <v>0.47012659963829101</v>
          </cell>
          <cell r="N409">
            <v>0.46283655453219402</v>
          </cell>
          <cell r="O409">
            <v>0.39543119548290917</v>
          </cell>
          <cell r="P409">
            <v>0.47202514283578123</v>
          </cell>
        </row>
        <row r="410">
          <cell r="B410" t="str">
            <v>SCOM-SWHSTG-CHPBIO</v>
          </cell>
          <cell r="C410" t="str">
            <v>VAR_ncap</v>
          </cell>
          <cell r="D410" t="str">
            <v>-</v>
          </cell>
          <cell r="E410">
            <v>2.0057355304228001E-3</v>
          </cell>
          <cell r="F410">
            <v>2.6669891843654501E-5</v>
          </cell>
          <cell r="G410">
            <v>2.1662704900104299E-4</v>
          </cell>
          <cell r="H410">
            <v>1.70820682490405E-5</v>
          </cell>
          <cell r="I410">
            <v>1.0830451540809E-2</v>
          </cell>
          <cell r="J410">
            <v>2.4984182779321201E-3</v>
          </cell>
          <cell r="K410">
            <v>0.11354387988792</v>
          </cell>
          <cell r="L410">
            <v>1.42682580790006E-4</v>
          </cell>
          <cell r="M410">
            <v>2.56731285843101E-5</v>
          </cell>
          <cell r="N410">
            <v>7.9316539061420194E-2</v>
          </cell>
          <cell r="O410">
            <v>1.87563838841473E-4</v>
          </cell>
          <cell r="P410">
            <v>2.0579598217213102E-3</v>
          </cell>
        </row>
        <row r="411">
          <cell r="B411" t="str">
            <v>SCOM-SWHSTG-CHPBIO</v>
          </cell>
          <cell r="C411" t="str">
            <v>VAR_cap</v>
          </cell>
          <cell r="D411" t="str">
            <v>-</v>
          </cell>
          <cell r="E411">
            <v>2.0057355304228001E-3</v>
          </cell>
          <cell r="F411">
            <v>2.0301705276801569E-3</v>
          </cell>
          <cell r="G411">
            <v>2.2414366832770043E-3</v>
          </cell>
          <cell r="H411">
            <v>2.2453744661658287E-3</v>
          </cell>
          <cell r="I411">
            <v>1.1569122301386084E-2</v>
          </cell>
          <cell r="J411">
            <v>1.3359399798272586E-2</v>
          </cell>
          <cell r="K411">
            <v>0.12686181411756395</v>
          </cell>
          <cell r="L411">
            <v>0.11616613203574915</v>
          </cell>
          <cell r="M411">
            <v>9.854468639470744E-2</v>
          </cell>
          <cell r="N411">
            <v>7.9465546558978833E-2</v>
          </cell>
          <cell r="O411">
            <v>7.9521264896324662E-2</v>
          </cell>
          <cell r="P411">
            <v>8.1539830323668197E-2</v>
          </cell>
        </row>
        <row r="412">
          <cell r="B412" t="str">
            <v>SCOM-SWHSTG-CHPHFC</v>
          </cell>
          <cell r="C412" t="str">
            <v>VAR_fout</v>
          </cell>
          <cell r="D412" t="str">
            <v>AUX_SCOM-CHPHFC_OUT</v>
          </cell>
          <cell r="E412">
            <v>2.4423585281587101E-5</v>
          </cell>
          <cell r="F412">
            <v>1.8573880415207586E-5</v>
          </cell>
          <cell r="G412">
            <v>1.8971892138411643E-5</v>
          </cell>
          <cell r="H412">
            <v>1.7203957954783258E-3</v>
          </cell>
          <cell r="I412">
            <v>5.1331825771484801E-3</v>
          </cell>
          <cell r="J412">
            <v>2.9776940373766249E-2</v>
          </cell>
          <cell r="K412">
            <v>0.20428940260853792</v>
          </cell>
          <cell r="L412">
            <v>0.18532066430695601</v>
          </cell>
          <cell r="M412">
            <v>2.1161427591775455E-2</v>
          </cell>
          <cell r="N412">
            <v>7.6857514695035906E-2</v>
          </cell>
          <cell r="O412">
            <v>7.6828008981682086E-2</v>
          </cell>
          <cell r="P412">
            <v>0.14666629838498446</v>
          </cell>
        </row>
        <row r="413">
          <cell r="B413" t="str">
            <v>SCOM-SWHSTG-CHPHFC</v>
          </cell>
          <cell r="C413" t="str">
            <v>VAR_fout</v>
          </cell>
          <cell r="D413" t="str">
            <v>SCOM_LTH_CHPHFC</v>
          </cell>
          <cell r="E413">
            <v>2.4423585281587159E-5</v>
          </cell>
          <cell r="F413">
            <v>1.8589062131000361E-5</v>
          </cell>
          <cell r="G413">
            <v>1.8996121885714845E-5</v>
          </cell>
          <cell r="H413">
            <v>1.7203957954783234E-3</v>
          </cell>
          <cell r="I413">
            <v>5.1388924576569826E-3</v>
          </cell>
          <cell r="J413">
            <v>2.9776940373766225E-2</v>
          </cell>
          <cell r="K413">
            <v>0.20448909899427439</v>
          </cell>
          <cell r="L413">
            <v>0.18532066430695601</v>
          </cell>
          <cell r="M413">
            <v>2.1161427591775448E-2</v>
          </cell>
          <cell r="N413">
            <v>7.6857514695035906E-2</v>
          </cell>
          <cell r="O413">
            <v>7.6828008981682086E-2</v>
          </cell>
          <cell r="P413">
            <v>0.14666629838498446</v>
          </cell>
        </row>
        <row r="414">
          <cell r="B414" t="str">
            <v>SCOM-SWHSTG-CHPHFC</v>
          </cell>
          <cell r="C414" t="str">
            <v>VAR_fin</v>
          </cell>
          <cell r="D414" t="str">
            <v>SCOM_LTH_CHPHFC</v>
          </cell>
          <cell r="E414">
            <v>2.4423585281587159E-5</v>
          </cell>
          <cell r="F414">
            <v>1.8589062131000361E-5</v>
          </cell>
          <cell r="G414">
            <v>1.8996121885714845E-5</v>
          </cell>
          <cell r="H414">
            <v>1.9774566162910393E-3</v>
          </cell>
          <cell r="I414">
            <v>5.7098412473415589E-3</v>
          </cell>
          <cell r="J414">
            <v>3.2018215455662552E-2</v>
          </cell>
          <cell r="K414">
            <v>0.21300979220835378</v>
          </cell>
          <cell r="L414">
            <v>0.18719353247698703</v>
          </cell>
          <cell r="M414">
            <v>2.1375172842090558E-2</v>
          </cell>
          <cell r="N414">
            <v>7.7634688526145787E-2</v>
          </cell>
          <cell r="O414">
            <v>7.7603905518858499E-2</v>
          </cell>
          <cell r="P414">
            <v>0.14814881002381325</v>
          </cell>
        </row>
        <row r="415">
          <cell r="B415" t="str">
            <v>SCOM-SWHSTG-CHPHFC</v>
          </cell>
          <cell r="C415" t="str">
            <v>VAR_fin</v>
          </cell>
          <cell r="D415" t="str">
            <v>AUX_SCOM-CHPHFC_IN</v>
          </cell>
          <cell r="E415">
            <v>2.4423585281587159E-5</v>
          </cell>
          <cell r="F415">
            <v>1.8589062131000361E-5</v>
          </cell>
          <cell r="G415">
            <v>1.8996121885714845E-5</v>
          </cell>
          <cell r="H415">
            <v>1.9774566162910393E-3</v>
          </cell>
          <cell r="I415">
            <v>5.7098412473415589E-3</v>
          </cell>
          <cell r="J415">
            <v>3.2018215455662552E-2</v>
          </cell>
          <cell r="K415">
            <v>0.21300979220835378</v>
          </cell>
          <cell r="L415">
            <v>0.18719353247698703</v>
          </cell>
          <cell r="M415">
            <v>2.1375172842090558E-2</v>
          </cell>
          <cell r="N415">
            <v>7.7634688526145787E-2</v>
          </cell>
          <cell r="O415">
            <v>7.7603905518858499E-2</v>
          </cell>
          <cell r="P415">
            <v>0.14814881002381325</v>
          </cell>
        </row>
        <row r="416">
          <cell r="B416" t="str">
            <v>SCOM-SWHSTG-CHPHFC</v>
          </cell>
          <cell r="C416" t="str">
            <v>VAR_ncap</v>
          </cell>
          <cell r="D416" t="str">
            <v>-</v>
          </cell>
          <cell r="E416">
            <v>8.1500389598319998E-4</v>
          </cell>
          <cell r="F416">
            <v>2.1444526936798899E-5</v>
          </cell>
          <cell r="G416">
            <v>3.7837936564487399E-5</v>
          </cell>
          <cell r="H416">
            <v>3.4631442716652401E-5</v>
          </cell>
          <cell r="I416">
            <v>1.3052997195894399E-3</v>
          </cell>
          <cell r="J416">
            <v>1.03118463000837E-3</v>
          </cell>
          <cell r="K416">
            <v>1.04108389910803E-2</v>
          </cell>
          <cell r="L416">
            <v>1.12845545521848E-4</v>
          </cell>
          <cell r="M416">
            <v>1.98639924903272E-5</v>
          </cell>
          <cell r="N416">
            <v>4.6916810619612396E-3</v>
          </cell>
          <cell r="O416">
            <v>9.6206748888455596E-5</v>
          </cell>
          <cell r="P416">
            <v>4.4189646736624297E-3</v>
          </cell>
        </row>
        <row r="417">
          <cell r="B417" t="str">
            <v>SCOM-SWHSTG-CHPHFC</v>
          </cell>
          <cell r="C417" t="str">
            <v>VAR_cap</v>
          </cell>
          <cell r="D417" t="str">
            <v>-</v>
          </cell>
          <cell r="E417">
            <v>8.1500389598319998E-4</v>
          </cell>
          <cell r="F417">
            <v>8.3411536864266334E-4</v>
          </cell>
          <cell r="G417">
            <v>8.6615886517087343E-4</v>
          </cell>
          <cell r="H417">
            <v>8.9155906873855575E-4</v>
          </cell>
          <cell r="I417">
            <v>1.5717885460064423E-3</v>
          </cell>
          <cell r="J417">
            <v>2.3550378973840546E-3</v>
          </cell>
          <cell r="K417">
            <v>1.2736320944698109E-2</v>
          </cell>
          <cell r="L417">
            <v>1.1531189786411869E-2</v>
          </cell>
          <cell r="M417">
            <v>4.0957827818225408E-3</v>
          </cell>
          <cell r="N417">
            <v>4.8064210333093856E-3</v>
          </cell>
          <cell r="O417">
            <v>4.7957934419398749E-3</v>
          </cell>
          <cell r="P417">
            <v>9.18477163476677E-3</v>
          </cell>
        </row>
        <row r="418">
          <cell r="B418" t="str">
            <v>D-IHFO</v>
          </cell>
          <cell r="C418" t="str">
            <v>VAR_fout</v>
          </cell>
          <cell r="D418" t="str">
            <v>CO2</v>
          </cell>
          <cell r="E418">
            <v>213.78048958746501</v>
          </cell>
          <cell r="F418">
            <v>194.23464607737901</v>
          </cell>
          <cell r="G418">
            <v>0.18610788979998699</v>
          </cell>
          <cell r="H418">
            <v>2.67157287504638E-2</v>
          </cell>
          <cell r="I418">
            <v>1.77222621313513E-2</v>
          </cell>
          <cell r="J418">
            <v>9.5437097915178501E-2</v>
          </cell>
          <cell r="K418">
            <v>6.6865156034180501E-2</v>
          </cell>
          <cell r="L418"/>
        </row>
        <row r="419">
          <cell r="B419" t="str">
            <v>D-IHFO</v>
          </cell>
          <cell r="C419" t="str">
            <v>VAR_fout</v>
          </cell>
          <cell r="D419" t="str">
            <v>IHFO</v>
          </cell>
          <cell r="E419">
            <v>2.7300013801630145</v>
          </cell>
          <cell r="F419">
            <v>2.4803987159444341</v>
          </cell>
          <cell r="G419">
            <v>2.3766191058577375E-3</v>
          </cell>
          <cell r="H419">
            <v>3.4116292137588775E-4</v>
          </cell>
          <cell r="I419">
            <v>2.263153207833083E-4</v>
          </cell>
          <cell r="J419">
            <v>1.218742690364144E-3</v>
          </cell>
          <cell r="K419">
            <v>8.5387571433848835E-4</v>
          </cell>
          <cell r="L419"/>
        </row>
        <row r="420">
          <cell r="B420" t="str">
            <v>D-IHFO</v>
          </cell>
          <cell r="C420" t="str">
            <v>VAR_fin</v>
          </cell>
          <cell r="D420" t="str">
            <v>HFO</v>
          </cell>
          <cell r="E420">
            <v>2.7763699946423981</v>
          </cell>
          <cell r="F420">
            <v>2.522527871134792</v>
          </cell>
          <cell r="G420">
            <v>2.4169855818180091E-3</v>
          </cell>
          <cell r="H420">
            <v>3.4695751623979018E-4</v>
          </cell>
          <cell r="I420">
            <v>2.3015924845910766E-4</v>
          </cell>
          <cell r="J420">
            <v>1.2394428300672551E-3</v>
          </cell>
          <cell r="K420">
            <v>8.6837864979455134E-4</v>
          </cell>
          <cell r="L420"/>
        </row>
        <row r="421">
          <cell r="B421" t="str">
            <v>RHNM-CHPNGA</v>
          </cell>
          <cell r="C421" t="str">
            <v>VAR_fout</v>
          </cell>
          <cell r="D421" t="str">
            <v>CO2_R</v>
          </cell>
          <cell r="E421"/>
          <cell r="F421">
            <v>0.35871200183171398</v>
          </cell>
          <cell r="G421">
            <v>1.52233485671297</v>
          </cell>
          <cell r="H421">
            <v>1.4313219346958299</v>
          </cell>
          <cell r="I421">
            <v>1.4384567407782001</v>
          </cell>
          <cell r="J421">
            <v>0.89043405143450205</v>
          </cell>
          <cell r="K421"/>
          <cell r="L421"/>
          <cell r="M421">
            <v>0.11441062697884</v>
          </cell>
          <cell r="N421">
            <v>0.35401696127805299</v>
          </cell>
          <cell r="O421">
            <v>0.14513738780779101</v>
          </cell>
          <cell r="P421">
            <v>0.28191222425308898</v>
          </cell>
        </row>
        <row r="422">
          <cell r="B422" t="str">
            <v>RHNM-CHPNGA</v>
          </cell>
          <cell r="C422" t="str">
            <v>VAR_fout</v>
          </cell>
          <cell r="D422" t="str">
            <v>RHNM_NKEV_GAS_ELC_CHP</v>
          </cell>
          <cell r="E422"/>
          <cell r="F422">
            <v>1.842021428634799E-3</v>
          </cell>
          <cell r="G422">
            <v>7.4965309247036118E-3</v>
          </cell>
          <cell r="H422">
            <v>7.4165966852288772E-3</v>
          </cell>
          <cell r="I422">
            <v>7.4967234790610316E-3</v>
          </cell>
          <cell r="J422">
            <v>4.6109683390243633E-3</v>
          </cell>
          <cell r="K422"/>
          <cell r="L422"/>
          <cell r="M422">
            <v>5.5654237773740238E-4</v>
          </cell>
          <cell r="N422">
            <v>1.8214798009714994E-3</v>
          </cell>
          <cell r="O422">
            <v>6.7849820008454651E-4</v>
          </cell>
          <cell r="P422">
            <v>1.2983060038057432E-3</v>
          </cell>
        </row>
        <row r="423">
          <cell r="B423" t="str">
            <v>RHNM-CHPNGA</v>
          </cell>
          <cell r="C423" t="str">
            <v>VAR_fout</v>
          </cell>
          <cell r="D423" t="str">
            <v>RHNM_LTH_CHPNGA</v>
          </cell>
          <cell r="E423"/>
          <cell r="F423">
            <v>3.9626750641757399E-3</v>
          </cell>
          <cell r="G423">
            <v>1.5889198879486748E-2</v>
          </cell>
          <cell r="H423">
            <v>1.5327633149473037E-2</v>
          </cell>
          <cell r="I423">
            <v>1.5304786293864517E-2</v>
          </cell>
          <cell r="J423">
            <v>9.297526322950769E-3</v>
          </cell>
          <cell r="K423"/>
          <cell r="L423"/>
          <cell r="M423">
            <v>1.0951317755477912E-3</v>
          </cell>
          <cell r="N423">
            <v>3.5842021890084294E-3</v>
          </cell>
          <cell r="O423">
            <v>1.3351093614566872E-3</v>
          </cell>
          <cell r="P423">
            <v>2.5547311687790408E-3</v>
          </cell>
        </row>
        <row r="424">
          <cell r="B424" t="str">
            <v>RHNM-CHPNGA</v>
          </cell>
          <cell r="C424" t="str">
            <v>VAR_fin</v>
          </cell>
          <cell r="D424" t="str">
            <v>RNGA</v>
          </cell>
          <cell r="E424"/>
          <cell r="F424">
            <v>6.3601418764488334E-3</v>
          </cell>
          <cell r="G424">
            <v>2.6991752778598763E-2</v>
          </cell>
          <cell r="H424">
            <v>2.5378048487514723E-2</v>
          </cell>
          <cell r="I424">
            <v>2.5504552141457471E-2</v>
          </cell>
          <cell r="J424">
            <v>1.5787837791391885E-2</v>
          </cell>
          <cell r="K424"/>
          <cell r="L424"/>
          <cell r="M424">
            <v>2.0285572159368815E-3</v>
          </cell>
          <cell r="N424">
            <v>6.2768964765612242E-3</v>
          </cell>
          <cell r="O424">
            <v>2.5733579398544413E-3</v>
          </cell>
          <cell r="P424">
            <v>4.9984436924306484E-3</v>
          </cell>
        </row>
        <row r="425">
          <cell r="B425" t="str">
            <v>RHNM-CHPNGA</v>
          </cell>
          <cell r="C425" t="str">
            <v>VAR_ncap</v>
          </cell>
          <cell r="D425" t="str">
            <v>-</v>
          </cell>
          <cell r="E425"/>
          <cell r="F425">
            <v>5.5637121323750703E-4</v>
          </cell>
          <cell r="G425"/>
          <cell r="H425"/>
          <cell r="I425"/>
          <cell r="J425"/>
          <cell r="K425"/>
          <cell r="L425"/>
          <cell r="M425">
            <v>9.0541260415289497E-5</v>
          </cell>
          <cell r="N425">
            <v>9.5738281360595396E-5</v>
          </cell>
          <cell r="O425">
            <v>4.6323356374527502E-7</v>
          </cell>
          <cell r="P425">
            <v>8.2849406172327101E-5</v>
          </cell>
        </row>
        <row r="426">
          <cell r="B426" t="str">
            <v>RHNM-CHPNGA</v>
          </cell>
          <cell r="C426" t="str">
            <v>VAR_cap</v>
          </cell>
          <cell r="D426" t="str">
            <v>-</v>
          </cell>
          <cell r="E426"/>
          <cell r="F426">
            <v>5.5637121323750703E-4</v>
          </cell>
          <cell r="G426">
            <v>5.5635546777372061E-4</v>
          </cell>
          <cell r="H426">
            <v>5.5634058574635106E-4</v>
          </cell>
          <cell r="I426">
            <v>5.5632214677003161E-4</v>
          </cell>
          <cell r="J426">
            <v>3.4195664475319162E-4</v>
          </cell>
          <cell r="K426"/>
          <cell r="L426"/>
          <cell r="M426">
            <v>9.0541260415289497E-5</v>
          </cell>
          <cell r="N426">
            <v>1.8620458549008917E-4</v>
          </cell>
          <cell r="O426">
            <v>1.8624022373982051E-4</v>
          </cell>
          <cell r="P426">
            <v>2.685290218877312E-4</v>
          </cell>
        </row>
        <row r="427">
          <cell r="B427" t="str">
            <v>G-INTC-EXP00-DE</v>
          </cell>
          <cell r="C427" t="str">
            <v>VAR_fout</v>
          </cell>
          <cell r="D427" t="str">
            <v>ELC_E-DE</v>
          </cell>
          <cell r="E427">
            <v>26.492980027562634</v>
          </cell>
          <cell r="F427">
            <v>2.8537975639579251E-4</v>
          </cell>
          <cell r="G427">
            <v>3.2335649985986196E-4</v>
          </cell>
          <cell r="H427">
            <v>5.427897043750031E-4</v>
          </cell>
          <cell r="I427">
            <v>6.4861520254409831E-4</v>
          </cell>
          <cell r="J427">
            <v>3.8145112045540573E-4</v>
          </cell>
          <cell r="K427">
            <v>2.7053619071649212E-4</v>
          </cell>
          <cell r="L427">
            <v>2.1973009144588931E-4</v>
          </cell>
          <cell r="M427">
            <v>1.5810332893785857E-4</v>
          </cell>
          <cell r="N427">
            <v>2.9966313140944055E-4</v>
          </cell>
          <cell r="O427">
            <v>2.9752853764822626E-4</v>
          </cell>
          <cell r="P427">
            <v>6.1355706226076288E-4</v>
          </cell>
        </row>
        <row r="428">
          <cell r="B428" t="str">
            <v>G-INTC-EXP00-DE</v>
          </cell>
          <cell r="C428" t="str">
            <v>VAR_fin</v>
          </cell>
          <cell r="D428" t="str">
            <v>ELC</v>
          </cell>
          <cell r="E428">
            <v>26.492980027562634</v>
          </cell>
          <cell r="F428">
            <v>2.8537975639579251E-4</v>
          </cell>
          <cell r="G428">
            <v>3.2335649985986196E-4</v>
          </cell>
          <cell r="H428">
            <v>5.427897043750031E-4</v>
          </cell>
          <cell r="I428">
            <v>6.4861520254409831E-4</v>
          </cell>
          <cell r="J428">
            <v>3.8145112045540573E-4</v>
          </cell>
          <cell r="K428">
            <v>2.7053619071649212E-4</v>
          </cell>
          <cell r="L428">
            <v>2.1973009144588931E-4</v>
          </cell>
          <cell r="M428">
            <v>1.5810332893785857E-4</v>
          </cell>
          <cell r="N428">
            <v>2.9966313140944055E-4</v>
          </cell>
          <cell r="O428">
            <v>2.9752853764822626E-4</v>
          </cell>
          <cell r="P428">
            <v>6.1355706226076288E-4</v>
          </cell>
        </row>
        <row r="429">
          <cell r="B429" t="str">
            <v>G-INTC-EXP00-DE</v>
          </cell>
          <cell r="C429" t="str">
            <v>VAR_ncap</v>
          </cell>
          <cell r="D429" t="str">
            <v>-</v>
          </cell>
          <cell r="E429">
            <v>1.0558062425796099E-6</v>
          </cell>
          <cell r="F429">
            <v>1.1605296907940401E-6</v>
          </cell>
          <cell r="G429">
            <v>2.0116985685148999E-6</v>
          </cell>
          <cell r="H429">
            <v>1.9017770784886099E-6</v>
          </cell>
          <cell r="I429">
            <v>3.5419551509154798E-6</v>
          </cell>
          <cell r="J429">
            <v>1.4927413058212901E-4</v>
          </cell>
          <cell r="K429">
            <v>2.2390008793789201E-5</v>
          </cell>
          <cell r="L429">
            <v>1.2111459979429001E-4</v>
          </cell>
          <cell r="M429">
            <v>1.04547961865611E-5</v>
          </cell>
          <cell r="N429">
            <v>3.0235301333967799E-4</v>
          </cell>
        </row>
        <row r="430">
          <cell r="B430" t="str">
            <v>G-INTC-EXP00-DE</v>
          </cell>
          <cell r="C430" t="str">
            <v>VAR_cap</v>
          </cell>
          <cell r="D430" t="str">
            <v>-</v>
          </cell>
          <cell r="E430">
            <v>4.0263669525295729</v>
          </cell>
          <cell r="F430">
            <v>3.1963018627934048E-4</v>
          </cell>
          <cell r="G430">
            <v>3.1290167252961965E-4</v>
          </cell>
          <cell r="H430">
            <v>3.0334808704868266E-4</v>
          </cell>
          <cell r="I430">
            <v>3.0485107253852561E-4</v>
          </cell>
          <cell r="J430">
            <v>3.0281668326992417E-4</v>
          </cell>
          <cell r="K430">
            <v>3.2437147711039671E-4</v>
          </cell>
          <cell r="L430">
            <v>2.5395560995344901E-4</v>
          </cell>
          <cell r="M430">
            <v>1.7126235591251348E-4</v>
          </cell>
          <cell r="N430">
            <v>2.9583629302069387E-4</v>
          </cell>
          <cell r="O430">
            <v>3.0007228849338421E-4</v>
          </cell>
          <cell r="P430">
            <v>5.9958328471876505E-4</v>
          </cell>
        </row>
        <row r="431">
          <cell r="B431" t="str">
            <v>ENUC_BMGL_EXT</v>
          </cell>
          <cell r="C431" t="str">
            <v>VAR_fout</v>
          </cell>
          <cell r="D431" t="str">
            <v>ELC</v>
          </cell>
          <cell r="E431"/>
          <cell r="F431">
            <v>33.168562213992018</v>
          </cell>
          <cell r="G431">
            <v>33.096695048146067</v>
          </cell>
          <cell r="H431">
            <v>33.168561053282026</v>
          </cell>
          <cell r="I431">
            <v>33.16856095949295</v>
          </cell>
          <cell r="J431">
            <v>33.168560961832526</v>
          </cell>
          <cell r="L431"/>
          <cell r="M431"/>
        </row>
        <row r="432">
          <cell r="B432" t="str">
            <v>ENUC_BMGL_EXT</v>
          </cell>
          <cell r="C432" t="str">
            <v>VAR_fin</v>
          </cell>
          <cell r="D432" t="str">
            <v>URN</v>
          </cell>
          <cell r="E432"/>
          <cell r="F432">
            <v>100.0320557139197</v>
          </cell>
          <cell r="G432">
            <v>99.815313719149884</v>
          </cell>
          <cell r="H432">
            <v>100.03205221336972</v>
          </cell>
          <cell r="I432">
            <v>100.03205193051413</v>
          </cell>
          <cell r="J432">
            <v>100.03205193756989</v>
          </cell>
          <cell r="K432"/>
          <cell r="L432"/>
          <cell r="M432"/>
        </row>
        <row r="433">
          <cell r="B433" t="str">
            <v>ENUC_BMGL_EXT</v>
          </cell>
          <cell r="C433" t="str">
            <v>VAR_ncap</v>
          </cell>
          <cell r="D433" t="str">
            <v>-</v>
          </cell>
          <cell r="E433"/>
          <cell r="F433">
            <v>1.2329269168969399</v>
          </cell>
          <cell r="K433"/>
          <cell r="L433"/>
          <cell r="M433"/>
        </row>
        <row r="434">
          <cell r="B434" t="str">
            <v>ENUC_BMGL_EXT</v>
          </cell>
          <cell r="C434" t="str">
            <v>VAR_cap</v>
          </cell>
          <cell r="D434" t="str">
            <v>-</v>
          </cell>
          <cell r="E434"/>
          <cell r="F434">
            <v>1.2329269168969399</v>
          </cell>
          <cell r="G434">
            <v>1.2329268890717608</v>
          </cell>
          <cell r="H434">
            <v>1.2329268688625079</v>
          </cell>
          <cell r="I434">
            <v>1.2329268529167807</v>
          </cell>
          <cell r="J434">
            <v>1.2329268263418054</v>
          </cell>
          <cell r="K434"/>
        </row>
        <row r="435">
          <cell r="B435" t="str">
            <v>CEN-EBAT</v>
          </cell>
          <cell r="C435" t="str">
            <v>VAR_fout</v>
          </cell>
          <cell r="D435" t="str">
            <v>ELC13</v>
          </cell>
          <cell r="E435">
            <v>2.5929973987593733E-3</v>
          </cell>
          <cell r="F435">
            <v>2.0814658566083691E-3</v>
          </cell>
          <cell r="G435">
            <v>2.5600052789903158E-3</v>
          </cell>
          <cell r="H435">
            <v>2.5672869768567862E-3</v>
          </cell>
          <cell r="I435">
            <v>0.75427501798289287</v>
          </cell>
          <cell r="J435">
            <v>0.98874897835722564</v>
          </cell>
          <cell r="K435">
            <v>1.0143856814069836</v>
          </cell>
          <cell r="L435">
            <v>1.6690511700745874</v>
          </cell>
          <cell r="M435">
            <v>1.9606871611276508</v>
          </cell>
          <cell r="N435">
            <v>2.0452429280471898</v>
          </cell>
          <cell r="O435">
            <v>2.0455657520515067</v>
          </cell>
          <cell r="P435">
            <v>2.1949841375509713</v>
          </cell>
        </row>
        <row r="436">
          <cell r="B436" t="str">
            <v>CEN-EBAT</v>
          </cell>
          <cell r="C436" t="str">
            <v>VAR_fout</v>
          </cell>
          <cell r="D436" t="str">
            <v>AUX_CEN-EBAT_OUT</v>
          </cell>
          <cell r="E436">
            <v>2.5929973987593663E-3</v>
          </cell>
          <cell r="F436">
            <v>2.0814658566083609E-3</v>
          </cell>
          <cell r="G436">
            <v>2.5600052789903076E-3</v>
          </cell>
          <cell r="H436">
            <v>2.5672869768567797E-3</v>
          </cell>
          <cell r="I436">
            <v>0.75427501798289076</v>
          </cell>
          <cell r="J436">
            <v>0.98874897835722286</v>
          </cell>
          <cell r="K436">
            <v>1.0143856814069809</v>
          </cell>
          <cell r="L436">
            <v>1.6690511700745827</v>
          </cell>
          <cell r="M436">
            <v>1.9606871611276457</v>
          </cell>
          <cell r="N436">
            <v>2.0452429280471853</v>
          </cell>
          <cell r="O436">
            <v>2.0455657520515014</v>
          </cell>
          <cell r="P436">
            <v>2.1949841375509624</v>
          </cell>
        </row>
        <row r="437">
          <cell r="B437" t="str">
            <v>CEN-EBAT</v>
          </cell>
          <cell r="C437" t="str">
            <v>VAR_fin</v>
          </cell>
          <cell r="D437" t="str">
            <v>AUX_CEN-EBAT_IN</v>
          </cell>
          <cell r="E437">
            <v>2.9910528310956672E-3</v>
          </cell>
          <cell r="F437">
            <v>2.4012986732612511E-3</v>
          </cell>
          <cell r="G437">
            <v>2.9527096495960549E-3</v>
          </cell>
          <cell r="H437">
            <v>2.9611613890300555E-3</v>
          </cell>
          <cell r="I437">
            <v>0.86994349562722717</v>
          </cell>
          <cell r="J437">
            <v>1.1403738872834799</v>
          </cell>
          <cell r="K437">
            <v>1.1699419703938352</v>
          </cell>
          <cell r="L437">
            <v>1.9250008109953061</v>
          </cell>
          <cell r="M437">
            <v>2.2613590221650153</v>
          </cell>
          <cell r="N437">
            <v>2.3588818843195067</v>
          </cell>
          <cell r="O437">
            <v>2.3592538699539389</v>
          </cell>
          <cell r="P437">
            <v>2.531586089703898</v>
          </cell>
        </row>
        <row r="438">
          <cell r="B438" t="str">
            <v>CEN-EBAT</v>
          </cell>
          <cell r="C438" t="str">
            <v>VAR_fin</v>
          </cell>
          <cell r="D438" t="str">
            <v>ELC13</v>
          </cell>
          <cell r="E438">
            <v>2.9910528310956672E-3</v>
          </cell>
          <cell r="F438">
            <v>2.4012986732612511E-3</v>
          </cell>
          <cell r="G438">
            <v>2.9527096495960549E-3</v>
          </cell>
          <cell r="H438">
            <v>2.9611613890300555E-3</v>
          </cell>
          <cell r="I438">
            <v>0.86994349562722717</v>
          </cell>
          <cell r="J438">
            <v>1.1403738872834799</v>
          </cell>
          <cell r="K438">
            <v>1.1699419703938352</v>
          </cell>
          <cell r="L438">
            <v>1.9250008109953061</v>
          </cell>
          <cell r="M438">
            <v>2.2613590221650153</v>
          </cell>
          <cell r="N438">
            <v>2.3588818843195067</v>
          </cell>
          <cell r="O438">
            <v>2.3592538699539389</v>
          </cell>
          <cell r="P438">
            <v>2.531586089703898</v>
          </cell>
        </row>
        <row r="439">
          <cell r="B439" t="str">
            <v>CEN-EBAT</v>
          </cell>
          <cell r="C439" t="str">
            <v>VAR_ncap</v>
          </cell>
          <cell r="D439" t="str">
            <v>-</v>
          </cell>
          <cell r="E439">
            <v>4.4382352698327102E-4</v>
          </cell>
          <cell r="F439">
            <v>6.8546851105774897E-7</v>
          </cell>
          <cell r="G439">
            <v>2.3012048970670401E-6</v>
          </cell>
          <cell r="H439">
            <v>1.1154682368312401E-4</v>
          </cell>
          <cell r="I439">
            <v>0.28970493825642601</v>
          </cell>
          <cell r="J439">
            <v>0.221495136407757</v>
          </cell>
          <cell r="K439">
            <v>0.13954089227852001</v>
          </cell>
          <cell r="L439">
            <v>0.29605615704231197</v>
          </cell>
          <cell r="M439">
            <v>0.152437243325139</v>
          </cell>
          <cell r="N439">
            <v>0.20714909610561</v>
          </cell>
          <cell r="O439">
            <v>0.27712504638531299</v>
          </cell>
          <cell r="P439">
            <v>9.4448861772789799E-2</v>
          </cell>
        </row>
        <row r="440">
          <cell r="B440" t="str">
            <v>CEN-EBAT</v>
          </cell>
          <cell r="C440" t="str">
            <v>VAR_cap</v>
          </cell>
          <cell r="D440" t="str">
            <v>-</v>
          </cell>
          <cell r="E440">
            <v>4.4382352698327102E-4</v>
          </cell>
          <cell r="F440">
            <v>4.4438992246752154E-4</v>
          </cell>
          <cell r="G440">
            <v>4.4638493304656831E-4</v>
          </cell>
          <cell r="H440">
            <v>4.3839567367524147E-4</v>
          </cell>
          <cell r="I440">
            <v>0.28981709508803194</v>
          </cell>
          <cell r="J440">
            <v>0.51122285330678663</v>
          </cell>
          <cell r="K440">
            <v>0.51125049588290672</v>
          </cell>
          <cell r="L440">
            <v>0.5112575176697326</v>
          </cell>
          <cell r="M440">
            <v>0.51125936665562266</v>
          </cell>
          <cell r="N440">
            <v>0.51126698389624048</v>
          </cell>
          <cell r="O440">
            <v>0.51127271065761404</v>
          </cell>
          <cell r="P440">
            <v>0.51136834845654655</v>
          </cell>
        </row>
        <row r="441">
          <cell r="B441" t="str">
            <v>ESOL-PV</v>
          </cell>
          <cell r="C441" t="str">
            <v>VAR_fout</v>
          </cell>
          <cell r="D441" t="str">
            <v>ELC35</v>
          </cell>
          <cell r="E441"/>
          <cell r="F441"/>
          <cell r="G441">
            <v>0.15619072897983161</v>
          </cell>
          <cell r="H441">
            <v>0.19692868935843383</v>
          </cell>
          <cell r="I441">
            <v>1.0480908104055511</v>
          </cell>
          <cell r="J441">
            <v>1.7954517937670398</v>
          </cell>
          <cell r="K441">
            <v>4.6036274827620369</v>
          </cell>
          <cell r="L441">
            <v>7.4118039213898621</v>
          </cell>
          <cell r="M441">
            <v>6.7200086205901624</v>
          </cell>
          <cell r="N441">
            <v>5.8132993234600354</v>
          </cell>
          <cell r="O441">
            <v>2.8431190060670106</v>
          </cell>
          <cell r="P441">
            <v>2.335033503073055E-2</v>
          </cell>
        </row>
        <row r="442">
          <cell r="B442" t="str">
            <v>ESOL-PV</v>
          </cell>
          <cell r="C442" t="str">
            <v>VAR_fin</v>
          </cell>
          <cell r="D442" t="str">
            <v>SOL</v>
          </cell>
          <cell r="E442"/>
          <cell r="F442"/>
          <cell r="G442">
            <v>0.15619072897983161</v>
          </cell>
          <cell r="H442">
            <v>0.19692868935843383</v>
          </cell>
          <cell r="I442">
            <v>1.0480908104055511</v>
          </cell>
          <cell r="J442">
            <v>1.7954517937670398</v>
          </cell>
          <cell r="K442">
            <v>4.6036274827620369</v>
          </cell>
          <cell r="L442">
            <v>7.4118039213898621</v>
          </cell>
          <cell r="M442">
            <v>6.7200086205901624</v>
          </cell>
          <cell r="N442">
            <v>5.8132993234600354</v>
          </cell>
          <cell r="O442">
            <v>2.8431190060670106</v>
          </cell>
          <cell r="P442">
            <v>2.335033503073055E-2</v>
          </cell>
        </row>
        <row r="443">
          <cell r="B443" t="str">
            <v>ESOL-PV</v>
          </cell>
          <cell r="C443" t="str">
            <v>VAR_fin</v>
          </cell>
          <cell r="D443" t="str">
            <v>SOLPVC</v>
          </cell>
          <cell r="E443"/>
          <cell r="F443"/>
          <cell r="G443">
            <v>0.15619072897983199</v>
          </cell>
          <cell r="H443">
            <v>0.19692868935843399</v>
          </cell>
          <cell r="I443">
            <v>1.04809081040555</v>
          </cell>
          <cell r="J443">
            <v>1.79545179376704</v>
          </cell>
          <cell r="K443">
            <v>4.6036274827620396</v>
          </cell>
          <cell r="L443">
            <v>7.4118039213898701</v>
          </cell>
          <cell r="M443">
            <v>6.7200086205901703</v>
          </cell>
          <cell r="N443">
            <v>5.8132993234600399</v>
          </cell>
          <cell r="O443">
            <v>2.8431190060670102</v>
          </cell>
          <cell r="P443">
            <v>2.3350335030730598E-2</v>
          </cell>
        </row>
        <row r="444">
          <cell r="B444" t="str">
            <v>ESOL-PV</v>
          </cell>
          <cell r="C444" t="str">
            <v>VAR_ncap</v>
          </cell>
          <cell r="D444" t="str">
            <v>-</v>
          </cell>
          <cell r="E444"/>
          <cell r="F444"/>
          <cell r="G444">
            <v>4.49248641432596E-2</v>
          </cell>
          <cell r="H444">
            <v>1.23705992524697E-5</v>
          </cell>
          <cell r="I444">
            <v>0.194227223180197</v>
          </cell>
          <cell r="J444">
            <v>0.17054080451998399</v>
          </cell>
          <cell r="K444">
            <v>0.67777093769708896</v>
          </cell>
          <cell r="L444">
            <v>0.64876512388738605</v>
          </cell>
          <cell r="M444">
            <v>2.24563759867672E-6</v>
          </cell>
          <cell r="N444">
            <v>2.1063393847332999E-6</v>
          </cell>
          <cell r="O444">
            <v>3.9115613648861498E-6</v>
          </cell>
          <cell r="P444">
            <v>5.3211549177732999E-3</v>
          </cell>
        </row>
        <row r="445">
          <cell r="B445" t="str">
            <v>ESOL-PV</v>
          </cell>
          <cell r="C445" t="str">
            <v>VAR_cap</v>
          </cell>
          <cell r="D445" t="str">
            <v>-</v>
          </cell>
          <cell r="E445"/>
          <cell r="F445"/>
          <cell r="G445">
            <v>4.49248641432596E-2</v>
          </cell>
          <cell r="H445">
            <v>4.4937234742512003E-2</v>
          </cell>
          <cell r="I445">
            <v>0.23916445792270899</v>
          </cell>
          <cell r="J445">
            <v>0.40970526244269201</v>
          </cell>
          <cell r="K445">
            <v>1.0505045926865</v>
          </cell>
          <cell r="L445">
            <v>1.69130408928465</v>
          </cell>
          <cell r="M445">
            <v>1.53344294685161</v>
          </cell>
          <cell r="N445">
            <v>1.32654041356146</v>
          </cell>
          <cell r="O445">
            <v>0.64877338742573398</v>
          </cell>
          <cell r="P445">
            <v>5.3294184561216004E-3</v>
          </cell>
        </row>
        <row r="446">
          <cell r="B446" t="str">
            <v>RHEM-SHSTG-CHPNGA</v>
          </cell>
          <cell r="C446" t="str">
            <v>VAR_fout</v>
          </cell>
          <cell r="D446" t="str">
            <v>RHEM_LTH_CHPNGA</v>
          </cell>
          <cell r="E446">
            <v>4.278957681733922E-2</v>
          </cell>
          <cell r="F446">
            <v>5.892399751315532E-5</v>
          </cell>
          <cell r="G446">
            <v>5.9835418232022358E-3</v>
          </cell>
          <cell r="H446">
            <v>1.378212169767579E-2</v>
          </cell>
          <cell r="I446">
            <v>1.5376789653201717E-2</v>
          </cell>
          <cell r="J446">
            <v>8.7410828791075375E-3</v>
          </cell>
          <cell r="K446">
            <v>1.0793684176587264E-4</v>
          </cell>
          <cell r="L446">
            <v>1.5664636143941649E-4</v>
          </cell>
          <cell r="M446">
            <v>1.2609605824642543E-3</v>
          </cell>
          <cell r="N446">
            <v>2.2364529608791075E-3</v>
          </cell>
          <cell r="O446">
            <v>1.699451247473715E-3</v>
          </cell>
          <cell r="P446">
            <v>4.2432264696041378E-3</v>
          </cell>
        </row>
        <row r="447">
          <cell r="B447" t="str">
            <v>RHEM-SHSTG-CHPNGA</v>
          </cell>
          <cell r="C447" t="str">
            <v>VAR_fout</v>
          </cell>
          <cell r="D447" t="str">
            <v>AUX_REM-CHPNGA_OUT</v>
          </cell>
          <cell r="E447">
            <v>4.2789576817339324E-2</v>
          </cell>
          <cell r="F447">
            <v>5.8884741019142675E-5</v>
          </cell>
          <cell r="G447">
            <v>5.9773154529387633E-3</v>
          </cell>
          <cell r="H447">
            <v>1.378212169767579E-2</v>
          </cell>
          <cell r="I447">
            <v>1.5362669552510108E-2</v>
          </cell>
          <cell r="J447">
            <v>8.7410828791075739E-3</v>
          </cell>
          <cell r="K447">
            <v>1.0784873005830892E-4</v>
          </cell>
          <cell r="L447">
            <v>1.5664636143941662E-4</v>
          </cell>
          <cell r="M447">
            <v>1.2609605824642559E-3</v>
          </cell>
          <cell r="N447">
            <v>2.2364529608791101E-3</v>
          </cell>
          <cell r="O447">
            <v>1.6994512474737167E-3</v>
          </cell>
          <cell r="P447">
            <v>4.243226469604143E-3</v>
          </cell>
        </row>
        <row r="448">
          <cell r="B448" t="str">
            <v>RHEM-SHSTG-CHPNGA</v>
          </cell>
          <cell r="C448" t="str">
            <v>VAR_fin</v>
          </cell>
          <cell r="D448" t="str">
            <v>AUX_REM-CHPNGA_IN</v>
          </cell>
          <cell r="E448">
            <v>5.7056538161586859E-2</v>
          </cell>
          <cell r="F448">
            <v>7.73366627739199E-5</v>
          </cell>
          <cell r="G448">
            <v>7.7208935276429158E-3</v>
          </cell>
          <cell r="H448">
            <v>1.7227646121322781E-2</v>
          </cell>
          <cell r="I448">
            <v>1.8638270395868722E-2</v>
          </cell>
          <cell r="J448">
            <v>1.0283676174099313E-2</v>
          </cell>
          <cell r="K448">
            <v>8.9691580819770174E-5</v>
          </cell>
          <cell r="L448">
            <v>1.3353984883406522E-4</v>
          </cell>
          <cell r="M448">
            <v>1.4013225114152799E-3</v>
          </cell>
          <cell r="N448">
            <v>2.4859946986936828E-3</v>
          </cell>
          <cell r="O448">
            <v>1.8885932531713689E-3</v>
          </cell>
          <cell r="P448">
            <v>4.7159640062579408E-3</v>
          </cell>
        </row>
        <row r="449">
          <cell r="B449" t="str">
            <v>RHEM-SHSTG-CHPNGA</v>
          </cell>
          <cell r="C449" t="str">
            <v>VAR_fin</v>
          </cell>
          <cell r="D449" t="str">
            <v>RHEM_LTH_CHPNGA</v>
          </cell>
          <cell r="E449">
            <v>5.7056538161586859E-2</v>
          </cell>
          <cell r="F449">
            <v>7.73366627739199E-5</v>
          </cell>
          <cell r="G449">
            <v>7.7208935276429158E-3</v>
          </cell>
          <cell r="H449">
            <v>1.7227646121322781E-2</v>
          </cell>
          <cell r="I449">
            <v>1.8638270395868722E-2</v>
          </cell>
          <cell r="J449">
            <v>1.0283676174099313E-2</v>
          </cell>
          <cell r="K449">
            <v>8.9691580819770174E-5</v>
          </cell>
          <cell r="L449">
            <v>1.3353984883406522E-4</v>
          </cell>
          <cell r="M449">
            <v>1.4013225114152799E-3</v>
          </cell>
          <cell r="N449">
            <v>2.4859946986936828E-3</v>
          </cell>
          <cell r="O449">
            <v>1.8885932531713689E-3</v>
          </cell>
          <cell r="P449">
            <v>4.7159640062579408E-3</v>
          </cell>
        </row>
        <row r="450">
          <cell r="B450" t="str">
            <v>RHEM-SHSTG-CHPNGA</v>
          </cell>
          <cell r="C450" t="str">
            <v>VAR_ncap</v>
          </cell>
          <cell r="D450" t="str">
            <v>-</v>
          </cell>
          <cell r="E450">
            <v>3.3457297231415202E-3</v>
          </cell>
          <cell r="F450">
            <v>2.1891754918272199E-5</v>
          </cell>
          <cell r="G450">
            <v>1.5575209172532501E-3</v>
          </cell>
          <cell r="H450">
            <v>9.5519645687672597E-4</v>
          </cell>
          <cell r="I450">
            <v>7.1558356843122303E-3</v>
          </cell>
          <cell r="J450">
            <v>1.30169770430203E-4</v>
          </cell>
          <cell r="K450">
            <v>3.1307714770600201E-5</v>
          </cell>
          <cell r="L450">
            <v>2.1996751519605001E-3</v>
          </cell>
          <cell r="M450">
            <v>1.9547950503592999E-4</v>
          </cell>
          <cell r="N450">
            <v>2.2622757920536898E-3</v>
          </cell>
          <cell r="O450">
            <v>7.8659913748029898E-4</v>
          </cell>
          <cell r="P450">
            <v>4.78438642150226E-3</v>
          </cell>
        </row>
        <row r="451">
          <cell r="B451" t="str">
            <v>RHEM-SHSTG-CHPNGA</v>
          </cell>
          <cell r="C451" t="str">
            <v>VAR_cap</v>
          </cell>
          <cell r="D451" t="str">
            <v>-</v>
          </cell>
          <cell r="E451">
            <v>3.3457297231415202E-3</v>
          </cell>
          <cell r="F451">
            <v>3.3620590284574783E-3</v>
          </cell>
          <cell r="G451">
            <v>4.9061915326531992E-3</v>
          </cell>
          <cell r="H451">
            <v>5.8397972801649597E-3</v>
          </cell>
          <cell r="I451">
            <v>1.0512048015455728E-2</v>
          </cell>
          <cell r="J451">
            <v>6.5768939061115698E-3</v>
          </cell>
          <cell r="K451">
            <v>2.4553480214676102E-3</v>
          </cell>
          <cell r="L451">
            <v>2.3341947862317572E-3</v>
          </cell>
          <cell r="M451">
            <v>2.4124731582961388E-3</v>
          </cell>
          <cell r="N451">
            <v>4.6201328752259324E-3</v>
          </cell>
          <cell r="O451">
            <v>3.5166125502266287E-3</v>
          </cell>
          <cell r="P451">
            <v>7.7994120954290539E-3</v>
          </cell>
        </row>
        <row r="452">
          <cell r="B452" t="str">
            <v>RHNS-ESOLPV</v>
          </cell>
          <cell r="C452" t="str">
            <v>VAR_fout</v>
          </cell>
          <cell r="D452" t="str">
            <v>RHNS_SOL_ELC</v>
          </cell>
          <cell r="F452">
            <v>8.7788066450753758E-6</v>
          </cell>
          <cell r="G452">
            <v>6.875650878507898E-4</v>
          </cell>
          <cell r="H452">
            <v>1.4145442913863473E-3</v>
          </cell>
          <cell r="I452">
            <v>1.4894644738973667E-3</v>
          </cell>
          <cell r="J452">
            <v>1.5659712404290447E-3</v>
          </cell>
          <cell r="K452">
            <v>1.6468949561504575E-3</v>
          </cell>
          <cell r="L452">
            <v>1.7323682424675141E-3</v>
          </cell>
          <cell r="M452">
            <v>1.8215671507482859E-3</v>
          </cell>
          <cell r="N452">
            <v>1.9164779570872738E-3</v>
          </cell>
          <cell r="O452">
            <v>2.0172773770720659E-3</v>
          </cell>
          <cell r="P452">
            <v>2.253290198123206E-3</v>
          </cell>
        </row>
        <row r="453">
          <cell r="B453" t="str">
            <v>RHNS-ESOLPV</v>
          </cell>
          <cell r="C453" t="str">
            <v>VAR_fin</v>
          </cell>
          <cell r="D453" t="str">
            <v>SOL</v>
          </cell>
          <cell r="F453">
            <v>8.7788066450753758E-6</v>
          </cell>
          <cell r="G453">
            <v>6.875650878507898E-4</v>
          </cell>
          <cell r="H453">
            <v>1.4145442913863473E-3</v>
          </cell>
          <cell r="I453">
            <v>1.4894644738973667E-3</v>
          </cell>
          <cell r="J453">
            <v>1.5659712404290447E-3</v>
          </cell>
          <cell r="K453">
            <v>1.6468949561504575E-3</v>
          </cell>
          <cell r="L453">
            <v>1.7323682424675141E-3</v>
          </cell>
          <cell r="M453">
            <v>1.8215671507482859E-3</v>
          </cell>
          <cell r="N453">
            <v>1.9164779570872738E-3</v>
          </cell>
          <cell r="O453">
            <v>2.0172773770720659E-3</v>
          </cell>
          <cell r="P453">
            <v>2.253290198123206E-3</v>
          </cell>
        </row>
        <row r="454">
          <cell r="B454" t="str">
            <v>RHNS-ESOLPV</v>
          </cell>
          <cell r="C454" t="str">
            <v>VAR_fin</v>
          </cell>
          <cell r="D454" t="str">
            <v>SOLPVC</v>
          </cell>
          <cell r="F454">
            <v>8.7788066450753808E-6</v>
          </cell>
          <cell r="G454">
            <v>6.8756508785078904E-4</v>
          </cell>
          <cell r="H454">
            <v>1.4145442913863499E-3</v>
          </cell>
          <cell r="I454">
            <v>1.4894644738973699E-3</v>
          </cell>
          <cell r="J454">
            <v>1.5659712404290399E-3</v>
          </cell>
          <cell r="K454">
            <v>1.6468949561504599E-3</v>
          </cell>
          <cell r="L454">
            <v>1.73236824246751E-3</v>
          </cell>
          <cell r="M454">
            <v>1.82156715074828E-3</v>
          </cell>
          <cell r="N454">
            <v>1.9164779570872701E-3</v>
          </cell>
          <cell r="O454">
            <v>2.0172773770720598E-3</v>
          </cell>
          <cell r="P454">
            <v>2.2532901981232099E-3</v>
          </cell>
        </row>
        <row r="455">
          <cell r="B455" t="str">
            <v>RHNS-ESOLPV</v>
          </cell>
          <cell r="C455" t="str">
            <v>VAR_ncap</v>
          </cell>
          <cell r="D455" t="str">
            <v>-</v>
          </cell>
          <cell r="F455">
            <v>3.0415171818718798E-6</v>
          </cell>
          <cell r="G455">
            <v>2.1638286222881099E-4</v>
          </cell>
          <cell r="H455">
            <v>1.8844327959706601E-4</v>
          </cell>
          <cell r="I455">
            <v>2.14936993228345E-5</v>
          </cell>
          <cell r="J455">
            <v>2.3304846123785802E-5</v>
          </cell>
          <cell r="K455">
            <v>2.6297703262437999E-4</v>
          </cell>
          <cell r="L455">
            <v>1.9168000070728E-4</v>
          </cell>
          <cell r="M455">
            <v>4.38060706931234E-5</v>
          </cell>
          <cell r="N455">
            <v>5.4113108990408199E-5</v>
          </cell>
          <cell r="O455">
            <v>2.9211389788977402E-4</v>
          </cell>
          <cell r="P455">
            <v>2.5984871190249802E-4</v>
          </cell>
        </row>
        <row r="456">
          <cell r="B456" t="str">
            <v>RHNS-ESOLPV</v>
          </cell>
          <cell r="C456" t="str">
            <v>VAR_cap</v>
          </cell>
          <cell r="D456" t="str">
            <v>-</v>
          </cell>
          <cell r="F456">
            <v>3.0415171818718798E-6</v>
          </cell>
          <cell r="G456">
            <v>2.1942437941068301E-4</v>
          </cell>
          <cell r="H456">
            <v>4.07867659007749E-4</v>
          </cell>
          <cell r="I456">
            <v>4.2936135833058402E-4</v>
          </cell>
          <cell r="J456">
            <v>4.5149446028797802E-4</v>
          </cell>
          <cell r="K456">
            <v>4.7480590690113402E-4</v>
          </cell>
          <cell r="L456">
            <v>4.9945557877828105E-4</v>
          </cell>
          <cell r="M456">
            <v>5.2520480258881098E-4</v>
          </cell>
          <cell r="N456">
            <v>5.5257621301519201E-4</v>
          </cell>
          <cell r="O456">
            <v>5.8171307828058501E-4</v>
          </cell>
          <cell r="P456">
            <v>6.4988178947580303E-4</v>
          </cell>
        </row>
        <row r="457">
          <cell r="B457" t="str">
            <v>RHSA-WHSTG-CHP</v>
          </cell>
          <cell r="C457" t="str">
            <v>VAR_fout</v>
          </cell>
          <cell r="D457" t="str">
            <v>AUX_RHSA-CHP_OUT</v>
          </cell>
          <cell r="E457">
            <v>7.9878893371333888</v>
          </cell>
          <cell r="F457">
            <v>7.8358140264331926E-5</v>
          </cell>
          <cell r="G457">
            <v>2.1668821838076975E-3</v>
          </cell>
          <cell r="H457">
            <v>2.2258792165148447</v>
          </cell>
          <cell r="I457">
            <v>2.5165376964870294</v>
          </cell>
          <cell r="J457">
            <v>0.87136919135761581</v>
          </cell>
          <cell r="K457">
            <v>2.9596267583499913</v>
          </cell>
          <cell r="L457">
            <v>0.55892296002936748</v>
          </cell>
          <cell r="M457">
            <v>0.86696582021365742</v>
          </cell>
          <cell r="N457">
            <v>1.0715933649526064</v>
          </cell>
          <cell r="O457">
            <v>0.67505679973781396</v>
          </cell>
          <cell r="P457">
            <v>2.7676991626681731</v>
          </cell>
        </row>
        <row r="458">
          <cell r="B458" t="str">
            <v>RHSA-WHSTG-CHP</v>
          </cell>
          <cell r="C458" t="str">
            <v>VAR_fout</v>
          </cell>
          <cell r="D458" t="str">
            <v>RHSA_LTH</v>
          </cell>
          <cell r="E458">
            <v>7.9878893371333657</v>
          </cell>
          <cell r="F458">
            <v>7.8410379024508044E-5</v>
          </cell>
          <cell r="G458">
            <v>2.1691393527491615E-3</v>
          </cell>
          <cell r="H458">
            <v>2.2258792165148447</v>
          </cell>
          <cell r="I458">
            <v>2.5188506906933554</v>
          </cell>
          <cell r="J458">
            <v>0.87136919135761348</v>
          </cell>
          <cell r="K458">
            <v>2.9620447540675907</v>
          </cell>
          <cell r="L458">
            <v>0.55892296002936703</v>
          </cell>
          <cell r="M458">
            <v>0.86696582021365665</v>
          </cell>
          <cell r="N458">
            <v>1.0715933649526062</v>
          </cell>
          <cell r="O458">
            <v>0.67505679973781352</v>
          </cell>
          <cell r="P458">
            <v>2.7676991626681691</v>
          </cell>
        </row>
        <row r="459">
          <cell r="B459" t="str">
            <v>RHSA-WHSTG-CHP</v>
          </cell>
          <cell r="C459" t="str">
            <v>VAR_fin</v>
          </cell>
          <cell r="D459" t="str">
            <v>RHSA_LTH</v>
          </cell>
          <cell r="E459">
            <v>10.650519116177657</v>
          </cell>
          <cell r="F459">
            <v>9.8137367867448443E-5</v>
          </cell>
          <cell r="G459">
            <v>2.800979091352501E-3</v>
          </cell>
          <cell r="H459">
            <v>2.7823506111413345</v>
          </cell>
          <cell r="I459">
            <v>3.053154154313463</v>
          </cell>
          <cell r="J459">
            <v>1.0251413678610686</v>
          </cell>
          <cell r="K459">
            <v>3.3851957145560596</v>
          </cell>
          <cell r="L459">
            <v>0.62102770887278957</v>
          </cell>
          <cell r="M459">
            <v>0.96329647473615776</v>
          </cell>
          <cell r="N459">
            <v>1.1906614799299386</v>
          </cell>
          <cell r="O459">
            <v>0.75006487757220919</v>
          </cell>
          <cell r="P459">
            <v>3.0752245505301787</v>
          </cell>
        </row>
        <row r="460">
          <cell r="B460" t="str">
            <v>RHSA-WHSTG-CHP</v>
          </cell>
          <cell r="C460" t="str">
            <v>VAR_fin</v>
          </cell>
          <cell r="D460" t="str">
            <v>AUX_RHSA-CHP_IN</v>
          </cell>
          <cell r="E460">
            <v>10.650519116177657</v>
          </cell>
          <cell r="F460">
            <v>9.8137367867448443E-5</v>
          </cell>
          <cell r="G460">
            <v>2.800979091352501E-3</v>
          </cell>
          <cell r="H460">
            <v>2.7823506111413345</v>
          </cell>
          <cell r="I460">
            <v>3.053154154313463</v>
          </cell>
          <cell r="J460">
            <v>1.0251413678610686</v>
          </cell>
          <cell r="K460">
            <v>3.3851957145560596</v>
          </cell>
          <cell r="L460">
            <v>0.62102770887278957</v>
          </cell>
          <cell r="M460">
            <v>0.96329647473615776</v>
          </cell>
          <cell r="N460">
            <v>1.1906614799299386</v>
          </cell>
          <cell r="O460">
            <v>0.75006487757220919</v>
          </cell>
          <cell r="P460">
            <v>3.0752245505301787</v>
          </cell>
        </row>
        <row r="461">
          <cell r="B461" t="str">
            <v>RHSA-WHSTG-CHP</v>
          </cell>
          <cell r="C461" t="str">
            <v>VAR_ncap</v>
          </cell>
          <cell r="D461" t="str">
            <v>-</v>
          </cell>
          <cell r="E461">
            <v>0.50591076460027595</v>
          </cell>
          <cell r="F461">
            <v>1.1165063685974301E-5</v>
          </cell>
          <cell r="G461">
            <v>1.5336126954113699E-5</v>
          </cell>
          <cell r="H461">
            <v>1.6618140700899098E-5</v>
          </cell>
          <cell r="I461">
            <v>0.123055352986695</v>
          </cell>
          <cell r="J461">
            <v>1.0532558902049199E-4</v>
          </cell>
          <cell r="K461">
            <v>6.4646414761985294E-2</v>
          </cell>
          <cell r="L461">
            <v>6.6905773137177903E-4</v>
          </cell>
          <cell r="M461">
            <v>5.9143906561712504E-4</v>
          </cell>
          <cell r="N461">
            <v>6.7031287040423701E-2</v>
          </cell>
          <cell r="O461">
            <v>1.78711861321646E-4</v>
          </cell>
          <cell r="P461">
            <v>0.108476335012948</v>
          </cell>
        </row>
        <row r="462">
          <cell r="B462" t="str">
            <v>RHSA-WHSTG-CHP</v>
          </cell>
          <cell r="C462" t="str">
            <v>VAR_cap</v>
          </cell>
          <cell r="D462" t="str">
            <v>-</v>
          </cell>
          <cell r="E462">
            <v>0.50659488188757285</v>
          </cell>
          <cell r="F462">
            <v>0.1413581931180839</v>
          </cell>
          <cell r="G462">
            <v>0.14125760603326298</v>
          </cell>
          <cell r="H462">
            <v>0.1411991369990942</v>
          </cell>
          <cell r="I462">
            <v>0.15968283583976289</v>
          </cell>
          <cell r="J462">
            <v>0.12315729075962652</v>
          </cell>
          <cell r="K462">
            <v>0.18778695524674513</v>
          </cell>
          <cell r="L462">
            <v>6.5393242605224042E-2</v>
          </cell>
          <cell r="M462">
            <v>5.7312173851833195E-2</v>
          </cell>
          <cell r="N462">
            <v>6.826213994158592E-2</v>
          </cell>
          <cell r="O462">
            <v>6.7676433556793578E-2</v>
          </cell>
          <cell r="P462">
            <v>0.17565423565850447</v>
          </cell>
        </row>
        <row r="463">
          <cell r="B463" t="str">
            <v>G-INTC-SER</v>
          </cell>
          <cell r="C463" t="str">
            <v>VAR_fout</v>
          </cell>
          <cell r="D463" t="str">
            <v>ELC35</v>
          </cell>
          <cell r="E463">
            <v>49.228249817202467</v>
          </cell>
          <cell r="F463">
            <v>2.7520164667711225E-3</v>
          </cell>
          <cell r="G463">
            <v>3.9587476442554973E-3</v>
          </cell>
          <cell r="H463">
            <v>1.5211814804556045E-3</v>
          </cell>
          <cell r="I463">
            <v>2.8962796906089362E-2</v>
          </cell>
          <cell r="J463">
            <v>2.652821901981984E-3</v>
          </cell>
          <cell r="K463">
            <v>2.5962983266602999E-3</v>
          </cell>
          <cell r="L463">
            <v>6.4167027478979552E-3</v>
          </cell>
          <cell r="M463">
            <v>1.2631080928624317E-2</v>
          </cell>
          <cell r="N463">
            <v>7.229125547504979E-2</v>
          </cell>
          <cell r="O463">
            <v>0.26929726185762232</v>
          </cell>
          <cell r="P463">
            <v>0.7056821615713682</v>
          </cell>
        </row>
        <row r="464">
          <cell r="B464" t="str">
            <v>G-INTC-SER</v>
          </cell>
          <cell r="C464" t="str">
            <v>VAR_fout</v>
          </cell>
          <cell r="D464" t="str">
            <v>SCOM_ELC</v>
          </cell>
          <cell r="E464">
            <v>60.027741514899539</v>
          </cell>
          <cell r="F464">
            <v>58.57999799215812</v>
          </cell>
          <cell r="G464">
            <v>61.851809924873933</v>
          </cell>
          <cell r="H464">
            <v>63.568661757810958</v>
          </cell>
          <cell r="I464">
            <v>60.273594664849298</v>
          </cell>
          <cell r="J464">
            <v>62.963863827671403</v>
          </cell>
          <cell r="K464">
            <v>61.656236964863659</v>
          </cell>
          <cell r="L464">
            <v>65.838345811370345</v>
          </cell>
          <cell r="M464">
            <v>67.842673445881118</v>
          </cell>
          <cell r="N464">
            <v>66.781340621671688</v>
          </cell>
          <cell r="O464">
            <v>66.44553869475962</v>
          </cell>
          <cell r="P464">
            <v>65.703229735417807</v>
          </cell>
        </row>
        <row r="465">
          <cell r="B465" t="str">
            <v>G-INTC-SER</v>
          </cell>
          <cell r="C465" t="str">
            <v>VAR_fin</v>
          </cell>
          <cell r="D465" t="str">
            <v>ELC5</v>
          </cell>
          <cell r="E465">
            <v>109.25598996123288</v>
          </cell>
          <cell r="F465">
            <v>58.582750008624814</v>
          </cell>
          <cell r="G465">
            <v>61.855768672518167</v>
          </cell>
          <cell r="H465">
            <v>63.570182939291477</v>
          </cell>
          <cell r="I465">
            <v>60.302557461755399</v>
          </cell>
          <cell r="J465">
            <v>62.96651664957335</v>
          </cell>
          <cell r="K465">
            <v>61.658833263190267</v>
          </cell>
          <cell r="L465">
            <v>65.844762514118287</v>
          </cell>
          <cell r="M465">
            <v>67.855304526809775</v>
          </cell>
          <cell r="N465">
            <v>66.853631877146739</v>
          </cell>
          <cell r="O465">
            <v>66.714835956617264</v>
          </cell>
          <cell r="P465">
            <v>66.408911896989153</v>
          </cell>
        </row>
        <row r="466">
          <cell r="B466" t="str">
            <v>G-INTC-SER</v>
          </cell>
          <cell r="C466" t="str">
            <v>VAR_ncap</v>
          </cell>
          <cell r="D466" t="str">
            <v>-</v>
          </cell>
          <cell r="E466">
            <v>3.0613948275243001E-8</v>
          </cell>
          <cell r="F466">
            <v>3.0084814197342002E-8</v>
          </cell>
          <cell r="G466">
            <v>3.3089121869148099E-8</v>
          </cell>
          <cell r="H466">
            <v>3.7336144587566298E-8</v>
          </cell>
          <cell r="I466">
            <v>6.9294605669170702E-8</v>
          </cell>
          <cell r="J466">
            <v>8.4023582849529594E-8</v>
          </cell>
          <cell r="K466">
            <v>1.0886029621061299E-7</v>
          </cell>
          <cell r="L466">
            <v>1.3982525594774399E-7</v>
          </cell>
          <cell r="M466">
            <v>1.9266195426139799E-7</v>
          </cell>
          <cell r="N466">
            <v>3.1400268721839801E-7</v>
          </cell>
          <cell r="O466">
            <v>6.6178348922076695E-7</v>
          </cell>
        </row>
        <row r="467">
          <cell r="B467" t="str">
            <v>G-INTC-SER</v>
          </cell>
          <cell r="C467" t="str">
            <v>VAR_cap</v>
          </cell>
          <cell r="D467" t="str">
            <v>-</v>
          </cell>
          <cell r="E467">
            <v>4.3683888589490198</v>
          </cell>
          <cell r="F467">
            <v>4.3683888689027519</v>
          </cell>
          <cell r="G467">
            <v>4.3683889196477823</v>
          </cell>
          <cell r="H467">
            <v>4.3683889732788526</v>
          </cell>
          <cell r="I467">
            <v>4.3683890067604283</v>
          </cell>
          <cell r="J467">
            <v>4.3683890917377308</v>
          </cell>
          <cell r="K467">
            <v>4.3683891958062731</v>
          </cell>
          <cell r="L467">
            <v>4.3683892522515331</v>
          </cell>
          <cell r="M467">
            <v>4.3683894980773434</v>
          </cell>
          <cell r="N467">
            <v>4.368389660356204</v>
          </cell>
          <cell r="O467">
            <v>4.3683902173829043</v>
          </cell>
          <cell r="P467">
            <v>4.3683905605249205</v>
          </cell>
        </row>
        <row r="468">
          <cell r="B468" t="str">
            <v>CHPWOD</v>
          </cell>
          <cell r="C468" t="str">
            <v>VAR_fout</v>
          </cell>
          <cell r="D468" t="str">
            <v>ELC35</v>
          </cell>
          <cell r="E468">
            <v>7.4245459508893566E-2</v>
          </cell>
          <cell r="F468">
            <v>2.4587559078031285E-4</v>
          </cell>
          <cell r="G468">
            <v>1.1427044199265228E-2</v>
          </cell>
          <cell r="H468">
            <v>8.6902106261840285E-4</v>
          </cell>
          <cell r="I468">
            <v>1.867660113533564E-3</v>
          </cell>
          <cell r="J468">
            <v>0.72174739669015575</v>
          </cell>
          <cell r="K468">
            <v>1.1209104046809801</v>
          </cell>
          <cell r="L468">
            <v>0.96478518086546161</v>
          </cell>
          <cell r="M468">
            <v>0.93945153777353674</v>
          </cell>
          <cell r="N468">
            <v>0.94124096006153846</v>
          </cell>
          <cell r="O468">
            <v>0.94174646444625298</v>
          </cell>
          <cell r="P468">
            <v>0.94367830730599511</v>
          </cell>
        </row>
        <row r="469">
          <cell r="B469" t="str">
            <v>CHPWOD</v>
          </cell>
          <cell r="C469" t="str">
            <v>VAR_fout</v>
          </cell>
          <cell r="D469" t="str">
            <v>LTH</v>
          </cell>
          <cell r="E469">
            <v>0.19416559238623654</v>
          </cell>
          <cell r="F469">
            <v>6.4301009183540263E-4</v>
          </cell>
          <cell r="G469">
            <v>2.9883831561555205E-2</v>
          </cell>
          <cell r="H469">
            <v>2.2726506177688471E-3</v>
          </cell>
          <cell r="I469">
            <v>4.8842762199747944E-3</v>
          </cell>
          <cell r="J469">
            <v>1.8875027746953552</v>
          </cell>
          <cell r="K469">
            <v>2.9313877801605934</v>
          </cell>
          <cell r="L469">
            <v>2.5230914780151039</v>
          </cell>
          <cell r="M469">
            <v>2.456839321307041</v>
          </cell>
          <cell r="N469">
            <v>2.4615189911599504</v>
          </cell>
          <cell r="O469">
            <v>2.4628409785105743</v>
          </cell>
          <cell r="P469">
            <v>2.4678931044687169</v>
          </cell>
        </row>
        <row r="470">
          <cell r="B470" t="str">
            <v>CHPWOD</v>
          </cell>
          <cell r="C470" t="str">
            <v>VAR_fin</v>
          </cell>
          <cell r="D470" t="str">
            <v>EWOD</v>
          </cell>
          <cell r="E470">
            <v>0.30464069468003807</v>
          </cell>
          <cell r="F470">
            <v>1.1210156953934073E-3</v>
          </cell>
          <cell r="G470">
            <v>4.4801284564844113E-2</v>
          </cell>
          <cell r="H470">
            <v>3.7538353223716247E-3</v>
          </cell>
          <cell r="I470">
            <v>7.2292565122209365E-3</v>
          </cell>
          <cell r="J470">
            <v>2.3577558989885024</v>
          </cell>
          <cell r="K470">
            <v>3.6652864523652169</v>
          </cell>
          <cell r="L470">
            <v>3.1516824876116853</v>
          </cell>
          <cell r="M470">
            <v>3.069377250238245</v>
          </cell>
          <cell r="N470">
            <v>3.0807563507552</v>
          </cell>
          <cell r="O470">
            <v>3.0781848738831723</v>
          </cell>
          <cell r="P470">
            <v>3.0893291376033627</v>
          </cell>
        </row>
        <row r="471">
          <cell r="B471" t="str">
            <v>CHPWOD</v>
          </cell>
          <cell r="C471" t="str">
            <v>VAR_ncap</v>
          </cell>
          <cell r="D471" t="str">
            <v>-</v>
          </cell>
          <cell r="F471">
            <v>1.1538085741276901E-7</v>
          </cell>
          <cell r="G471">
            <v>3.8175175982212801E-4</v>
          </cell>
          <cell r="H471">
            <v>3.6227739245733601E-7</v>
          </cell>
          <cell r="I471">
            <v>8.9737579189105596E-5</v>
          </cell>
          <cell r="J471">
            <v>6.0513886239900297E-2</v>
          </cell>
          <cell r="K471">
            <v>2.5222404448722101E-6</v>
          </cell>
          <cell r="L471">
            <v>1.9729007764819499E-6</v>
          </cell>
          <cell r="M471">
            <v>5.5107238252026204E-6</v>
          </cell>
          <cell r="N471">
            <v>5.1571539191437997E-2</v>
          </cell>
          <cell r="O471">
            <v>5.0379892946383602E-3</v>
          </cell>
          <cell r="P471">
            <v>1.34771279558033E-6</v>
          </cell>
        </row>
        <row r="472">
          <cell r="B472" t="str">
            <v>CHPWOD</v>
          </cell>
          <cell r="C472" t="str">
            <v>VAR_cap</v>
          </cell>
          <cell r="D472" t="str">
            <v>-</v>
          </cell>
          <cell r="E472">
            <v>2.8668198411831991E-3</v>
          </cell>
          <cell r="F472">
            <v>4.4878986714513847E-5</v>
          </cell>
          <cell r="G472">
            <v>4.2641330371263886E-4</v>
          </cell>
          <cell r="H472">
            <v>1.5836190986539753E-4</v>
          </cell>
          <cell r="I472">
            <v>2.475288625333142E-4</v>
          </cell>
          <cell r="J472">
            <v>6.0760594501631404E-2</v>
          </cell>
          <cell r="K472">
            <v>6.0633560448074171E-2</v>
          </cell>
          <cell r="L472">
            <v>5.9424744000120842E-2</v>
          </cell>
          <cell r="M472">
            <v>5.1555299822402686E-2</v>
          </cell>
          <cell r="N472">
            <v>5.1580365222872078E-2</v>
          </cell>
          <cell r="O472">
            <v>5.6616060539880934E-2</v>
          </cell>
          <cell r="P472">
            <v>5.6612187814916594E-2</v>
          </cell>
        </row>
        <row r="473">
          <cell r="B473" t="str">
            <v>D-EH2R</v>
          </cell>
          <cell r="C473" t="str">
            <v>VAR_fout</v>
          </cell>
          <cell r="D473" t="str">
            <v>EH2</v>
          </cell>
          <cell r="J473">
            <v>5.2082133617348557E-2</v>
          </cell>
          <cell r="K473">
            <v>0.32393478903593703</v>
          </cell>
          <cell r="L473">
            <v>0.46755058785886366</v>
          </cell>
          <cell r="M473">
            <v>8.1899128725521214E-2</v>
          </cell>
          <cell r="N473">
            <v>8.2215332371654917E-3</v>
          </cell>
          <cell r="O473">
            <v>6.8368368430725968E-3</v>
          </cell>
          <cell r="P473">
            <v>1.5414543629503176E-2</v>
          </cell>
        </row>
        <row r="474">
          <cell r="B474" t="str">
            <v>D-EH2R</v>
          </cell>
          <cell r="C474" t="str">
            <v>VAR_fin</v>
          </cell>
          <cell r="D474" t="str">
            <v>H2</v>
          </cell>
          <cell r="J474">
            <v>5.2082133617348557E-2</v>
          </cell>
          <cell r="K474">
            <v>0.32393478903593703</v>
          </cell>
          <cell r="L474">
            <v>0.46755058785886366</v>
          </cell>
          <cell r="M474">
            <v>8.1899128725521214E-2</v>
          </cell>
          <cell r="N474">
            <v>8.2215332371654917E-3</v>
          </cell>
          <cell r="O474">
            <v>6.8368368430725968E-3</v>
          </cell>
          <cell r="P474">
            <v>1.5414543629503176E-2</v>
          </cell>
        </row>
        <row r="475">
          <cell r="B475" t="str">
            <v>D-EH2R</v>
          </cell>
          <cell r="C475" t="str">
            <v>VAR_ncap</v>
          </cell>
          <cell r="D475" t="str">
            <v>-</v>
          </cell>
          <cell r="I475">
            <v>6.4650246226006496E-7</v>
          </cell>
          <cell r="J475">
            <v>2.4007288911157901E-3</v>
          </cell>
          <cell r="K475">
            <v>1.3103223921507701E-2</v>
          </cell>
          <cell r="L475">
            <v>5.4437656647070599E-3</v>
          </cell>
          <cell r="M475">
            <v>2.14330422282632E-4</v>
          </cell>
          <cell r="N475">
            <v>2.5150465004406398E-4</v>
          </cell>
          <cell r="O475">
            <v>3.0189387902386999E-4</v>
          </cell>
          <cell r="P475">
            <v>5.4018327651269204E-4</v>
          </cell>
        </row>
        <row r="476">
          <cell r="B476" t="str">
            <v>D-EH2R</v>
          </cell>
          <cell r="C476" t="str">
            <v>VAR_cap</v>
          </cell>
          <cell r="D476" t="str">
            <v>-</v>
          </cell>
          <cell r="I476">
            <v>6.4650246226006496E-7</v>
          </cell>
          <cell r="J476">
            <v>2.4008646546531901E-3</v>
          </cell>
          <cell r="K476">
            <v>1.3103223921507701E-2</v>
          </cell>
          <cell r="L476">
            <v>1.8546989586214702E-2</v>
          </cell>
          <cell r="M476">
            <v>3.88020641334413E-3</v>
          </cell>
          <cell r="N476">
            <v>4.14220475289393E-4</v>
          </cell>
          <cell r="O476">
            <v>3.46440866348777E-4</v>
          </cell>
          <cell r="P476">
            <v>8.4207715553656203E-4</v>
          </cell>
        </row>
        <row r="477">
          <cell r="B477" t="str">
            <v>G-INTC1</v>
          </cell>
          <cell r="C477" t="str">
            <v>VAR_fout</v>
          </cell>
          <cell r="D477" t="str">
            <v>ELC13</v>
          </cell>
          <cell r="E477">
            <v>124.98482455054686</v>
          </cell>
          <cell r="F477">
            <v>139.91611203135619</v>
          </cell>
          <cell r="G477">
            <v>123.5639488424271</v>
          </cell>
          <cell r="H477">
            <v>114.32488257694877</v>
          </cell>
          <cell r="I477">
            <v>121.36273681935252</v>
          </cell>
          <cell r="J477">
            <v>121.27448638896425</v>
          </cell>
          <cell r="K477">
            <v>117.396953329358</v>
          </cell>
          <cell r="L477">
            <v>126.45974809636027</v>
          </cell>
          <cell r="M477">
            <v>136.3402825141082</v>
          </cell>
          <cell r="N477">
            <v>136.93661938573834</v>
          </cell>
          <cell r="O477">
            <v>135.30560910477496</v>
          </cell>
          <cell r="P477">
            <v>132.79091072705279</v>
          </cell>
        </row>
        <row r="478">
          <cell r="B478" t="str">
            <v>G-INTC1</v>
          </cell>
          <cell r="C478" t="str">
            <v>VAR_fin</v>
          </cell>
          <cell r="D478" t="str">
            <v>ELC</v>
          </cell>
          <cell r="E478">
            <v>126.30104440932064</v>
          </cell>
          <cell r="F478">
            <v>143.54271455498682</v>
          </cell>
          <cell r="G478">
            <v>126.4915250133263</v>
          </cell>
          <cell r="H478">
            <v>116.61166478999407</v>
          </cell>
          <cell r="I478">
            <v>123.34564459165935</v>
          </cell>
          <cell r="J478">
            <v>122.81480712457653</v>
          </cell>
          <cell r="K478">
            <v>118.46403070312134</v>
          </cell>
          <cell r="L478">
            <v>127.15572182101688</v>
          </cell>
          <cell r="M478">
            <v>137.09063395534125</v>
          </cell>
          <cell r="N478">
            <v>137.69025277873808</v>
          </cell>
          <cell r="O478">
            <v>136.05026620043674</v>
          </cell>
          <cell r="P478">
            <v>133.52172813045931</v>
          </cell>
        </row>
        <row r="479">
          <cell r="B479" t="str">
            <v>G-INTC1</v>
          </cell>
          <cell r="C479" t="str">
            <v>VAR_ncap</v>
          </cell>
          <cell r="D479" t="str">
            <v>-</v>
          </cell>
          <cell r="E479">
            <v>5.5221471990543499E-8</v>
          </cell>
          <cell r="F479">
            <v>5.4862318890166698E-8</v>
          </cell>
          <cell r="G479">
            <v>6.1072300479089004E-8</v>
          </cell>
          <cell r="H479">
            <v>7.3205913267428395E-8</v>
          </cell>
          <cell r="I479">
            <v>9.54467090863227E-8</v>
          </cell>
          <cell r="J479">
            <v>1.4209982217032199E-7</v>
          </cell>
          <cell r="K479">
            <v>1.63669061652244E-7</v>
          </cell>
          <cell r="L479">
            <v>2.5292533341288101E-7</v>
          </cell>
          <cell r="M479">
            <v>3.82928372151297E-7</v>
          </cell>
          <cell r="N479">
            <v>1.36446762679193E-6</v>
          </cell>
        </row>
        <row r="480">
          <cell r="B480" t="str">
            <v>G-INTC1</v>
          </cell>
          <cell r="C480" t="str">
            <v>VAR_cap</v>
          </cell>
          <cell r="D480" t="str">
            <v>-</v>
          </cell>
          <cell r="E480">
            <v>15.305609183965201</v>
          </cell>
          <cell r="F480">
            <v>15.305609183965201</v>
          </cell>
          <cell r="G480">
            <v>15.305609183965201</v>
          </cell>
          <cell r="H480">
            <v>15.305609236704205</v>
          </cell>
          <cell r="I480">
            <v>15.305609372750585</v>
          </cell>
          <cell r="J480">
            <v>15.305609428327205</v>
          </cell>
          <cell r="K480">
            <v>15.305609529113934</v>
          </cell>
          <cell r="L480">
            <v>15.305609665873737</v>
          </cell>
          <cell r="M480">
            <v>15.305609804394379</v>
          </cell>
          <cell r="N480">
            <v>15.305610174684128</v>
          </cell>
          <cell r="O480">
            <v>15.305610465396503</v>
          </cell>
          <cell r="P480">
            <v>15.30561182986413</v>
          </cell>
        </row>
        <row r="481">
          <cell r="B481" t="str">
            <v>EHYD-RUNS00</v>
          </cell>
          <cell r="C481" t="str">
            <v>VAR_fout</v>
          </cell>
          <cell r="D481" t="str">
            <v>ELC35</v>
          </cell>
          <cell r="E481">
            <v>12.240000103102414</v>
          </cell>
          <cell r="F481">
            <v>12.242004138120929</v>
          </cell>
          <cell r="G481">
            <v>12.244844203818692</v>
          </cell>
          <cell r="H481">
            <v>12.252278365653812</v>
          </cell>
          <cell r="I481">
            <v>12.26024633667283</v>
          </cell>
          <cell r="J481">
            <v>12.26838699822718</v>
          </cell>
          <cell r="K481">
            <v>12.276500460710503</v>
          </cell>
          <cell r="L481">
            <v>12.284768344381281</v>
          </cell>
          <cell r="M481">
            <v>12.284770609022912</v>
          </cell>
          <cell r="N481">
            <v>12.284933793290493</v>
          </cell>
          <cell r="O481">
            <v>12.28484639243343</v>
          </cell>
          <cell r="P481">
            <v>12.284246253785916</v>
          </cell>
        </row>
        <row r="482">
          <cell r="B482" t="str">
            <v>EHYD-RUNS00</v>
          </cell>
          <cell r="C482" t="str">
            <v>VAR_fin</v>
          </cell>
          <cell r="D482" t="str">
            <v>HYDR</v>
          </cell>
          <cell r="E482">
            <v>12.240000103102414</v>
          </cell>
          <cell r="F482">
            <v>12.242004138120929</v>
          </cell>
          <cell r="G482">
            <v>12.244844203818692</v>
          </cell>
          <cell r="H482">
            <v>12.252278365653812</v>
          </cell>
          <cell r="I482">
            <v>12.26024633667283</v>
          </cell>
          <cell r="J482">
            <v>12.26838699822718</v>
          </cell>
          <cell r="K482">
            <v>12.276500460710503</v>
          </cell>
          <cell r="L482">
            <v>12.284768344381281</v>
          </cell>
          <cell r="M482">
            <v>12.284770609022912</v>
          </cell>
          <cell r="N482">
            <v>12.284933793290493</v>
          </cell>
          <cell r="O482">
            <v>12.28484639243343</v>
          </cell>
          <cell r="P482">
            <v>12.284246253785916</v>
          </cell>
        </row>
        <row r="483">
          <cell r="B483" t="str">
            <v>EHYD-RUNS00</v>
          </cell>
          <cell r="C483" t="str">
            <v>VAR_cap</v>
          </cell>
          <cell r="D483" t="str">
            <v>-</v>
          </cell>
          <cell r="E483">
            <v>0.85785999999999896</v>
          </cell>
          <cell r="F483">
            <v>0.88297936593724102</v>
          </cell>
          <cell r="G483">
            <v>0.89707999999999899</v>
          </cell>
          <cell r="H483">
            <v>0.89707999999999899</v>
          </cell>
          <cell r="I483">
            <v>0.89707999999999899</v>
          </cell>
          <cell r="J483">
            <v>0.89707999999999899</v>
          </cell>
          <cell r="K483">
            <v>0.89707999999999899</v>
          </cell>
          <cell r="L483">
            <v>0.89707999999999899</v>
          </cell>
          <cell r="M483">
            <v>0.89707999999999899</v>
          </cell>
          <cell r="N483">
            <v>0.89707999999999899</v>
          </cell>
          <cell r="O483">
            <v>0.89707999999999899</v>
          </cell>
          <cell r="P483">
            <v>0.89707999999999899</v>
          </cell>
        </row>
        <row r="484">
          <cell r="B484" t="str">
            <v>ENUC_AMR_GOE_V</v>
          </cell>
          <cell r="C484" t="str">
            <v>VAR_fout</v>
          </cell>
          <cell r="D484" t="str">
            <v>HTH</v>
          </cell>
          <cell r="K484"/>
          <cell r="M484">
            <v>0.24287990602498108</v>
          </cell>
          <cell r="N484">
            <v>0.62536335282959299</v>
          </cell>
          <cell r="O484">
            <v>0.60381921413121198</v>
          </cell>
          <cell r="P484">
            <v>0.53225911548183513</v>
          </cell>
        </row>
        <row r="485">
          <cell r="B485" t="str">
            <v>ENUC_AMR_GOE_V</v>
          </cell>
          <cell r="C485" t="str">
            <v>VAR_fout</v>
          </cell>
          <cell r="D485" t="str">
            <v>ELC</v>
          </cell>
          <cell r="M485">
            <v>0.77374872843607634</v>
          </cell>
          <cell r="N485">
            <v>1.8290151305781472</v>
          </cell>
          <cell r="O485">
            <v>1.891979193942914</v>
          </cell>
          <cell r="P485">
            <v>1.8744884922157847</v>
          </cell>
        </row>
        <row r="486">
          <cell r="B486" t="str">
            <v>ENUC_AMR_GOE_V</v>
          </cell>
          <cell r="C486" t="str">
            <v>VAR_fin</v>
          </cell>
          <cell r="D486" t="str">
            <v>URN</v>
          </cell>
          <cell r="M486">
            <v>1.9775715300442287</v>
          </cell>
          <cell r="N486">
            <v>4.7291102626373638</v>
          </cell>
          <cell r="O486">
            <v>4.8461339796120839</v>
          </cell>
          <cell r="P486">
            <v>4.7312065515373147</v>
          </cell>
        </row>
        <row r="487">
          <cell r="B487" t="str">
            <v>ENUC_AMR_GOE_V</v>
          </cell>
          <cell r="C487" t="str">
            <v>VAR_ncap</v>
          </cell>
          <cell r="D487" t="str">
            <v>-</v>
          </cell>
          <cell r="M487">
            <v>7.8664816669380799E-2</v>
          </cell>
          <cell r="N487">
            <v>3.6307291992963299E-7</v>
          </cell>
          <cell r="O487">
            <v>7.0221193482542504E-7</v>
          </cell>
        </row>
        <row r="488">
          <cell r="B488" t="str">
            <v>ENUC_AMR_GOE_V</v>
          </cell>
          <cell r="C488" t="str">
            <v>VAR_cap</v>
          </cell>
          <cell r="D488" t="str">
            <v>-</v>
          </cell>
          <cell r="M488">
            <v>3.2056404843081997E-2</v>
          </cell>
          <cell r="N488">
            <v>7.8664816669380799E-2</v>
          </cell>
          <cell r="O488">
            <v>7.8665402353097602E-2</v>
          </cell>
          <cell r="P488">
            <v>7.8665881954235503E-2</v>
          </cell>
        </row>
        <row r="489">
          <cell r="B489" t="str">
            <v>RHNS-SHSTG-CHPWOD</v>
          </cell>
          <cell r="C489" t="str">
            <v>VAR_fout</v>
          </cell>
          <cell r="D489" t="str">
            <v>AUX_RNS-CHPWOD_OUT</v>
          </cell>
          <cell r="E489">
            <v>4.1204082347186315E-5</v>
          </cell>
          <cell r="F489">
            <v>3.9680454447952725E-5</v>
          </cell>
          <cell r="G489">
            <v>5.309644875782919E-5</v>
          </cell>
          <cell r="H489">
            <v>6.3280754643970987E-4</v>
          </cell>
          <cell r="I489">
            <v>6.2880184084050487E-4</v>
          </cell>
          <cell r="J489">
            <v>2.5439366288732088E-3</v>
          </cell>
          <cell r="K489">
            <v>1.9861842104651347E-3</v>
          </cell>
          <cell r="L489">
            <v>1.1248406741215032E-3</v>
          </cell>
          <cell r="M489">
            <v>1.9572340669853686E-3</v>
          </cell>
          <cell r="N489">
            <v>4.2579971448263049E-3</v>
          </cell>
          <cell r="O489">
            <v>2.7303816549489367E-3</v>
          </cell>
          <cell r="P489">
            <v>6.7917266743039734E-3</v>
          </cell>
        </row>
        <row r="490">
          <cell r="B490" t="str">
            <v>RHNS-SHSTG-CHPWOD</v>
          </cell>
          <cell r="C490" t="str">
            <v>VAR_fout</v>
          </cell>
          <cell r="D490" t="str">
            <v>RHNS_LTH_CHPWOD</v>
          </cell>
          <cell r="E490">
            <v>4.1204082347186213E-5</v>
          </cell>
          <cell r="F490">
            <v>3.970690808425127E-5</v>
          </cell>
          <cell r="G490">
            <v>5.3151757558618511E-5</v>
          </cell>
          <cell r="H490">
            <v>6.3280754643970987E-4</v>
          </cell>
          <cell r="I490">
            <v>6.293797837089235E-4</v>
          </cell>
          <cell r="J490">
            <v>2.5439366288732006E-3</v>
          </cell>
          <cell r="K490">
            <v>1.9878069099834822E-3</v>
          </cell>
          <cell r="L490">
            <v>1.1248406741215023E-3</v>
          </cell>
          <cell r="M490">
            <v>1.9572340669853673E-3</v>
          </cell>
          <cell r="N490">
            <v>4.2579971448263023E-3</v>
          </cell>
          <cell r="O490">
            <v>2.7303816549489332E-3</v>
          </cell>
          <cell r="P490">
            <v>6.7917266743039691E-3</v>
          </cell>
        </row>
        <row r="491">
          <cell r="B491" t="str">
            <v>RHNS-SHSTG-CHPWOD</v>
          </cell>
          <cell r="C491" t="str">
            <v>VAR_fin</v>
          </cell>
          <cell r="D491" t="str">
            <v>AUX_RNS-CHPWOD_IN</v>
          </cell>
          <cell r="E491">
            <v>3.2743131402275069E-5</v>
          </cell>
          <cell r="F491">
            <v>2.4918611336871006E-5</v>
          </cell>
          <cell r="G491">
            <v>4.2445953587142237E-5</v>
          </cell>
          <cell r="H491">
            <v>7.908798771833601E-4</v>
          </cell>
          <cell r="I491">
            <v>7.6307589099155278E-4</v>
          </cell>
          <cell r="J491">
            <v>2.9931528880809241E-3</v>
          </cell>
          <cell r="K491">
            <v>2.2726895059317306E-3</v>
          </cell>
          <cell r="L491">
            <v>1.2507919392807508E-3</v>
          </cell>
          <cell r="M491">
            <v>2.1747045188740878E-3</v>
          </cell>
          <cell r="N491">
            <v>4.7320632936992861E-3</v>
          </cell>
          <cell r="O491">
            <v>3.0340406047214071E-3</v>
          </cell>
          <cell r="P491">
            <v>7.5474355661165901E-3</v>
          </cell>
        </row>
        <row r="492">
          <cell r="B492" t="str">
            <v>RHNS-SHSTG-CHPWOD</v>
          </cell>
          <cell r="C492" t="str">
            <v>VAR_fin</v>
          </cell>
          <cell r="D492" t="str">
            <v>RHNS_LTH_CHPWOD</v>
          </cell>
          <cell r="E492">
            <v>3.2743131402275069E-5</v>
          </cell>
          <cell r="F492">
            <v>2.4918611336871006E-5</v>
          </cell>
          <cell r="G492">
            <v>4.2445953587142237E-5</v>
          </cell>
          <cell r="H492">
            <v>7.908798771833601E-4</v>
          </cell>
          <cell r="I492">
            <v>7.6307589099155278E-4</v>
          </cell>
          <cell r="J492">
            <v>2.9931528880809241E-3</v>
          </cell>
          <cell r="K492">
            <v>2.2726895059317306E-3</v>
          </cell>
          <cell r="L492">
            <v>1.2507919392807508E-3</v>
          </cell>
          <cell r="M492">
            <v>2.1747045188740878E-3</v>
          </cell>
          <cell r="N492">
            <v>4.7320632936992861E-3</v>
          </cell>
          <cell r="O492">
            <v>3.0340406047214071E-3</v>
          </cell>
          <cell r="P492">
            <v>7.5474355661165901E-3</v>
          </cell>
        </row>
        <row r="493">
          <cell r="B493" t="str">
            <v>RHNS-SHSTG-CHPWOD</v>
          </cell>
          <cell r="C493" t="str">
            <v>VAR_ncap</v>
          </cell>
          <cell r="D493" t="str">
            <v>-</v>
          </cell>
          <cell r="E493">
            <v>8.9724115744841098E-4</v>
          </cell>
          <cell r="F493">
            <v>2.0923272053714201E-5</v>
          </cell>
          <cell r="G493">
            <v>3.7315159568696097E-5</v>
          </cell>
          <cell r="H493">
            <v>3.1977464673751099E-5</v>
          </cell>
          <cell r="I493">
            <v>1.0268986978215901E-3</v>
          </cell>
          <cell r="J493">
            <v>4.3062192989050797E-4</v>
          </cell>
          <cell r="K493">
            <v>7.2726739968610306E-5</v>
          </cell>
          <cell r="L493">
            <v>1.65708479672843E-3</v>
          </cell>
          <cell r="M493">
            <v>3.8730086282563698E-5</v>
          </cell>
          <cell r="N493">
            <v>1.23715926721328E-3</v>
          </cell>
          <cell r="O493">
            <v>6.6586378016760699E-4</v>
          </cell>
          <cell r="P493">
            <v>2.9806605506532699E-3</v>
          </cell>
        </row>
        <row r="494">
          <cell r="B494" t="str">
            <v>RHNS-SHSTG-CHPWOD</v>
          </cell>
          <cell r="C494" t="str">
            <v>VAR_cap</v>
          </cell>
          <cell r="D494" t="str">
            <v>-</v>
          </cell>
          <cell r="E494">
            <v>8.9724115744841098E-4</v>
          </cell>
          <cell r="F494">
            <v>9.1585708073866701E-4</v>
          </cell>
          <cell r="G494">
            <v>9.4703290382273865E-4</v>
          </cell>
          <cell r="H494">
            <v>9.6878518587134122E-4</v>
          </cell>
          <cell r="I494">
            <v>1.3149483357679543E-3</v>
          </cell>
          <cell r="J494">
            <v>1.4749728737272478E-3</v>
          </cell>
          <cell r="K494">
            <v>1.5154855786293437E-3</v>
          </cell>
          <cell r="L494">
            <v>2.1445454145572387E-3</v>
          </cell>
          <cell r="M494">
            <v>1.7912474770993552E-3</v>
          </cell>
          <cell r="N494">
            <v>2.909852326215703E-3</v>
          </cell>
          <cell r="O494">
            <v>2.1906416924461119E-3</v>
          </cell>
          <cell r="P494">
            <v>4.8620601858978688E-3</v>
          </cell>
        </row>
        <row r="495">
          <cell r="B495" t="str">
            <v>HPLOIL</v>
          </cell>
          <cell r="C495" t="str">
            <v>VAR_fout</v>
          </cell>
          <cell r="D495" t="str">
            <v>LTH</v>
          </cell>
          <cell r="E495">
            <v>0.18406650092938465</v>
          </cell>
          <cell r="F495">
            <v>0.18585123292821853</v>
          </cell>
          <cell r="G495">
            <v>5.267802440144656E-2</v>
          </cell>
          <cell r="H495">
            <v>5.3132593685571133E-2</v>
          </cell>
          <cell r="I495">
            <v>5.846690304069723E-4</v>
          </cell>
          <cell r="J495">
            <v>5.5982942098308904E-5</v>
          </cell>
          <cell r="K495">
            <v>3.0300172462649423E-4</v>
          </cell>
          <cell r="L495">
            <v>4.6509930040747159E-5</v>
          </cell>
          <cell r="M495">
            <v>1.5309657933697258E-6</v>
          </cell>
          <cell r="N495">
            <v>1.5316757942074511E-7</v>
          </cell>
          <cell r="O495">
            <v>9.5018092833330056E-7</v>
          </cell>
          <cell r="P495">
            <v>4.9329772387598305E-7</v>
          </cell>
        </row>
        <row r="496">
          <cell r="B496" t="str">
            <v>HPLOIL</v>
          </cell>
          <cell r="C496" t="str">
            <v>VAR_fout</v>
          </cell>
          <cell r="D496" t="str">
            <v>CO2_E</v>
          </cell>
          <cell r="E496">
            <v>15.876436959333599</v>
          </cell>
          <cell r="F496">
            <v>16.0303768936819</v>
          </cell>
          <cell r="G496">
            <v>4.54368029668069</v>
          </cell>
          <cell r="H496">
            <v>4.5828886292486199</v>
          </cell>
          <cell r="I496">
            <v>5.0429931337110198E-2</v>
          </cell>
          <cell r="J496">
            <v>4.8287420390677599E-3</v>
          </cell>
          <cell r="K496">
            <v>2.6135053121086001E-2</v>
          </cell>
          <cell r="L496">
            <v>4.0116586589442702E-3</v>
          </cell>
          <cell r="M496">
            <v>1.32051632331814E-4</v>
          </cell>
          <cell r="N496">
            <v>1.3211287260902E-5</v>
          </cell>
          <cell r="O496">
            <v>8.1956725055756495E-5</v>
          </cell>
          <cell r="P496">
            <v>4.2548808043590697E-5</v>
          </cell>
        </row>
        <row r="497">
          <cell r="B497" t="str">
            <v>HPLOIL</v>
          </cell>
          <cell r="C497" t="str">
            <v>VAR_fin</v>
          </cell>
          <cell r="D497" t="str">
            <v>ELFO</v>
          </cell>
          <cell r="E497">
            <v>0.21541976878335978</v>
          </cell>
          <cell r="F497">
            <v>0.21750850602010718</v>
          </cell>
          <cell r="G497">
            <v>6.1651021664595546E-2</v>
          </cell>
          <cell r="H497">
            <v>6.2183020749642021E-2</v>
          </cell>
          <cell r="I497">
            <v>6.8425958394993419E-4</v>
          </cell>
          <cell r="J497">
            <v>6.5518887911367158E-5</v>
          </cell>
          <cell r="K497">
            <v>3.5461401792518364E-4</v>
          </cell>
          <cell r="L497">
            <v>5.4432274883911311E-5</v>
          </cell>
          <cell r="M497">
            <v>1.7917453504995126E-6</v>
          </cell>
          <cell r="N497">
            <v>1.7925762904887362E-7</v>
          </cell>
          <cell r="O497">
            <v>1.1120315475679304E-6</v>
          </cell>
          <cell r="P497">
            <v>5.7732439679227581E-7</v>
          </cell>
        </row>
        <row r="498">
          <cell r="B498" t="str">
            <v>HPLOIL</v>
          </cell>
          <cell r="C498" t="str">
            <v>VAR_ncap</v>
          </cell>
          <cell r="D498" t="str">
            <v>-</v>
          </cell>
          <cell r="E498">
            <v>7.6927434355233598E-6</v>
          </cell>
          <cell r="F498">
            <v>5.9889124039880196E-6</v>
          </cell>
          <cell r="G498">
            <v>5.9524673770655501E-6</v>
          </cell>
          <cell r="H498">
            <v>6.0021183444273003E-6</v>
          </cell>
          <cell r="I498">
            <v>3.34524547255951E-4</v>
          </cell>
          <cell r="J498">
            <v>1.8662995273722099E-5</v>
          </cell>
          <cell r="K498">
            <v>4.6862393470405102E-5</v>
          </cell>
          <cell r="L498">
            <v>2.0304189844121099E-4</v>
          </cell>
          <cell r="M498">
            <v>3.5470987006976899E-5</v>
          </cell>
          <cell r="N498">
            <v>3.2530501636075999E-4</v>
          </cell>
          <cell r="O498">
            <v>3.0770521255049803E-5</v>
          </cell>
          <cell r="P498">
            <v>6.2057653244026198E-4</v>
          </cell>
        </row>
        <row r="499">
          <cell r="B499" t="str">
            <v>HPLOIL</v>
          </cell>
          <cell r="C499" t="str">
            <v>VAR_cap</v>
          </cell>
          <cell r="D499" t="str">
            <v>-</v>
          </cell>
          <cell r="E499">
            <v>2.4174417618652924E-2</v>
          </cell>
          <cell r="F499">
            <v>2.3647679798804708E-2</v>
          </cell>
          <cell r="G499">
            <v>1.505777988907438E-2</v>
          </cell>
          <cell r="H499">
            <v>6.7659520011366017E-3</v>
          </cell>
          <cell r="I499">
            <v>3.5125370821260894E-4</v>
          </cell>
          <cell r="J499">
            <v>3.612555673347239E-4</v>
          </cell>
          <cell r="K499">
            <v>3.9836423039720962E-4</v>
          </cell>
          <cell r="L499">
            <v>5.9291443174253587E-4</v>
          </cell>
          <cell r="M499">
            <v>3.8993959129493002E-4</v>
          </cell>
          <cell r="N499">
            <v>5.9821330595593648E-4</v>
          </cell>
          <cell r="O499">
            <v>5.8002082336170119E-4</v>
          </cell>
          <cell r="P499">
            <v>9.9284313755721582E-4</v>
          </cell>
        </row>
        <row r="500">
          <cell r="B500" t="str">
            <v>V2G</v>
          </cell>
          <cell r="C500" t="str">
            <v>VAR_fout</v>
          </cell>
          <cell r="D500" t="str">
            <v>ELC35</v>
          </cell>
          <cell r="H500">
            <v>0.31392437544536961</v>
          </cell>
          <cell r="I500">
            <v>1.3433063061574295</v>
          </cell>
          <cell r="J500">
            <v>1.1089820123077456</v>
          </cell>
          <cell r="K500">
            <v>1.8585688145943118</v>
          </cell>
          <cell r="L500">
            <v>2.0752315084923629</v>
          </cell>
          <cell r="M500">
            <v>1.2014199764966844</v>
          </cell>
          <cell r="N500">
            <v>1.8186178671383939</v>
          </cell>
          <cell r="O500">
            <v>1.951264681074935</v>
          </cell>
          <cell r="P500">
            <v>2.3487021742984981</v>
          </cell>
        </row>
        <row r="501">
          <cell r="B501" t="str">
            <v>V2G</v>
          </cell>
          <cell r="C501" t="str">
            <v>VAR_fin</v>
          </cell>
          <cell r="D501" t="str">
            <v>T-ELC-Bus_c_BatSTGout_S1</v>
          </cell>
          <cell r="H501">
            <v>1.6290835290642155E-3</v>
          </cell>
          <cell r="I501">
            <v>5.6114490855845179E-3</v>
          </cell>
          <cell r="J501">
            <v>3.7678008018001844E-3</v>
          </cell>
          <cell r="K501">
            <v>3.8126739320413971E-3</v>
          </cell>
          <cell r="L501">
            <v>4.153008707474923E-3</v>
          </cell>
          <cell r="M501">
            <v>3.507585100488075E-3</v>
          </cell>
          <cell r="N501">
            <v>4.6576664689915942E-3</v>
          </cell>
          <cell r="O501">
            <v>3.9547765466505262E-3</v>
          </cell>
          <cell r="P501">
            <v>6.239943761987536E-3</v>
          </cell>
        </row>
        <row r="502">
          <cell r="B502" t="str">
            <v>V2G</v>
          </cell>
          <cell r="C502" t="str">
            <v>VAR_fin</v>
          </cell>
          <cell r="D502" t="str">
            <v>T-ELC-Bus_c_BatSTGout_S2</v>
          </cell>
          <cell r="H502">
            <v>1.6446012083141345E-3</v>
          </cell>
          <cell r="I502">
            <v>4.0595050688325869E-3</v>
          </cell>
          <cell r="J502">
            <v>4.1119062215680801E-3</v>
          </cell>
          <cell r="K502">
            <v>4.0732556314326861E-3</v>
          </cell>
          <cell r="L502">
            <v>5.2967227556412338E-3</v>
          </cell>
          <cell r="M502">
            <v>3.6118767650955221E-3</v>
          </cell>
          <cell r="N502">
            <v>5.0798316443301378E-3</v>
          </cell>
          <cell r="O502">
            <v>4.2169669058467118E-3</v>
          </cell>
          <cell r="P502">
            <v>6.8374056917594765E-3</v>
          </cell>
        </row>
        <row r="503">
          <cell r="B503" t="str">
            <v>V2G</v>
          </cell>
          <cell r="C503" t="str">
            <v>VAR_fin</v>
          </cell>
          <cell r="D503" t="str">
            <v>T-ELC-Bus_c_BatSTGout_S3</v>
          </cell>
          <cell r="H503">
            <v>1.8947432034013315E-3</v>
          </cell>
          <cell r="I503">
            <v>1.5336676022325172E-3</v>
          </cell>
          <cell r="J503">
            <v>2.1155430094034252E-3</v>
          </cell>
          <cell r="K503">
            <v>1.9990814885437269E-3</v>
          </cell>
          <cell r="L503">
            <v>2.6276207862687391E-3</v>
          </cell>
          <cell r="M503">
            <v>2.114229897213439E-3</v>
          </cell>
          <cell r="N503">
            <v>2.7705201656769156E-3</v>
          </cell>
          <cell r="O503">
            <v>2.5131388361761464E-3</v>
          </cell>
          <cell r="P503">
            <v>3.5504231006653168E-3</v>
          </cell>
        </row>
        <row r="504">
          <cell r="B504" t="str">
            <v>V2G</v>
          </cell>
          <cell r="C504" t="str">
            <v>VAR_fin</v>
          </cell>
          <cell r="D504" t="str">
            <v>T-ELC-Bus_c_BatSTGout_S4</v>
          </cell>
          <cell r="H504">
            <v>1.0980291357055706E-5</v>
          </cell>
          <cell r="I504">
            <v>1.9605316731501123E-5</v>
          </cell>
          <cell r="J504">
            <v>2.2498925507718202E-4</v>
          </cell>
          <cell r="K504">
            <v>3.1157718464635485E-4</v>
          </cell>
          <cell r="L504">
            <v>5.1700763769577563E-4</v>
          </cell>
          <cell r="M504">
            <v>5.2164380584047315E-4</v>
          </cell>
          <cell r="N504">
            <v>6.0459608125593709E-4</v>
          </cell>
          <cell r="O504">
            <v>7.3485218992032136E-4</v>
          </cell>
          <cell r="P504">
            <v>1.1183016471962464E-3</v>
          </cell>
        </row>
        <row r="505">
          <cell r="B505" t="str">
            <v>V2G</v>
          </cell>
          <cell r="C505" t="str">
            <v>VAR_fin</v>
          </cell>
          <cell r="D505" t="str">
            <v>T-ELC-car-BatSTGOut_S1</v>
          </cell>
          <cell r="H505">
            <v>5.6034308984590962E-2</v>
          </cell>
          <cell r="I505">
            <v>0.36897787273395244</v>
          </cell>
          <cell r="J505">
            <v>0.43576981302477857</v>
          </cell>
          <cell r="K505">
            <v>0.77962724523359528</v>
          </cell>
          <cell r="L505">
            <v>0.84498146232878746</v>
          </cell>
          <cell r="M505">
            <v>0.36660635764526039</v>
          </cell>
          <cell r="N505">
            <v>0.53959262833017718</v>
          </cell>
          <cell r="O505">
            <v>0.58931480386882895</v>
          </cell>
          <cell r="P505">
            <v>0.6487077104114064</v>
          </cell>
        </row>
        <row r="506">
          <cell r="B506" t="str">
            <v>V2G</v>
          </cell>
          <cell r="C506" t="str">
            <v>VAR_fin</v>
          </cell>
          <cell r="D506" t="str">
            <v>T-ELC-car-BatSTGOut_S2</v>
          </cell>
          <cell r="H506">
            <v>4.3025747264303568E-2</v>
          </cell>
          <cell r="I506">
            <v>0.15777761315948741</v>
          </cell>
          <cell r="J506">
            <v>0.16196627719594858</v>
          </cell>
          <cell r="K506">
            <v>0.22125400023018993</v>
          </cell>
          <cell r="L506">
            <v>0.24385270886284927</v>
          </cell>
          <cell r="M506">
            <v>0.13438297151763012</v>
          </cell>
          <cell r="N506">
            <v>0.23754519379661193</v>
          </cell>
          <cell r="O506">
            <v>0.27794500668282834</v>
          </cell>
          <cell r="P506">
            <v>0.33670921166441514</v>
          </cell>
        </row>
        <row r="507">
          <cell r="B507" t="str">
            <v>V2G</v>
          </cell>
          <cell r="C507" t="str">
            <v>VAR_fin</v>
          </cell>
          <cell r="D507" t="str">
            <v>T-ELC-car-BatSTGOut_S3</v>
          </cell>
          <cell r="H507">
            <v>3.2397051699729854E-2</v>
          </cell>
          <cell r="I507">
            <v>0.3025278060485746</v>
          </cell>
          <cell r="J507">
            <v>0.16344364406792111</v>
          </cell>
          <cell r="K507">
            <v>0.31406431768376064</v>
          </cell>
          <cell r="L507">
            <v>0.24622075767116025</v>
          </cell>
          <cell r="M507">
            <v>0.13058198971802468</v>
          </cell>
          <cell r="N507">
            <v>0.23692221119676898</v>
          </cell>
          <cell r="O507">
            <v>0.27073659525925275</v>
          </cell>
          <cell r="P507">
            <v>0.27652346226960239</v>
          </cell>
        </row>
        <row r="508">
          <cell r="B508" t="str">
            <v>V2G</v>
          </cell>
          <cell r="C508" t="str">
            <v>VAR_fin</v>
          </cell>
          <cell r="D508" t="str">
            <v>T-ELC-car-BatSTGOut_S4</v>
          </cell>
          <cell r="H508">
            <v>4.785669658642016E-2</v>
          </cell>
          <cell r="I508">
            <v>0.16072095438895712</v>
          </cell>
          <cell r="J508">
            <v>0.15921639904854151</v>
          </cell>
          <cell r="K508">
            <v>0.21108492604959483</v>
          </cell>
          <cell r="L508">
            <v>0.22915804368905371</v>
          </cell>
          <cell r="M508">
            <v>0.12983704799363796</v>
          </cell>
          <cell r="N508">
            <v>0.23040653514264287</v>
          </cell>
          <cell r="O508">
            <v>0.28713215356936644</v>
          </cell>
          <cell r="P508">
            <v>0.32925711139498631</v>
          </cell>
        </row>
        <row r="509">
          <cell r="B509" t="str">
            <v>V2G</v>
          </cell>
          <cell r="C509" t="str">
            <v>VAR_fin</v>
          </cell>
          <cell r="D509" t="str">
            <v>T-ELC-car-PlgSTGOut_S1</v>
          </cell>
          <cell r="H509">
            <v>3.9201629267547855E-4</v>
          </cell>
          <cell r="I509">
            <v>7.9724875877148203E-4</v>
          </cell>
          <cell r="J509">
            <v>6.1212286393083387E-4</v>
          </cell>
          <cell r="K509">
            <v>1.5118446931671053E-3</v>
          </cell>
          <cell r="L509">
            <v>1.5418522790816634E-3</v>
          </cell>
          <cell r="M509">
            <v>7.2474974459926832E-3</v>
          </cell>
          <cell r="N509">
            <v>8.7496237364169619E-3</v>
          </cell>
          <cell r="O509">
            <v>7.4733575695598116E-3</v>
          </cell>
          <cell r="P509">
            <v>5.9380523814603244E-3</v>
          </cell>
        </row>
        <row r="510">
          <cell r="B510" t="str">
            <v>V2G</v>
          </cell>
          <cell r="C510" t="str">
            <v>VAR_fin</v>
          </cell>
          <cell r="D510" t="str">
            <v>T-ELC-car-PlgSTGOut_S2</v>
          </cell>
          <cell r="H510">
            <v>1.2599593165037653E-4</v>
          </cell>
          <cell r="I510">
            <v>5.1663843481002429E-4</v>
          </cell>
          <cell r="J510">
            <v>1.8492142514224227E-3</v>
          </cell>
          <cell r="K510">
            <v>1.5678361291863981E-3</v>
          </cell>
          <cell r="L510">
            <v>3.5020986098591197E-3</v>
          </cell>
          <cell r="M510">
            <v>2.7824063255711346E-3</v>
          </cell>
          <cell r="N510">
            <v>4.7231394027301898E-3</v>
          </cell>
          <cell r="O510">
            <v>5.2035602953601125E-3</v>
          </cell>
          <cell r="P510">
            <v>8.1469674508857504E-3</v>
          </cell>
        </row>
        <row r="511">
          <cell r="B511" t="str">
            <v>V2G</v>
          </cell>
          <cell r="C511" t="str">
            <v>VAR_fin</v>
          </cell>
          <cell r="D511" t="str">
            <v>T-ELC-car-PlgSTGOut_S3</v>
          </cell>
          <cell r="H511">
            <v>0.11761445321522855</v>
          </cell>
          <cell r="I511">
            <v>0.28957509724214348</v>
          </cell>
          <cell r="J511">
            <v>0.10795314394187262</v>
          </cell>
          <cell r="K511">
            <v>0.24432621971220342</v>
          </cell>
          <cell r="L511">
            <v>0.37136388953740435</v>
          </cell>
          <cell r="M511">
            <v>0.13428306932187775</v>
          </cell>
          <cell r="N511">
            <v>7.0168836485250364E-3</v>
          </cell>
          <cell r="O511">
            <v>6.3325172518192323E-3</v>
          </cell>
          <cell r="P511">
            <v>3.9081154590455925E-3</v>
          </cell>
        </row>
        <row r="512">
          <cell r="B512" t="str">
            <v>V2G</v>
          </cell>
          <cell r="C512" t="str">
            <v>VAR_fin</v>
          </cell>
          <cell r="D512" t="str">
            <v>T-ELC-TWSTGout_S1</v>
          </cell>
          <cell r="H512">
            <v>1.686257045143149E-3</v>
          </cell>
          <cell r="I512">
            <v>3.3214192035881372E-3</v>
          </cell>
          <cell r="J512">
            <v>2.8156290015239429E-3</v>
          </cell>
          <cell r="K512">
            <v>1.8889616161996746E-3</v>
          </cell>
          <cell r="L512">
            <v>3.2670237058298633E-3</v>
          </cell>
          <cell r="M512">
            <v>1.6948292441447254E-3</v>
          </cell>
          <cell r="N512">
            <v>3.9032227904742911E-3</v>
          </cell>
          <cell r="O512">
            <v>2.9142287100169238E-3</v>
          </cell>
          <cell r="P512">
            <v>7.4996561833360039E-3</v>
          </cell>
        </row>
        <row r="513">
          <cell r="B513" t="str">
            <v>V2G</v>
          </cell>
          <cell r="C513" t="str">
            <v>VAR_fin</v>
          </cell>
          <cell r="D513" t="str">
            <v>T-ELC-car-PlgSTGOut_S4</v>
          </cell>
          <cell r="H513">
            <v>1.0371597189495925E-4</v>
          </cell>
          <cell r="I513">
            <v>1.0171101111628095E-3</v>
          </cell>
          <cell r="J513">
            <v>5.1258216821053609E-3</v>
          </cell>
          <cell r="K513">
            <v>7.7223546242379633E-3</v>
          </cell>
          <cell r="L513">
            <v>7.3539629783358094E-3</v>
          </cell>
          <cell r="M513">
            <v>0.21471553320379705</v>
          </cell>
          <cell r="N513">
            <v>0.40594208307950375</v>
          </cell>
          <cell r="O513">
            <v>0.38002186022052326</v>
          </cell>
          <cell r="P513">
            <v>0.50126867278421883</v>
          </cell>
        </row>
        <row r="514">
          <cell r="B514" t="str">
            <v>V2G</v>
          </cell>
          <cell r="C514" t="str">
            <v>VAR_fin</v>
          </cell>
          <cell r="D514" t="str">
            <v>T-ELC-TWSTGout_S2</v>
          </cell>
          <cell r="H514">
            <v>2.2903850162600873E-3</v>
          </cell>
          <cell r="I514">
            <v>3.9428085651843081E-3</v>
          </cell>
          <cell r="J514">
            <v>3.6393034126701554E-3</v>
          </cell>
          <cell r="K514">
            <v>3.4919559215635509E-3</v>
          </cell>
          <cell r="L514">
            <v>6.9731281644885923E-3</v>
          </cell>
          <cell r="M514">
            <v>6.1091322260960635E-3</v>
          </cell>
          <cell r="N514">
            <v>1.0126612115759102E-2</v>
          </cell>
          <cell r="O514">
            <v>7.8278452668888322E-3</v>
          </cell>
          <cell r="P514">
            <v>1.6908226834028921E-2</v>
          </cell>
        </row>
        <row r="515">
          <cell r="B515" t="str">
            <v>V2G</v>
          </cell>
          <cell r="C515" t="str">
            <v>VAR_fin</v>
          </cell>
          <cell r="D515" t="str">
            <v>T-ELC-TWSTGout_S3</v>
          </cell>
          <cell r="H515">
            <v>2.7939143458355969E-3</v>
          </cell>
          <cell r="I515">
            <v>6.4773998279173172E-3</v>
          </cell>
          <cell r="J515">
            <v>6.1443071103504682E-3</v>
          </cell>
          <cell r="K515">
            <v>5.3930800287663276E-3</v>
          </cell>
          <cell r="L515">
            <v>1.1415768757277888E-2</v>
          </cell>
          <cell r="M515">
            <v>8.8806373670604361E-3</v>
          </cell>
          <cell r="N515">
            <v>1.2944114484055955E-2</v>
          </cell>
          <cell r="O515">
            <v>1.2671167192744869E-2</v>
          </cell>
          <cell r="P515">
            <v>2.4104410289332339E-2</v>
          </cell>
        </row>
        <row r="516">
          <cell r="B516" t="str">
            <v>V2G</v>
          </cell>
          <cell r="C516" t="str">
            <v>VAR_fin</v>
          </cell>
          <cell r="D516" t="str">
            <v>T-ELC-TWSTGout_S4</v>
          </cell>
          <cell r="H516">
            <v>3.3170084899634984E-3</v>
          </cell>
          <cell r="I516">
            <v>6.7085346798472058E-3</v>
          </cell>
          <cell r="J516">
            <v>7.0803095020672748E-3</v>
          </cell>
          <cell r="K516">
            <v>7.4849074163113524E-3</v>
          </cell>
          <cell r="L516">
            <v>1.366257725414065E-2</v>
          </cell>
          <cell r="M516">
            <v>1.1077114209081076E-2</v>
          </cell>
          <cell r="N516">
            <v>1.6976156350997501E-2</v>
          </cell>
          <cell r="O516">
            <v>1.6427193331719776E-2</v>
          </cell>
          <cell r="P516">
            <v>3.1522095912442497E-2</v>
          </cell>
        </row>
        <row r="517">
          <cell r="B517" t="str">
            <v>V2G</v>
          </cell>
          <cell r="C517" t="str">
            <v>VAR_fin</v>
          </cell>
          <cell r="D517" t="str">
            <v>T-ELC-Bus_u_BatSTGout_S1</v>
          </cell>
          <cell r="H517">
            <v>8.7425734693526242E-5</v>
          </cell>
          <cell r="I517">
            <v>1.4902762256294356E-4</v>
          </cell>
          <cell r="J517">
            <v>1.3583611429262288E-4</v>
          </cell>
          <cell r="K517">
            <v>1.7071844344141677E-4</v>
          </cell>
          <cell r="L517">
            <v>3.983842085439891E-4</v>
          </cell>
          <cell r="M517">
            <v>2.5991684149983873E-4</v>
          </cell>
          <cell r="N517">
            <v>5.4737713780456945E-4</v>
          </cell>
          <cell r="O517">
            <v>3.9463092789947609E-4</v>
          </cell>
          <cell r="P517">
            <v>9.9497855373081737E-4</v>
          </cell>
        </row>
        <row r="518">
          <cell r="B518" t="str">
            <v>V2G</v>
          </cell>
          <cell r="C518" t="str">
            <v>VAR_fin</v>
          </cell>
          <cell r="D518" t="str">
            <v>T-ELC-Bus_u_BatSTGout_S2</v>
          </cell>
          <cell r="H518">
            <v>7.057356862461181E-5</v>
          </cell>
          <cell r="I518">
            <v>1.3167843416816917E-4</v>
          </cell>
          <cell r="J518">
            <v>1.195663451720919E-4</v>
          </cell>
          <cell r="K518">
            <v>1.54000113689864E-4</v>
          </cell>
          <cell r="L518">
            <v>3.6554038053804723E-4</v>
          </cell>
          <cell r="M518">
            <v>2.4578809389829505E-4</v>
          </cell>
          <cell r="N518">
            <v>5.1906182946239907E-4</v>
          </cell>
          <cell r="O518">
            <v>3.7594525460960074E-4</v>
          </cell>
          <cell r="P518">
            <v>9.5667144573129289E-4</v>
          </cell>
        </row>
        <row r="519">
          <cell r="B519" t="str">
            <v>V2G</v>
          </cell>
          <cell r="C519" t="str">
            <v>VAR_fin</v>
          </cell>
          <cell r="D519" t="str">
            <v>T-ELC-Bus_u_BatSTGout_S3</v>
          </cell>
          <cell r="H519">
            <v>3.7655862439441183E-5</v>
          </cell>
          <cell r="I519">
            <v>6.025084240060465E-5</v>
          </cell>
          <cell r="J519">
            <v>6.066755555810771E-5</v>
          </cell>
          <cell r="K519">
            <v>8.1396140291962771E-5</v>
          </cell>
          <cell r="L519">
            <v>1.8460419985497691E-4</v>
          </cell>
          <cell r="M519">
            <v>1.2154092261578438E-4</v>
          </cell>
          <cell r="N519">
            <v>2.0539690860271306E-4</v>
          </cell>
          <cell r="O519">
            <v>1.6800794620390466E-4</v>
          </cell>
          <cell r="P519">
            <v>3.6980155313412157E-4</v>
          </cell>
        </row>
        <row r="520">
          <cell r="B520" t="str">
            <v>V2G</v>
          </cell>
          <cell r="C520" t="str">
            <v>VAR_fin</v>
          </cell>
          <cell r="D520" t="str">
            <v>T-ELC-Bus_u_BatSTGout_S4</v>
          </cell>
          <cell r="H520">
            <v>8.7960716743532694E-5</v>
          </cell>
          <cell r="I520">
            <v>3.8780744395706442E-3</v>
          </cell>
          <cell r="J520">
            <v>1.6789025935817984E-4</v>
          </cell>
          <cell r="K520">
            <v>1.8736638944518507E-4</v>
          </cell>
          <cell r="L520">
            <v>4.2764261321632678E-4</v>
          </cell>
          <cell r="M520">
            <v>3.0754497439587213E-4</v>
          </cell>
          <cell r="N520">
            <v>4.2281769591729273E-4</v>
          </cell>
          <cell r="O520">
            <v>4.324619274187003E-4</v>
          </cell>
          <cell r="P520">
            <v>7.6857924581928141E-4</v>
          </cell>
        </row>
        <row r="521">
          <cell r="B521" t="str">
            <v>V2G</v>
          </cell>
          <cell r="C521" t="str">
            <v>VAR_fin</v>
          </cell>
          <cell r="D521" t="str">
            <v>T-ELC-LGV_BatSTGout</v>
          </cell>
          <cell r="H521">
            <v>4.2045904280145079E-4</v>
          </cell>
          <cell r="I521">
            <v>5.096093746167319E-4</v>
          </cell>
          <cell r="J521">
            <v>4.2150486691926007E-4</v>
          </cell>
          <cell r="K521">
            <v>4.4222284431346868E-4</v>
          </cell>
          <cell r="L521">
            <v>9.3810316470591267E-4</v>
          </cell>
          <cell r="M521">
            <v>5.1627713269625361E-4</v>
          </cell>
          <cell r="N521">
            <v>1.1022625828244548E-3</v>
          </cell>
          <cell r="O521">
            <v>8.0422683032561817E-4</v>
          </cell>
          <cell r="P521">
            <v>1.869399164398396E-3</v>
          </cell>
        </row>
        <row r="522">
          <cell r="B522" t="str">
            <v>V2G</v>
          </cell>
          <cell r="C522" t="str">
            <v>VAR_fin</v>
          </cell>
          <cell r="D522" t="str">
            <v>T-ELC-HGV_BatSTGout</v>
          </cell>
          <cell r="H522">
            <v>4.1977463388807206E-4</v>
          </cell>
          <cell r="I522">
            <v>2.5010640522842846E-2</v>
          </cell>
          <cell r="J522">
            <v>4.2259747706980037E-2</v>
          </cell>
          <cell r="K522">
            <v>4.7939673591810901E-2</v>
          </cell>
          <cell r="L522">
            <v>7.7061683907103606E-2</v>
          </cell>
          <cell r="M522">
            <v>4.2039535041574108E-2</v>
          </cell>
          <cell r="N522">
            <v>8.7900424491985235E-2</v>
          </cell>
          <cell r="O522">
            <v>7.3697812157031389E-2</v>
          </cell>
          <cell r="P522">
            <v>0.13554526713579718</v>
          </cell>
        </row>
        <row r="523">
          <cell r="B523" t="str">
            <v>V2G</v>
          </cell>
          <cell r="C523" t="str">
            <v>VAR_ncap</v>
          </cell>
          <cell r="D523" t="str">
            <v>-</v>
          </cell>
          <cell r="H523">
            <v>0.10499016997317</v>
          </cell>
          <cell r="I523">
            <v>1.13300767486298</v>
          </cell>
          <cell r="J523">
            <v>1.2887931049635799</v>
          </cell>
          <cell r="K523">
            <v>1.3751743201459601</v>
          </cell>
          <cell r="L523">
            <v>1.1003737501086399</v>
          </cell>
          <cell r="M523">
            <v>0.24276564541510601</v>
          </cell>
          <cell r="N523">
            <v>0.42163858241108598</v>
          </cell>
          <cell r="O523">
            <v>1.1026735493666</v>
          </cell>
          <cell r="P523">
            <v>0.47181537853348698</v>
          </cell>
        </row>
        <row r="524">
          <cell r="B524" t="str">
            <v>V2G</v>
          </cell>
          <cell r="C524" t="str">
            <v>VAR_cap</v>
          </cell>
          <cell r="D524" t="str">
            <v>-</v>
          </cell>
          <cell r="H524">
            <v>0.10499016997317</v>
          </cell>
          <cell r="I524">
            <v>1.23799568773674</v>
          </cell>
          <cell r="J524">
            <v>2.5068093276142576</v>
          </cell>
          <cell r="K524">
            <v>3.7969676721246155</v>
          </cell>
          <cell r="L524">
            <v>3.7643286077457407</v>
          </cell>
          <cell r="M524">
            <v>2.7341232503774342</v>
          </cell>
          <cell r="N524">
            <v>1.7647644571007945</v>
          </cell>
          <cell r="O524">
            <v>1.884997572555468</v>
          </cell>
          <cell r="P524">
            <v>1.9961124567963753</v>
          </cell>
        </row>
        <row r="525">
          <cell r="B525" t="str">
            <v>D-EBIO</v>
          </cell>
          <cell r="C525" t="str">
            <v>VAR_fout</v>
          </cell>
          <cell r="D525" t="str">
            <v>EBIO</v>
          </cell>
          <cell r="E525">
            <v>1.1839515550993776</v>
          </cell>
          <cell r="F525">
            <v>1.1839499127826767</v>
          </cell>
          <cell r="G525">
            <v>1.1839505371010577</v>
          </cell>
          <cell r="H525">
            <v>1.1839510255630241</v>
          </cell>
          <cell r="I525">
            <v>1.183998921855336</v>
          </cell>
          <cell r="J525">
            <v>1.1840001454141909</v>
          </cell>
          <cell r="K525">
            <v>1.1839978363904267</v>
          </cell>
          <cell r="L525">
            <v>1.1840022083720279</v>
          </cell>
          <cell r="M525">
            <v>1.1839987156826359</v>
          </cell>
          <cell r="N525">
            <v>2.8800563946312221</v>
          </cell>
          <cell r="O525">
            <v>6.9877372424741253</v>
          </cell>
          <cell r="P525">
            <v>10.598702559348206</v>
          </cell>
        </row>
        <row r="526">
          <cell r="B526" t="str">
            <v>D-EBIO</v>
          </cell>
          <cell r="C526" t="str">
            <v>VAR_fin</v>
          </cell>
          <cell r="D526" t="str">
            <v>BIO</v>
          </cell>
          <cell r="E526">
            <v>1.1839515550993776</v>
          </cell>
          <cell r="F526">
            <v>1.1839499127826767</v>
          </cell>
          <cell r="G526">
            <v>1.1839505371010577</v>
          </cell>
          <cell r="H526">
            <v>1.1839510255630241</v>
          </cell>
          <cell r="I526">
            <v>1.183998921855336</v>
          </cell>
          <cell r="J526">
            <v>1.1840001454141909</v>
          </cell>
          <cell r="K526">
            <v>1.1839978363904267</v>
          </cell>
          <cell r="L526">
            <v>1.1840022083720279</v>
          </cell>
          <cell r="M526">
            <v>1.1839987156826359</v>
          </cell>
          <cell r="N526">
            <v>2.8800563946312221</v>
          </cell>
          <cell r="O526">
            <v>6.9877372424741253</v>
          </cell>
          <cell r="P526">
            <v>10.598702559348206</v>
          </cell>
        </row>
        <row r="527">
          <cell r="B527" t="str">
            <v>G-INTC3</v>
          </cell>
          <cell r="C527" t="str">
            <v>VAR_fout</v>
          </cell>
          <cell r="D527" t="str">
            <v>ELC35</v>
          </cell>
          <cell r="E527">
            <v>143.82819303163089</v>
          </cell>
          <cell r="F527">
            <v>105.90955707141204</v>
          </cell>
          <cell r="G527">
            <v>101.35711390693136</v>
          </cell>
          <cell r="H527">
            <v>118.8943346552614</v>
          </cell>
          <cell r="I527">
            <v>87.510744343783486</v>
          </cell>
          <cell r="J527">
            <v>133.58552850513064</v>
          </cell>
          <cell r="K527">
            <v>83.221251460882328</v>
          </cell>
          <cell r="L527">
            <v>139.85745976398746</v>
          </cell>
          <cell r="M527">
            <v>112.50916375828164</v>
          </cell>
          <cell r="N527">
            <v>112.02098506636433</v>
          </cell>
          <cell r="O527">
            <v>113.10526659255957</v>
          </cell>
          <cell r="P527">
            <v>111.69382537127377</v>
          </cell>
        </row>
        <row r="528">
          <cell r="B528" t="str">
            <v>G-INTC3</v>
          </cell>
          <cell r="C528" t="str">
            <v>VAR_fout</v>
          </cell>
          <cell r="D528" t="str">
            <v>ELC3</v>
          </cell>
          <cell r="E528">
            <v>31.877052315056513</v>
          </cell>
          <cell r="F528">
            <v>69.267940440587381</v>
          </cell>
          <cell r="G528">
            <v>68.066191586548641</v>
          </cell>
          <cell r="H528">
            <v>41.59062317762524</v>
          </cell>
          <cell r="I528">
            <v>79.088978641243358</v>
          </cell>
          <cell r="J528">
            <v>32.456430909227059</v>
          </cell>
          <cell r="K528">
            <v>78.548831302498741</v>
          </cell>
          <cell r="L528">
            <v>31.794105074921813</v>
          </cell>
          <cell r="M528">
            <v>69.218577819744553</v>
          </cell>
          <cell r="N528">
            <v>70.234413445128837</v>
          </cell>
          <cell r="O528">
            <v>67.531390147403812</v>
          </cell>
          <cell r="P528">
            <v>66.277987130564298</v>
          </cell>
        </row>
        <row r="529">
          <cell r="B529" t="str">
            <v>G-INTC3</v>
          </cell>
          <cell r="C529" t="str">
            <v>VAR_fout</v>
          </cell>
          <cell r="D529" t="str">
            <v>ELC</v>
          </cell>
          <cell r="E529">
            <v>1.5843041610620043E-2</v>
          </cell>
          <cell r="F529">
            <v>1.6211537379108574E-3</v>
          </cell>
          <cell r="G529">
            <v>2.2555091971901021E-3</v>
          </cell>
          <cell r="H529">
            <v>0.16264561564282581</v>
          </cell>
          <cell r="I529">
            <v>0.7573625642656806</v>
          </cell>
          <cell r="J529">
            <v>0.95726070442452871</v>
          </cell>
          <cell r="K529">
            <v>1.5256591566950188</v>
          </cell>
          <cell r="L529">
            <v>0.44461711982507762</v>
          </cell>
          <cell r="M529">
            <v>3.2768940930570395E-2</v>
          </cell>
          <cell r="N529">
            <v>8.4358274760209878E-2</v>
          </cell>
          <cell r="O529">
            <v>0.14254451199976431</v>
          </cell>
          <cell r="P529">
            <v>0.30770771181346435</v>
          </cell>
        </row>
        <row r="530">
          <cell r="B530" t="str">
            <v>G-INTC3</v>
          </cell>
          <cell r="C530" t="str">
            <v>VAR_fin</v>
          </cell>
          <cell r="D530" t="str">
            <v>ELC13</v>
          </cell>
          <cell r="E530">
            <v>179.40224600317518</v>
          </cell>
          <cell r="F530">
            <v>183.43479497492848</v>
          </cell>
          <cell r="G530">
            <v>176.82714124876648</v>
          </cell>
          <cell r="H530">
            <v>166.75249661861574</v>
          </cell>
          <cell r="I530">
            <v>172.77590567264477</v>
          </cell>
          <cell r="J530">
            <v>171.47752582502278</v>
          </cell>
          <cell r="K530">
            <v>166.77616824913454</v>
          </cell>
          <cell r="L530">
            <v>174.82725676483204</v>
          </cell>
          <cell r="M530">
            <v>184.64496538312324</v>
          </cell>
          <cell r="N530">
            <v>185.23340401958984</v>
          </cell>
          <cell r="O530">
            <v>183.64808319393441</v>
          </cell>
          <cell r="P530">
            <v>181.10873337878428</v>
          </cell>
        </row>
        <row r="531">
          <cell r="B531" t="str">
            <v>G-INTC3</v>
          </cell>
          <cell r="C531" t="str">
            <v>VAR_ncap</v>
          </cell>
          <cell r="D531" t="str">
            <v>-</v>
          </cell>
          <cell r="E531">
            <v>7.1047402617216898E-8</v>
          </cell>
          <cell r="F531">
            <v>7.4159172479792004E-8</v>
          </cell>
          <cell r="G531">
            <v>8.4510102828760905E-8</v>
          </cell>
          <cell r="H531">
            <v>1.0131159865536499E-7</v>
          </cell>
          <cell r="I531">
            <v>1.33361561552328E-7</v>
          </cell>
          <cell r="J531">
            <v>1.96120407010476E-7</v>
          </cell>
          <cell r="K531">
            <v>2.6954189284955499E-7</v>
          </cell>
          <cell r="L531">
            <v>4.2799356060103997E-7</v>
          </cell>
          <cell r="M531">
            <v>4.90332430924458E-7</v>
          </cell>
          <cell r="N531">
            <v>2.1535486432682E-6</v>
          </cell>
        </row>
        <row r="532">
          <cell r="B532" t="str">
            <v>G-INTC3</v>
          </cell>
          <cell r="C532" t="str">
            <v>VAR_cap</v>
          </cell>
          <cell r="D532" t="str">
            <v>-</v>
          </cell>
          <cell r="E532">
            <v>13.914190167241101</v>
          </cell>
          <cell r="F532">
            <v>13.914190167241101</v>
          </cell>
          <cell r="G532">
            <v>13.914190167241101</v>
          </cell>
          <cell r="H532">
            <v>13.914190236550951</v>
          </cell>
          <cell r="I532">
            <v>13.914190421355423</v>
          </cell>
          <cell r="J532">
            <v>13.914190498269377</v>
          </cell>
          <cell r="K532">
            <v>13.914190638712327</v>
          </cell>
          <cell r="L532">
            <v>13.914190827751346</v>
          </cell>
          <cell r="M532">
            <v>13.914191055877028</v>
          </cell>
          <cell r="N532">
            <v>13.914191643367614</v>
          </cell>
          <cell r="O532">
            <v>13.91419201561923</v>
          </cell>
          <cell r="P532">
            <v>13.914194169167873</v>
          </cell>
        </row>
        <row r="533">
          <cell r="B533" t="str">
            <v>HPLBIO</v>
          </cell>
          <cell r="C533" t="str">
            <v>VAR_fout</v>
          </cell>
          <cell r="D533" t="str">
            <v>LTH</v>
          </cell>
          <cell r="E533">
            <v>0.90177548055964152</v>
          </cell>
          <cell r="F533">
            <v>0.90177422966307608</v>
          </cell>
          <cell r="G533">
            <v>0.90177470518507408</v>
          </cell>
          <cell r="H533">
            <v>0.90177507722987804</v>
          </cell>
          <cell r="I533">
            <v>0.90181155820059988</v>
          </cell>
          <cell r="J533">
            <v>0.90181249014360743</v>
          </cell>
          <cell r="K533">
            <v>0.9018107314390349</v>
          </cell>
          <cell r="L533">
            <v>0.90181406142816545</v>
          </cell>
          <cell r="M533">
            <v>0.90181140116589298</v>
          </cell>
          <cell r="N533">
            <v>2.1936406334543288</v>
          </cell>
          <cell r="O533">
            <v>5.3223209030099925</v>
          </cell>
          <cell r="P533">
            <v>8.0726699100139125</v>
          </cell>
        </row>
        <row r="534">
          <cell r="B534" t="str">
            <v>HPLBIO</v>
          </cell>
          <cell r="C534" t="str">
            <v>VAR_fin</v>
          </cell>
          <cell r="D534" t="str">
            <v>EBIO</v>
          </cell>
          <cell r="E534">
            <v>1.1839515550993776</v>
          </cell>
          <cell r="F534">
            <v>1.1839499127826767</v>
          </cell>
          <cell r="G534">
            <v>1.1839505371010577</v>
          </cell>
          <cell r="H534">
            <v>1.1839510255630241</v>
          </cell>
          <cell r="I534">
            <v>1.183998921855336</v>
          </cell>
          <cell r="J534">
            <v>1.1840001454141909</v>
          </cell>
          <cell r="K534">
            <v>1.1839978363904267</v>
          </cell>
          <cell r="L534">
            <v>1.1840022083720279</v>
          </cell>
          <cell r="M534">
            <v>1.1839987156826359</v>
          </cell>
          <cell r="N534">
            <v>2.8800563946312221</v>
          </cell>
          <cell r="O534">
            <v>6.9877372424741253</v>
          </cell>
          <cell r="P534">
            <v>10.598702559348206</v>
          </cell>
        </row>
        <row r="535">
          <cell r="B535" t="str">
            <v>HPLBIO</v>
          </cell>
          <cell r="C535" t="str">
            <v>VAR_ncap</v>
          </cell>
          <cell r="D535" t="str">
            <v>-</v>
          </cell>
          <cell r="E535">
            <v>1.1944417826318099E-5</v>
          </cell>
          <cell r="F535">
            <v>8.2984429057094893E-6</v>
          </cell>
          <cell r="G535">
            <v>8.9658529781925301E-6</v>
          </cell>
          <cell r="H535">
            <v>6.2913087805152298E-2</v>
          </cell>
          <cell r="I535">
            <v>5.1454790727243002E-2</v>
          </cell>
          <cell r="J535">
            <v>2.1161284447788399E-5</v>
          </cell>
          <cell r="K535">
            <v>1.9953172419183499E-2</v>
          </cell>
          <cell r="L535">
            <v>6.6247277727103496E-2</v>
          </cell>
          <cell r="M535">
            <v>3.4645404648250999E-2</v>
          </cell>
          <cell r="N535">
            <v>0.22826364922345099</v>
          </cell>
          <cell r="O535">
            <v>0.34593905591519603</v>
          </cell>
          <cell r="P535">
            <v>0.41510437852903997</v>
          </cell>
        </row>
        <row r="536">
          <cell r="B536" t="str">
            <v>HPLBIO</v>
          </cell>
          <cell r="C536" t="str">
            <v>VAR_cap</v>
          </cell>
          <cell r="D536" t="str">
            <v>-</v>
          </cell>
          <cell r="E536">
            <v>0.11439013009715732</v>
          </cell>
          <cell r="F536">
            <v>0.11439366205394223</v>
          </cell>
          <cell r="G536">
            <v>0.11439854499195316</v>
          </cell>
          <cell r="H536">
            <v>0.11438214144813183</v>
          </cell>
          <cell r="I536">
            <v>0.11438828481380992</v>
          </cell>
          <cell r="J536">
            <v>0.11439425022681911</v>
          </cell>
          <cell r="K536">
            <v>0.11439075537702578</v>
          </cell>
          <cell r="L536">
            <v>0.13766608298333433</v>
          </cell>
          <cell r="M536">
            <v>0.13647132515367089</v>
          </cell>
          <cell r="N536">
            <v>0.34909605493150592</v>
          </cell>
          <cell r="O536">
            <v>0.67508224813249307</v>
          </cell>
          <cell r="P536">
            <v>1.0239341388745304</v>
          </cell>
        </row>
        <row r="537">
          <cell r="B537" t="str">
            <v>G-INTC5</v>
          </cell>
          <cell r="C537" t="str">
            <v>VAR_fout</v>
          </cell>
          <cell r="D537" t="str">
            <v>ELC5</v>
          </cell>
          <cell r="E537">
            <v>249.34019415112672</v>
          </cell>
          <cell r="F537">
            <v>120.3980524357673</v>
          </cell>
          <cell r="G537">
            <v>116.23933885045011</v>
          </cell>
          <cell r="H537">
            <v>134.72875012298127</v>
          </cell>
          <cell r="I537">
            <v>92.55152830063443</v>
          </cell>
          <cell r="J537">
            <v>139.67440838055242</v>
          </cell>
          <cell r="K537">
            <v>97.254157164580377</v>
          </cell>
          <cell r="L537">
            <v>152.18171423281507</v>
          </cell>
          <cell r="M537">
            <v>117.89107115413221</v>
          </cell>
          <cell r="N537">
            <v>113.85293387400529</v>
          </cell>
          <cell r="O537">
            <v>111.53301031810174</v>
          </cell>
          <cell r="P537">
            <v>107.47347237498926</v>
          </cell>
        </row>
        <row r="538">
          <cell r="B538" t="str">
            <v>G-INTC5</v>
          </cell>
          <cell r="C538" t="str">
            <v>VAR_fout</v>
          </cell>
          <cell r="D538" t="str">
            <v>ELC13</v>
          </cell>
          <cell r="E538">
            <v>6.2976692086440425E-2</v>
          </cell>
          <cell r="F538">
            <v>1.3828361309055413E-3</v>
          </cell>
          <cell r="G538">
            <v>2.028283852296552E-3</v>
          </cell>
          <cell r="H538">
            <v>8.0723926182334638E-4</v>
          </cell>
          <cell r="I538">
            <v>8.5196665597842614E-2</v>
          </cell>
          <cell r="J538">
            <v>1.5352178886299795E-3</v>
          </cell>
          <cell r="K538">
            <v>0.25271527665864557</v>
          </cell>
          <cell r="L538">
            <v>5.8285385562747698E-2</v>
          </cell>
          <cell r="M538">
            <v>1.9655915237620897E-3</v>
          </cell>
          <cell r="N538">
            <v>4.2740810226623684E-3</v>
          </cell>
          <cell r="O538">
            <v>5.0491573139709665E-2</v>
          </cell>
          <cell r="P538">
            <v>4.5812099472692352E-2</v>
          </cell>
        </row>
        <row r="539">
          <cell r="B539" t="str">
            <v>G-INTC5</v>
          </cell>
          <cell r="C539" t="str">
            <v>VAR_fin</v>
          </cell>
          <cell r="D539" t="str">
            <v>ELC35</v>
          </cell>
          <cell r="E539">
            <v>257.28026127579574</v>
          </cell>
          <cell r="F539">
            <v>126.09350506028066</v>
          </cell>
          <cell r="G539">
            <v>121.47452186919178</v>
          </cell>
          <cell r="H539">
            <v>140.28749393986203</v>
          </cell>
          <cell r="I539">
            <v>96.111751742935212</v>
          </cell>
          <cell r="J539">
            <v>144.39685793988366</v>
          </cell>
          <cell r="K539">
            <v>100.44301678866955</v>
          </cell>
          <cell r="L539">
            <v>156.26697745604358</v>
          </cell>
          <cell r="M539">
            <v>121.01148555923923</v>
          </cell>
          <cell r="N539">
            <v>116.86890300391597</v>
          </cell>
          <cell r="O539">
            <v>114.53505398196351</v>
          </cell>
          <cell r="P539">
            <v>110.36333187846667</v>
          </cell>
        </row>
        <row r="540">
          <cell r="B540" t="str">
            <v>G-INTC5</v>
          </cell>
          <cell r="C540" t="str">
            <v>VAR_ncap</v>
          </cell>
          <cell r="D540" t="str">
            <v>-</v>
          </cell>
          <cell r="E540">
            <v>3.1731630648080902E-7</v>
          </cell>
          <cell r="F540">
            <v>3.30119656450483E-7</v>
          </cell>
          <cell r="G540">
            <v>3.7086014707199301E-7</v>
          </cell>
          <cell r="H540">
            <v>5.2214985544434105E-7</v>
          </cell>
          <cell r="I540">
            <v>6.1827848492041698E-7</v>
          </cell>
          <cell r="J540">
            <v>1.03016107913785E-6</v>
          </cell>
          <cell r="K540">
            <v>1.4132730965492201E-6</v>
          </cell>
          <cell r="L540">
            <v>2.32752479443027E-6</v>
          </cell>
          <cell r="M540">
            <v>3.0980098455103101E-6</v>
          </cell>
          <cell r="N540">
            <v>1.22039319054784E-5</v>
          </cell>
        </row>
        <row r="541">
          <cell r="B541" t="str">
            <v>G-INTC5</v>
          </cell>
          <cell r="C541" t="str">
            <v>VAR_cap</v>
          </cell>
          <cell r="D541" t="str">
            <v>-</v>
          </cell>
          <cell r="E541">
            <v>12.649263788401001</v>
          </cell>
          <cell r="F541">
            <v>12.649263788401001</v>
          </cell>
          <cell r="G541">
            <v>12.649263788401001</v>
          </cell>
          <cell r="H541">
            <v>12.649264097510875</v>
          </cell>
          <cell r="I541">
            <v>12.649264932440129</v>
          </cell>
          <cell r="J541">
            <v>12.649265328846965</v>
          </cell>
          <cell r="K541">
            <v>12.649265998886463</v>
          </cell>
          <cell r="L541">
            <v>12.64926697728653</v>
          </cell>
          <cell r="M541">
            <v>12.649268173404453</v>
          </cell>
          <cell r="N541">
            <v>12.649271464140572</v>
          </cell>
          <cell r="O541">
            <v>12.649273816094267</v>
          </cell>
          <cell r="P541">
            <v>12.649286020026173</v>
          </cell>
        </row>
        <row r="542">
          <cell r="B542" t="str">
            <v>D-SLFO</v>
          </cell>
          <cell r="C542" t="str">
            <v>VAR_fout</v>
          </cell>
          <cell r="D542" t="str">
            <v>CO2</v>
          </cell>
          <cell r="E542">
            <v>2267.78872880361</v>
          </cell>
          <cell r="F542">
            <v>1996.6206161401301</v>
          </cell>
          <cell r="G542">
            <v>1866.7692317132801</v>
          </cell>
          <cell r="H542">
            <v>1462.87184008139</v>
          </cell>
          <cell r="I542">
            <v>1116.1336310607301</v>
          </cell>
          <cell r="J542">
            <v>792.123585808244</v>
          </cell>
          <cell r="K542">
            <v>464.613510743088</v>
          </cell>
          <cell r="M542">
            <v>1.6317502501919701E-2</v>
          </cell>
          <cell r="N542">
            <v>2.88674611404315E-2</v>
          </cell>
          <cell r="O542">
            <v>1.8494098891078399E-2</v>
          </cell>
          <cell r="P542">
            <v>3.5095934403409697E-2</v>
          </cell>
        </row>
        <row r="543">
          <cell r="B543" t="str">
            <v>D-SLFO</v>
          </cell>
          <cell r="C543" t="str">
            <v>VAR_fout</v>
          </cell>
          <cell r="D543" t="str">
            <v>SLFO</v>
          </cell>
          <cell r="E543">
            <v>30.256635198941776</v>
          </cell>
          <cell r="F543">
            <v>26.638734396174886</v>
          </cell>
          <cell r="G543">
            <v>24.906316253748116</v>
          </cell>
          <cell r="H543">
            <v>19.517842253062419</v>
          </cell>
          <cell r="I543">
            <v>14.891868019224047</v>
          </cell>
          <cell r="J543">
            <v>10.568645871768865</v>
          </cell>
          <cell r="K543">
            <v>6.1995746016666553</v>
          </cell>
          <cell r="L543">
            <v>3.5820540594420662</v>
          </cell>
          <cell r="M543">
            <v>0.86381037144747452</v>
          </cell>
          <cell r="N543">
            <v>0.86982216071007445</v>
          </cell>
          <cell r="O543">
            <v>0.87005454734612264</v>
          </cell>
          <cell r="P543">
            <v>0.87016834517560993</v>
          </cell>
        </row>
        <row r="544">
          <cell r="B544" t="str">
            <v>D-SLFO</v>
          </cell>
          <cell r="C544" t="str">
            <v>VAR_fin</v>
          </cell>
          <cell r="D544" t="str">
            <v>LFO</v>
          </cell>
          <cell r="E544">
            <v>30.7705390611073</v>
          </cell>
          <cell r="F544">
            <v>27.091188821440102</v>
          </cell>
          <cell r="G544">
            <v>25.32929758091295</v>
          </cell>
          <cell r="H544">
            <v>19.849007328105632</v>
          </cell>
          <cell r="I544">
            <v>15.14428264668555</v>
          </cell>
          <cell r="J544">
            <v>10.747945533354725</v>
          </cell>
          <cell r="K544">
            <v>6.3041181919007796</v>
          </cell>
          <cell r="M544">
            <v>2.2140437587408015E-4</v>
          </cell>
          <cell r="N544">
            <v>3.9168875360151247E-4</v>
          </cell>
          <cell r="O544">
            <v>2.5093756975682984E-4</v>
          </cell>
          <cell r="P544">
            <v>4.7619992406254633E-4</v>
          </cell>
        </row>
        <row r="545">
          <cell r="B545" t="str">
            <v>D-SLFO</v>
          </cell>
          <cell r="C545" t="str">
            <v>VAR_fin</v>
          </cell>
          <cell r="D545" t="str">
            <v>BDS</v>
          </cell>
          <cell r="G545">
            <v>4.8442514929885618E-5</v>
          </cell>
          <cell r="H545">
            <v>3.4235215142202214E-4</v>
          </cell>
          <cell r="I545">
            <v>5.2125528380969437E-4</v>
          </cell>
          <cell r="J545">
            <v>2.0791967433070899E-4</v>
          </cell>
          <cell r="K545">
            <v>7.5632323946705755E-4</v>
          </cell>
          <cell r="L545">
            <v>3.6428949100373309</v>
          </cell>
          <cell r="M545">
            <v>0.87826152497565702</v>
          </cell>
          <cell r="N545">
            <v>0.88420539099364548</v>
          </cell>
          <cell r="O545">
            <v>0.8845820525448127</v>
          </cell>
          <cell r="P545">
            <v>0.88447321695060721</v>
          </cell>
        </row>
        <row r="546">
          <cell r="B546" t="str">
            <v>D-RCOA</v>
          </cell>
          <cell r="C546" t="str">
            <v>VAR_fout</v>
          </cell>
          <cell r="D546" t="str">
            <v>CO2</v>
          </cell>
          <cell r="E546">
            <v>9.2700514778087495</v>
          </cell>
          <cell r="F546">
            <v>9.2700100273891604</v>
          </cell>
          <cell r="G546">
            <v>0.13695117262047901</v>
          </cell>
          <cell r="H546">
            <v>8.6216880868625001E-2</v>
          </cell>
          <cell r="I546">
            <v>3.3755115495356702E-2</v>
          </cell>
        </row>
        <row r="547">
          <cell r="B547" t="str">
            <v>D-RCOA</v>
          </cell>
          <cell r="C547" t="str">
            <v>VAR_fout</v>
          </cell>
          <cell r="D547" t="str">
            <v>RCOA</v>
          </cell>
          <cell r="E547">
            <v>0.10000055531616782</v>
          </cell>
          <cell r="F547">
            <v>0.10000010817032533</v>
          </cell>
          <cell r="G547">
            <v>1.4773589279447603E-3</v>
          </cell>
          <cell r="H547">
            <v>9.3006343979099276E-4</v>
          </cell>
          <cell r="I547">
            <v>3.641328532400939E-4</v>
          </cell>
        </row>
        <row r="548">
          <cell r="B548" t="str">
            <v>D-RCOA</v>
          </cell>
          <cell r="C548" t="str">
            <v>VAR_fin</v>
          </cell>
          <cell r="D548" t="str">
            <v>COA</v>
          </cell>
          <cell r="E548">
            <v>0.10000055531616782</v>
          </cell>
          <cell r="F548">
            <v>0.10000010817032533</v>
          </cell>
          <cell r="G548">
            <v>1.4773589279447603E-3</v>
          </cell>
          <cell r="H548">
            <v>9.3006343979099276E-4</v>
          </cell>
          <cell r="I548">
            <v>3.641328532400939E-4</v>
          </cell>
        </row>
        <row r="549">
          <cell r="B549" t="str">
            <v>EHYD-RUN00</v>
          </cell>
          <cell r="C549" t="str">
            <v>VAR_fout</v>
          </cell>
          <cell r="D549" t="str">
            <v>ELC13</v>
          </cell>
          <cell r="E549">
            <v>54.392400702586734</v>
          </cell>
          <cell r="F549">
            <v>43.51832969119954</v>
          </cell>
          <cell r="G549">
            <v>53.295216699395802</v>
          </cell>
          <cell r="H549">
            <v>52.201686345009549</v>
          </cell>
          <cell r="I549">
            <v>51.108631984055101</v>
          </cell>
          <cell r="J549">
            <v>50.015601361998662</v>
          </cell>
          <cell r="K549">
            <v>48.922451971113084</v>
          </cell>
          <cell r="L549">
            <v>47.829568215631276</v>
          </cell>
          <cell r="M549">
            <v>47.829632802331233</v>
          </cell>
          <cell r="N549">
            <v>47.829758497229719</v>
          </cell>
          <cell r="O549">
            <v>47.829733960309945</v>
          </cell>
          <cell r="P549">
            <v>47.829617914433271</v>
          </cell>
        </row>
        <row r="550">
          <cell r="B550" t="str">
            <v>EHYD-RUN00</v>
          </cell>
          <cell r="C550" t="str">
            <v>VAR_fin</v>
          </cell>
          <cell r="D550" t="str">
            <v>HYDR</v>
          </cell>
          <cell r="E550">
            <v>54.392400702586734</v>
          </cell>
          <cell r="F550">
            <v>43.51832969119954</v>
          </cell>
          <cell r="G550">
            <v>53.295216699395802</v>
          </cell>
          <cell r="H550">
            <v>52.201686345009549</v>
          </cell>
          <cell r="I550">
            <v>51.108631984055101</v>
          </cell>
          <cell r="J550">
            <v>50.015601361998662</v>
          </cell>
          <cell r="K550">
            <v>48.922451971113084</v>
          </cell>
          <cell r="L550">
            <v>47.829568215631276</v>
          </cell>
          <cell r="M550">
            <v>47.829632802331233</v>
          </cell>
          <cell r="N550">
            <v>47.829758497229719</v>
          </cell>
          <cell r="O550">
            <v>47.829733960309945</v>
          </cell>
          <cell r="P550">
            <v>47.829617914433271</v>
          </cell>
        </row>
        <row r="551">
          <cell r="B551" t="str">
            <v>EHYD-RUN00</v>
          </cell>
          <cell r="C551" t="str">
            <v>VAR_cap</v>
          </cell>
          <cell r="D551" t="str">
            <v>-</v>
          </cell>
          <cell r="E551">
            <v>3.86687</v>
          </cell>
          <cell r="F551">
            <v>3.9240852000672399</v>
          </cell>
          <cell r="G551">
            <v>3.9610124303882599</v>
          </cell>
          <cell r="H551">
            <v>3.9647700000000001</v>
          </cell>
          <cell r="I551">
            <v>3.9647700000000001</v>
          </cell>
          <cell r="J551">
            <v>3.9647700000000001</v>
          </cell>
          <cell r="K551">
            <v>3.9647700000000001</v>
          </cell>
          <cell r="L551">
            <v>3.9647700000000001</v>
          </cell>
          <cell r="M551">
            <v>3.9647700000000001</v>
          </cell>
          <cell r="N551">
            <v>3.9647700000000001</v>
          </cell>
          <cell r="O551">
            <v>3.9647700000000001</v>
          </cell>
          <cell r="P551">
            <v>3.9647700000000001</v>
          </cell>
        </row>
        <row r="552">
          <cell r="B552" t="str">
            <v>HPLELCHP</v>
          </cell>
          <cell r="C552" t="str">
            <v>VAR_fout</v>
          </cell>
          <cell r="D552" t="str">
            <v>LTH</v>
          </cell>
          <cell r="F552">
            <v>3.8576989161071156</v>
          </cell>
          <cell r="G552">
            <v>3.9745921197646603</v>
          </cell>
          <cell r="H552">
            <v>4.4338933211905696</v>
          </cell>
          <cell r="I552">
            <v>5.6719041851008525</v>
          </cell>
          <cell r="J552">
            <v>5.9612293972838666</v>
          </cell>
          <cell r="K552">
            <v>6.2653136644098417</v>
          </cell>
          <cell r="L552">
            <v>6.5870201410791207</v>
          </cell>
          <cell r="M552">
            <v>6.9230245701254027</v>
          </cell>
          <cell r="N552">
            <v>7.2763040039433093</v>
          </cell>
          <cell r="O552">
            <v>7.6474756217842543</v>
          </cell>
          <cell r="P552">
            <v>8.039190142305646</v>
          </cell>
        </row>
        <row r="553">
          <cell r="B553" t="str">
            <v>HPLELCHP</v>
          </cell>
          <cell r="C553" t="str">
            <v>VAR_fin</v>
          </cell>
          <cell r="D553" t="str">
            <v>ELC35</v>
          </cell>
          <cell r="F553">
            <v>1.2858996387023727</v>
          </cell>
          <cell r="G553">
            <v>1.3248640399215541</v>
          </cell>
          <cell r="H553">
            <v>1.4779644403968568</v>
          </cell>
          <cell r="I553">
            <v>1.8906347283669502</v>
          </cell>
          <cell r="J553">
            <v>1.9870764657612883</v>
          </cell>
          <cell r="K553">
            <v>2.088437888136613</v>
          </cell>
          <cell r="L553">
            <v>2.1956733803597062</v>
          </cell>
          <cell r="M553">
            <v>2.3076748567084668</v>
          </cell>
          <cell r="N553">
            <v>2.4254346679811016</v>
          </cell>
          <cell r="O553">
            <v>2.5491585405947519</v>
          </cell>
          <cell r="P553">
            <v>2.6797300474352155</v>
          </cell>
        </row>
        <row r="554">
          <cell r="B554" t="str">
            <v>HPLELCHP</v>
          </cell>
          <cell r="C554" t="str">
            <v>VAR_fin</v>
          </cell>
          <cell r="D554" t="str">
            <v>WWTPCC</v>
          </cell>
          <cell r="F554">
            <v>7.7153978322142303</v>
          </cell>
          <cell r="G554">
            <v>7.9491842395293197</v>
          </cell>
          <cell r="H554">
            <v>8.8677866423811391</v>
          </cell>
          <cell r="I554">
            <v>11.3438083702017</v>
          </cell>
          <cell r="J554">
            <v>11.922458794567699</v>
          </cell>
          <cell r="K554">
            <v>12.530627328819699</v>
          </cell>
          <cell r="L554">
            <v>13.174040282158201</v>
          </cell>
          <cell r="M554">
            <v>13.8460491402508</v>
          </cell>
          <cell r="N554">
            <v>14.552608007886599</v>
          </cell>
          <cell r="O554">
            <v>15.2949512435685</v>
          </cell>
          <cell r="P554">
            <v>16.078380284611299</v>
          </cell>
        </row>
        <row r="555">
          <cell r="B555" t="str">
            <v>HPLELCHP</v>
          </cell>
          <cell r="C555" t="str">
            <v>VAR_ncap</v>
          </cell>
          <cell r="D555" t="str">
            <v>-</v>
          </cell>
          <cell r="F555">
            <v>0.23758119163067301</v>
          </cell>
          <cell r="G555">
            <v>7.2030810524219002E-3</v>
          </cell>
          <cell r="H555">
            <v>2.82529384603959E-2</v>
          </cell>
          <cell r="I555">
            <v>7.8894051529761505E-2</v>
          </cell>
          <cell r="J555">
            <v>0.109502985799824</v>
          </cell>
          <cell r="K555">
            <v>0.18088608865757899</v>
          </cell>
          <cell r="L555">
            <v>4.9318824638899798E-2</v>
          </cell>
          <cell r="M555">
            <v>8.1413178562503005E-2</v>
          </cell>
          <cell r="N555">
            <v>0.13666974525228701</v>
          </cell>
          <cell r="O555">
            <v>0.20697599628595001</v>
          </cell>
          <cell r="P555">
            <v>7.3670938301335295E-2</v>
          </cell>
        </row>
        <row r="556">
          <cell r="B556" t="str">
            <v>HPLELCHP</v>
          </cell>
          <cell r="C556" t="str">
            <v>VAR_cap</v>
          </cell>
          <cell r="D556" t="str">
            <v>-</v>
          </cell>
          <cell r="F556">
            <v>0.23758119163067301</v>
          </cell>
          <cell r="G556">
            <v>0.24478409909616791</v>
          </cell>
          <cell r="H556">
            <v>0.27303665637452851</v>
          </cell>
          <cell r="I556">
            <v>0.35192956859794405</v>
          </cell>
          <cell r="J556">
            <v>0.36990296970779546</v>
          </cell>
          <cell r="K556">
            <v>0.38985252638712192</v>
          </cell>
          <cell r="L556">
            <v>0.41859912665508742</v>
          </cell>
          <cell r="M556">
            <v>0.43055797400653867</v>
          </cell>
          <cell r="N556">
            <v>0.44828422377256405</v>
          </cell>
          <cell r="O556">
            <v>0.47437421911546562</v>
          </cell>
          <cell r="P556">
            <v>0.49872490802949637</v>
          </cell>
        </row>
        <row r="557">
          <cell r="B557" t="str">
            <v>D-ITOT_LTH</v>
          </cell>
          <cell r="C557" t="str">
            <v>VAR_fout</v>
          </cell>
          <cell r="D557" t="str">
            <v>ITOT_LTH_DH</v>
          </cell>
          <cell r="E557">
            <v>7.1200037690718032</v>
          </cell>
          <cell r="F557">
            <v>7.6289064229247332</v>
          </cell>
          <cell r="G557">
            <v>7.2463971357543437</v>
          </cell>
          <cell r="H557">
            <v>7.7665283827889073</v>
          </cell>
          <cell r="I557">
            <v>7.9986122061409928</v>
          </cell>
          <cell r="J557">
            <v>7.1288071963883848</v>
          </cell>
          <cell r="K557">
            <v>8.8217358446124727</v>
          </cell>
          <cell r="L557">
            <v>8.1467171350523717</v>
          </cell>
          <cell r="M557">
            <v>9.4119643178663441</v>
          </cell>
          <cell r="N557">
            <v>8.8495509798191829</v>
          </cell>
          <cell r="O557">
            <v>8.0494664340089255</v>
          </cell>
          <cell r="P557">
            <v>8.0274257013152237</v>
          </cell>
        </row>
        <row r="558">
          <cell r="B558" t="str">
            <v>D-ITOT_LTH</v>
          </cell>
          <cell r="C558" t="str">
            <v>VAR_fin</v>
          </cell>
          <cell r="D558" t="str">
            <v>LTH</v>
          </cell>
          <cell r="E558">
            <v>7.7403397879979519</v>
          </cell>
          <cell r="F558">
            <v>8.2914013389510508</v>
          </cell>
          <cell r="G558">
            <v>7.8725714006670415</v>
          </cell>
          <cell r="H558">
            <v>8.4321101601619972</v>
          </cell>
          <cell r="I558">
            <v>8.6783873023003757</v>
          </cell>
          <cell r="J558">
            <v>7.7295905822010118</v>
          </cell>
          <cell r="K558">
            <v>9.5589258596065179</v>
          </cell>
          <cell r="L558">
            <v>8.8217204128004614</v>
          </cell>
          <cell r="M558">
            <v>10.191800742684956</v>
          </cell>
          <cell r="N558">
            <v>9.5827881622266791</v>
          </cell>
          <cell r="O558">
            <v>8.7164119210077633</v>
          </cell>
          <cell r="P558">
            <v>8.6925449843885207</v>
          </cell>
        </row>
        <row r="559">
          <cell r="B559" t="str">
            <v>D-ITOT_LTH</v>
          </cell>
          <cell r="C559" t="str">
            <v>VAR_ncap</v>
          </cell>
          <cell r="D559" t="str">
            <v>-</v>
          </cell>
          <cell r="E559">
            <v>0.79547234558014202</v>
          </cell>
          <cell r="F559">
            <v>2.1954532417572E-8</v>
          </cell>
          <cell r="G559">
            <v>2.4478731374722198E-8</v>
          </cell>
          <cell r="H559">
            <v>2.7400026188935399E-8</v>
          </cell>
          <cell r="I559">
            <v>3.6482744680099E-8</v>
          </cell>
          <cell r="J559">
            <v>5.1102644561912998E-8</v>
          </cell>
          <cell r="K559">
            <v>5.63819385018119E-8</v>
          </cell>
          <cell r="L559">
            <v>1.4359740683766E-7</v>
          </cell>
          <cell r="M559">
            <v>9.3398652513252398E-8</v>
          </cell>
          <cell r="N559">
            <v>1.9798791463389999E-7</v>
          </cell>
          <cell r="O559">
            <v>2.7365874650499298E-7</v>
          </cell>
          <cell r="P559">
            <v>1.36891293985377E-6</v>
          </cell>
        </row>
        <row r="560">
          <cell r="B560" t="str">
            <v>D-ITOT_LTH</v>
          </cell>
          <cell r="C560" t="str">
            <v>VAR_cap</v>
          </cell>
          <cell r="D560" t="str">
            <v>-</v>
          </cell>
          <cell r="E560">
            <v>0.79547234558014202</v>
          </cell>
          <cell r="F560">
            <v>0.79547236753467399</v>
          </cell>
          <cell r="G560">
            <v>0.79547239201340603</v>
          </cell>
          <cell r="H560">
            <v>0.79547241941343205</v>
          </cell>
          <cell r="I560">
            <v>0.79547245589617699</v>
          </cell>
          <cell r="J560">
            <v>0.79547250699882099</v>
          </cell>
          <cell r="K560">
            <v>0.79547256338076</v>
          </cell>
          <cell r="L560">
            <v>0.79547270697816697</v>
          </cell>
          <cell r="M560">
            <v>0.795472800376819</v>
          </cell>
          <cell r="N560">
            <v>0.79547299836473395</v>
          </cell>
          <cell r="O560">
            <v>0.79547327202347995</v>
          </cell>
          <cell r="P560">
            <v>0.79547464093641995</v>
          </cell>
        </row>
        <row r="561">
          <cell r="B561" t="str">
            <v>ENUC_AMR_BEZ_III</v>
          </cell>
          <cell r="C561" t="str">
            <v>VAR_fout</v>
          </cell>
          <cell r="D561" t="str">
            <v>HTH</v>
          </cell>
          <cell r="M561">
            <v>0.81195063956930413</v>
          </cell>
          <cell r="N561">
            <v>1.9508396547574678</v>
          </cell>
          <cell r="O561">
            <v>1.7769563855624544</v>
          </cell>
          <cell r="P561">
            <v>1.8234350322895903</v>
          </cell>
        </row>
        <row r="562">
          <cell r="B562" t="str">
            <v>ENUC_AMR_BEZ_III</v>
          </cell>
          <cell r="C562" t="str">
            <v>VAR_fout</v>
          </cell>
          <cell r="D562" t="str">
            <v>ELC</v>
          </cell>
          <cell r="M562">
            <v>2.8646704776030694</v>
          </cell>
          <cell r="N562">
            <v>6.9579683896397286</v>
          </cell>
          <cell r="O562">
            <v>6.9782596905379162</v>
          </cell>
          <cell r="P562">
            <v>7.0137891700606092</v>
          </cell>
        </row>
        <row r="563">
          <cell r="B563" t="str">
            <v>ENUC_AMR_BEZ_III</v>
          </cell>
          <cell r="C563" t="str">
            <v>VAR_fin</v>
          </cell>
          <cell r="D563" t="str">
            <v>URN</v>
          </cell>
          <cell r="M563">
            <v>7.2288737960446907</v>
          </cell>
          <cell r="N563">
            <v>17.535502929257909</v>
          </cell>
          <cell r="O563">
            <v>17.395791977151543</v>
          </cell>
          <cell r="P563">
            <v>17.524138970652679</v>
          </cell>
        </row>
        <row r="564">
          <cell r="B564" t="str">
            <v>ENUC_AMR_BEZ_III</v>
          </cell>
          <cell r="C564" t="str">
            <v>VAR_ncap</v>
          </cell>
          <cell r="D564" t="str">
            <v>-</v>
          </cell>
          <cell r="M564">
            <v>0.299990654505634</v>
          </cell>
          <cell r="N564">
            <v>2.2955409873710599E-7</v>
          </cell>
          <cell r="O564">
            <v>3.8425989969403098E-7</v>
          </cell>
        </row>
        <row r="565">
          <cell r="B565" t="str">
            <v>ENUC_AMR_BEZ_III</v>
          </cell>
          <cell r="C565" t="str">
            <v>VAR_cap</v>
          </cell>
          <cell r="D565" t="str">
            <v>-</v>
          </cell>
          <cell r="M565">
            <v>0.122248068159763</v>
          </cell>
          <cell r="N565">
            <v>0.299990654505634</v>
          </cell>
          <cell r="O565">
            <v>0.29999100587538202</v>
          </cell>
          <cell r="P565">
            <v>0.29999126831963202</v>
          </cell>
        </row>
        <row r="566">
          <cell r="B566" t="str">
            <v>D-IH2</v>
          </cell>
          <cell r="C566" t="str">
            <v>VAR_fout</v>
          </cell>
          <cell r="D566" t="str">
            <v>IH2</v>
          </cell>
          <cell r="H566">
            <v>8.4212444408148814E-4</v>
          </cell>
          <cell r="I566">
            <v>2.0908525450364075</v>
          </cell>
          <cell r="J566">
            <v>3.5682670661747942</v>
          </cell>
          <cell r="K566">
            <v>11.925770806730819</v>
          </cell>
          <cell r="L566">
            <v>18.116419963134188</v>
          </cell>
          <cell r="M566">
            <v>21.505369489517832</v>
          </cell>
          <cell r="N566">
            <v>22.36028746730176</v>
          </cell>
          <cell r="O566">
            <v>22.586279332925375</v>
          </cell>
          <cell r="P566">
            <v>22.432087746670405</v>
          </cell>
        </row>
        <row r="567">
          <cell r="B567" t="str">
            <v>D-IH2</v>
          </cell>
          <cell r="C567" t="str">
            <v>VAR_fin</v>
          </cell>
          <cell r="D567" t="str">
            <v>H2</v>
          </cell>
          <cell r="H567">
            <v>8.4854007485624084E-4</v>
          </cell>
          <cell r="I567">
            <v>2.1067814710136568</v>
          </cell>
          <cell r="J567">
            <v>3.5954515092380239</v>
          </cell>
          <cell r="K567">
            <v>12.016625956154426</v>
          </cell>
          <cell r="L567">
            <v>18.254437879916789</v>
          </cell>
          <cell r="M567">
            <v>21.66920573876703</v>
          </cell>
          <cell r="N567">
            <v>22.530636813429567</v>
          </cell>
          <cell r="O567">
            <v>22.758350372774515</v>
          </cell>
          <cell r="P567">
            <v>22.602984095186272</v>
          </cell>
        </row>
        <row r="568">
          <cell r="B568" t="str">
            <v>D-IH2</v>
          </cell>
          <cell r="C568" t="str">
            <v>VAR_ncap</v>
          </cell>
          <cell r="D568" t="str">
            <v>-</v>
          </cell>
          <cell r="H568">
            <v>1.4107238841445401E-4</v>
          </cell>
          <cell r="I568">
            <v>0.13102126826575999</v>
          </cell>
          <cell r="J568">
            <v>1.2543527271000399E-4</v>
          </cell>
          <cell r="K568">
            <v>0.31539988541077302</v>
          </cell>
          <cell r="L568">
            <v>0.27137730042182101</v>
          </cell>
          <cell r="M568">
            <v>9.7644545057197704E-2</v>
          </cell>
          <cell r="N568">
            <v>3.1234619734991101E-2</v>
          </cell>
          <cell r="O568">
            <v>2.8570908007803601E-3</v>
          </cell>
          <cell r="P568">
            <v>8.7996824754533497E-5</v>
          </cell>
        </row>
        <row r="569">
          <cell r="B569" t="str">
            <v>D-IH2</v>
          </cell>
          <cell r="C569" t="str">
            <v>VAR_cap</v>
          </cell>
          <cell r="D569" t="str">
            <v>-</v>
          </cell>
          <cell r="H569">
            <v>1.4107238841445401E-4</v>
          </cell>
          <cell r="I569">
            <v>0.13116234065417401</v>
          </cell>
          <cell r="J569">
            <v>0.13128777592688401</v>
          </cell>
          <cell r="K569">
            <v>0.44668766133765703</v>
          </cell>
          <cell r="L569">
            <v>0.71806496175947798</v>
          </cell>
          <cell r="M569">
            <v>0.81570950681667598</v>
          </cell>
          <cell r="N569">
            <v>0.84694412655166695</v>
          </cell>
          <cell r="O569">
            <v>0.84975649547399001</v>
          </cell>
          <cell r="P569">
            <v>0.84974814178878799</v>
          </cell>
        </row>
        <row r="570">
          <cell r="B570" t="str">
            <v>RHEM-ESOLPV</v>
          </cell>
          <cell r="C570" t="str">
            <v>VAR_fout</v>
          </cell>
          <cell r="D570" t="str">
            <v>RHEM_SOL_ELC</v>
          </cell>
          <cell r="E570">
            <v>0.86248322578584768</v>
          </cell>
          <cell r="F570">
            <v>1.2875826063925269</v>
          </cell>
          <cell r="G570">
            <v>2.9459385430486718</v>
          </cell>
          <cell r="H570">
            <v>6.7720535629576082</v>
          </cell>
          <cell r="I570">
            <v>7.1175058673825902</v>
          </cell>
          <cell r="J570">
            <v>7.480570999300892</v>
          </cell>
          <cell r="K570">
            <v>7.8621566861955872</v>
          </cell>
          <cell r="L570">
            <v>8.2632065941248154</v>
          </cell>
          <cell r="M570">
            <v>8.6847137557275875</v>
          </cell>
          <cell r="N570">
            <v>9.1277224515714703</v>
          </cell>
          <cell r="O570">
            <v>9.5933296982438652</v>
          </cell>
          <cell r="P570">
            <v>10.082692716763423</v>
          </cell>
        </row>
        <row r="571">
          <cell r="B571" t="str">
            <v>RHEM-ESOLPV</v>
          </cell>
          <cell r="C571" t="str">
            <v>VAR_fin</v>
          </cell>
          <cell r="D571" t="str">
            <v>SOL</v>
          </cell>
          <cell r="E571">
            <v>0.86248322578584768</v>
          </cell>
          <cell r="F571">
            <v>1.2875826063925269</v>
          </cell>
          <cell r="G571">
            <v>2.9459385430486718</v>
          </cell>
          <cell r="H571">
            <v>6.7720535629576082</v>
          </cell>
          <cell r="I571">
            <v>7.1175058673825902</v>
          </cell>
          <cell r="J571">
            <v>7.480570999300892</v>
          </cell>
          <cell r="K571">
            <v>7.8621566861955872</v>
          </cell>
          <cell r="L571">
            <v>8.2632065941248154</v>
          </cell>
          <cell r="M571">
            <v>8.6847137557275875</v>
          </cell>
          <cell r="N571">
            <v>9.1277224515714703</v>
          </cell>
          <cell r="O571">
            <v>9.5933296982438652</v>
          </cell>
          <cell r="P571">
            <v>10.082692716763423</v>
          </cell>
        </row>
        <row r="572">
          <cell r="B572" t="str">
            <v>RHEM-ESOLPV</v>
          </cell>
          <cell r="C572" t="str">
            <v>VAR_fin</v>
          </cell>
          <cell r="D572" t="str">
            <v>SOLPVC</v>
          </cell>
          <cell r="E572">
            <v>0.86248322578584802</v>
          </cell>
          <cell r="F572">
            <v>1.28758260639253</v>
          </cell>
          <cell r="G572">
            <v>2.94593854304867</v>
          </cell>
          <cell r="H572">
            <v>6.77205356295761</v>
          </cell>
          <cell r="I572">
            <v>7.1175058673825902</v>
          </cell>
          <cell r="J572">
            <v>7.4805709993008902</v>
          </cell>
          <cell r="K572">
            <v>7.8621566861955898</v>
          </cell>
          <cell r="L572">
            <v>8.2632065941248207</v>
          </cell>
          <cell r="M572">
            <v>8.6847137557275893</v>
          </cell>
          <cell r="N572">
            <v>9.1277224515714703</v>
          </cell>
          <cell r="O572">
            <v>9.5933296982438705</v>
          </cell>
          <cell r="P572">
            <v>10.0826927167634</v>
          </cell>
        </row>
        <row r="573">
          <cell r="B573" t="str">
            <v>RHEM-ESOLPV</v>
          </cell>
          <cell r="C573" t="str">
            <v>VAR_ncap</v>
          </cell>
          <cell r="D573" t="str">
            <v>-</v>
          </cell>
          <cell r="F573">
            <v>1.12816139169987E-8</v>
          </cell>
          <cell r="G573">
            <v>0.39645016431653302</v>
          </cell>
          <cell r="H573">
            <v>0.80744883140121704</v>
          </cell>
          <cell r="I573">
            <v>0.17390781847393699</v>
          </cell>
          <cell r="J573">
            <v>0.28548274168118698</v>
          </cell>
          <cell r="K573">
            <v>0.86391311095387702</v>
          </cell>
          <cell r="L573">
            <v>0.72091130211952703</v>
          </cell>
          <cell r="M573">
            <v>0.26321711566969003</v>
          </cell>
          <cell r="N573">
            <v>0.41004400471969799</v>
          </cell>
          <cell r="O573">
            <v>0.97909865338381596</v>
          </cell>
          <cell r="P573">
            <v>0.84197378113910304</v>
          </cell>
        </row>
        <row r="574">
          <cell r="B574" t="str">
            <v>RHEM-ESOLPV</v>
          </cell>
          <cell r="C574" t="str">
            <v>VAR_cap</v>
          </cell>
          <cell r="D574" t="str">
            <v>-</v>
          </cell>
          <cell r="E574">
            <v>0.27424799999999999</v>
          </cell>
          <cell r="F574">
            <v>0.43894532875802694</v>
          </cell>
          <cell r="G574">
            <v>0.87959817559814701</v>
          </cell>
          <cell r="H574">
            <v>1.6753222192588422</v>
          </cell>
          <cell r="I574">
            <v>1.7607827580500621</v>
          </cell>
          <cell r="J574">
            <v>1.850600640777784</v>
          </cell>
          <cell r="K574">
            <v>1.94500018428449</v>
          </cell>
          <cell r="L574">
            <v>2.04421497322853</v>
          </cell>
          <cell r="M574">
            <v>2.1484906557577901</v>
          </cell>
          <cell r="N574">
            <v>2.2580855334627898</v>
          </cell>
          <cell r="O574">
            <v>2.3732710758927298</v>
          </cell>
          <cell r="P574">
            <v>2.49433355491231</v>
          </cell>
        </row>
        <row r="575">
          <cell r="B575" t="str">
            <v>ENUC_AMR_GOE_VI</v>
          </cell>
          <cell r="C575" t="str">
            <v>VAR_fout</v>
          </cell>
          <cell r="D575" t="str">
            <v>HTH</v>
          </cell>
          <cell r="O575">
            <v>1.8101710830716856E-2</v>
          </cell>
          <cell r="P575">
            <v>1.8351639775143872E-2</v>
          </cell>
        </row>
        <row r="576">
          <cell r="B576" t="str">
            <v>ENUC_AMR_GOE_VI</v>
          </cell>
          <cell r="C576" t="str">
            <v>VAR_fout</v>
          </cell>
          <cell r="D576" t="str">
            <v>ELC</v>
          </cell>
          <cell r="O576">
            <v>5.0791804201311207E-2</v>
          </cell>
          <cell r="P576">
            <v>6.3469259015615426E-2</v>
          </cell>
        </row>
        <row r="577">
          <cell r="B577" t="str">
            <v>ENUC_AMR_GOE_VI</v>
          </cell>
          <cell r="C577" t="str">
            <v>VAR_fin</v>
          </cell>
          <cell r="D577" t="str">
            <v>URN</v>
          </cell>
          <cell r="O577">
            <v>0.13210459618458478</v>
          </cell>
          <cell r="P577">
            <v>0.16053731398915036</v>
          </cell>
        </row>
        <row r="578">
          <cell r="B578" t="str">
            <v>ENUC_AMR_GOE_VI</v>
          </cell>
          <cell r="C578" t="str">
            <v>VAR_ncap</v>
          </cell>
          <cell r="D578" t="str">
            <v>-</v>
          </cell>
          <cell r="N578">
            <v>1.8973145737919399E-3</v>
          </cell>
          <cell r="O578">
            <v>7.5893836222562299E-4</v>
          </cell>
        </row>
        <row r="579">
          <cell r="B579" t="str">
            <v>ENUC_AMR_GOE_VI</v>
          </cell>
          <cell r="C579" t="str">
            <v>VAR_cap</v>
          </cell>
          <cell r="D579" t="str">
            <v>-</v>
          </cell>
          <cell r="O579">
            <v>2.1379084247448899E-3</v>
          </cell>
          <cell r="P579">
            <v>2.6562529360175599E-3</v>
          </cell>
        </row>
        <row r="580">
          <cell r="B580" t="str">
            <v>HPLNUC</v>
          </cell>
          <cell r="C580" t="str">
            <v>VAR_fout</v>
          </cell>
          <cell r="D580" t="str">
            <v>LTH</v>
          </cell>
          <cell r="E580">
            <v>1.4500075317723111</v>
          </cell>
          <cell r="F580">
            <v>3.8018381739436022</v>
          </cell>
          <cell r="G580">
            <v>3.8014288378245666</v>
          </cell>
          <cell r="H580">
            <v>1.1502465353496012</v>
          </cell>
          <cell r="I580">
            <v>0.85616026892172625</v>
          </cell>
        </row>
        <row r="581">
          <cell r="B581" t="str">
            <v>HPLNUC</v>
          </cell>
          <cell r="C581" t="str">
            <v>VAR_fin</v>
          </cell>
          <cell r="D581" t="str">
            <v>URN</v>
          </cell>
          <cell r="E581">
            <v>1.4500075317723111</v>
          </cell>
          <cell r="F581">
            <v>3.8018381739436022</v>
          </cell>
          <cell r="G581">
            <v>3.8014288378245666</v>
          </cell>
          <cell r="H581">
            <v>1.1502465353496012</v>
          </cell>
          <cell r="I581">
            <v>0.85616026892172625</v>
          </cell>
        </row>
        <row r="582">
          <cell r="B582" t="str">
            <v>HPLNUC</v>
          </cell>
          <cell r="C582" t="str">
            <v>VAR_cap</v>
          </cell>
          <cell r="D582" t="str">
            <v>-</v>
          </cell>
          <cell r="E582">
            <v>0.120558721922211</v>
          </cell>
          <cell r="F582">
            <v>0.120558721922211</v>
          </cell>
          <cell r="G582">
            <v>0.120558721922211</v>
          </cell>
          <cell r="H582">
            <v>0.120558721922211</v>
          </cell>
          <cell r="I582">
            <v>0.120558721922211</v>
          </cell>
          <cell r="J582">
            <v>0.120558721922211</v>
          </cell>
          <cell r="K582">
            <v>0.120558721922211</v>
          </cell>
          <cell r="L582">
            <v>0.120558721922211</v>
          </cell>
          <cell r="M582">
            <v>8.85558611937695E-2</v>
          </cell>
        </row>
        <row r="583">
          <cell r="B583" t="str">
            <v>ITOT-CHPWODCCS</v>
          </cell>
          <cell r="C583" t="str">
            <v>VAR_fout</v>
          </cell>
          <cell r="D583" t="str">
            <v>CO2_O</v>
          </cell>
          <cell r="J583">
            <v>755.6963826981181</v>
          </cell>
          <cell r="K583">
            <v>1069.7403589923388</v>
          </cell>
          <cell r="L583">
            <v>1239.9171715040291</v>
          </cell>
          <cell r="M583">
            <v>1229.6855740591475</v>
          </cell>
          <cell r="N583">
            <v>1239.9172482780323</v>
          </cell>
          <cell r="O583">
            <v>1237.0148901997379</v>
          </cell>
          <cell r="P583">
            <v>1239.9183237934596</v>
          </cell>
        </row>
        <row r="584">
          <cell r="B584" t="str">
            <v>ITOT-CHPWODCCS</v>
          </cell>
          <cell r="C584" t="str">
            <v>VAR_fout</v>
          </cell>
          <cell r="D584" t="str">
            <v>CO2</v>
          </cell>
          <cell r="J584">
            <v>-755.69638269811696</v>
          </cell>
          <cell r="K584">
            <v>-1069.7403589923399</v>
          </cell>
          <cell r="L584">
            <v>-1239.91717150403</v>
          </cell>
          <cell r="M584">
            <v>-1229.68557405915</v>
          </cell>
          <cell r="N584">
            <v>-1239.91724827803</v>
          </cell>
          <cell r="O584">
            <v>-1237.01489019974</v>
          </cell>
          <cell r="P584">
            <v>-1239.9183237934601</v>
          </cell>
        </row>
        <row r="585">
          <cell r="B585" t="str">
            <v>ITOT-CHPWODCCS</v>
          </cell>
          <cell r="C585" t="str">
            <v>VAR_fout</v>
          </cell>
          <cell r="D585" t="str">
            <v>ITOT_LTH_CHP</v>
          </cell>
          <cell r="J585">
            <v>5.3797053215624198</v>
          </cell>
          <cell r="K585">
            <v>7.7695007451479112</v>
          </cell>
          <cell r="L585">
            <v>9.1915550665586672</v>
          </cell>
          <cell r="M585">
            <v>9.1157078297473522</v>
          </cell>
          <cell r="N585">
            <v>9.1915556356874113</v>
          </cell>
          <cell r="O585">
            <v>9.1700403403817159</v>
          </cell>
          <cell r="P585">
            <v>9.1915636085258292</v>
          </cell>
        </row>
        <row r="586">
          <cell r="B586" t="str">
            <v>ITOT-CHPWODCCS</v>
          </cell>
          <cell r="C586" t="str">
            <v>VAR_fout</v>
          </cell>
          <cell r="D586" t="str">
            <v>ITOT_KEV_WOD_ELC_CHP</v>
          </cell>
          <cell r="J586">
            <v>2.5431334247385946</v>
          </cell>
          <cell r="K586">
            <v>3.6728548977062787</v>
          </cell>
          <cell r="L586">
            <v>4.3450987587368193</v>
          </cell>
          <cell r="M586">
            <v>4.3092437013351006</v>
          </cell>
          <cell r="N586">
            <v>4.3450990277794954</v>
          </cell>
          <cell r="O586">
            <v>4.334928160907709</v>
          </cell>
          <cell r="P586">
            <v>4.3451027967576588</v>
          </cell>
        </row>
        <row r="587">
          <cell r="B587" t="str">
            <v>ITOT-CHPWODCCS</v>
          </cell>
          <cell r="C587" t="str">
            <v>VAR_fin</v>
          </cell>
          <cell r="D587" t="str">
            <v>IWOD</v>
          </cell>
          <cell r="J587">
            <v>7.5832344807027683</v>
          </cell>
          <cell r="K587">
            <v>10.736977813934301</v>
          </cell>
          <cell r="L587">
            <v>12.446618936583501</v>
          </cell>
          <cell r="M587">
            <v>12.346563808230497</v>
          </cell>
          <cell r="N587">
            <v>12.45374722168847</v>
          </cell>
          <cell r="O587">
            <v>12.419935665613615</v>
          </cell>
          <cell r="P587">
            <v>12.453922004424413</v>
          </cell>
        </row>
        <row r="588">
          <cell r="B588" t="str">
            <v>ITOT-CHPWODCCS</v>
          </cell>
          <cell r="C588" t="str">
            <v>VAR_ncap</v>
          </cell>
          <cell r="D588" t="str">
            <v>-</v>
          </cell>
          <cell r="J588">
            <v>9.40458163736448E-2</v>
          </cell>
          <cell r="K588">
            <v>5.8067411008259601E-2</v>
          </cell>
          <cell r="L588">
            <v>3.4030616814123803E-2</v>
          </cell>
          <cell r="M588">
            <v>7.9023056542946502E-2</v>
          </cell>
          <cell r="N588">
            <v>6.8619884013858101E-2</v>
          </cell>
          <cell r="O588">
            <v>4.97701184276782E-2</v>
          </cell>
          <cell r="P588">
            <v>6.1709191072553897E-2</v>
          </cell>
        </row>
        <row r="589">
          <cell r="B589" t="str">
            <v>ITOT-CHPWODCCS</v>
          </cell>
          <cell r="C589" t="str">
            <v>VAR_cap</v>
          </cell>
          <cell r="D589" t="str">
            <v>-</v>
          </cell>
          <cell r="J589">
            <v>9.40458163736448E-2</v>
          </cell>
          <cell r="K589">
            <v>0.152113227381904</v>
          </cell>
          <cell r="L589">
            <v>0.186143844196028</v>
          </cell>
          <cell r="M589">
            <v>0.17787794105688801</v>
          </cell>
          <cell r="N589">
            <v>0.181673557370928</v>
          </cell>
          <cell r="O589">
            <v>0.17838923650740099</v>
          </cell>
          <cell r="P589">
            <v>0.18009919351409001</v>
          </cell>
        </row>
        <row r="590">
          <cell r="B590" t="str">
            <v>SUP_WODBIO</v>
          </cell>
          <cell r="C590" t="str">
            <v>VAR_fout</v>
          </cell>
          <cell r="D590" t="str">
            <v>ELC35</v>
          </cell>
          <cell r="G590">
            <v>1.9281576695879502E-6</v>
          </cell>
          <cell r="H590">
            <v>4.8165874956954779E-5</v>
          </cell>
          <cell r="I590">
            <v>4.8455906995021334E-5</v>
          </cell>
          <cell r="J590">
            <v>3.4821737871560392E-5</v>
          </cell>
          <cell r="K590">
            <v>2.9284073488266765E-5</v>
          </cell>
          <cell r="L590">
            <v>7.1224157243973309E-6</v>
          </cell>
          <cell r="M590">
            <v>8.0833412463168116E-6</v>
          </cell>
          <cell r="N590">
            <v>1.2680839557047596E-5</v>
          </cell>
          <cell r="O590">
            <v>1.1967201882461485E-5</v>
          </cell>
          <cell r="P590">
            <v>3.6738667550274633E-5</v>
          </cell>
        </row>
        <row r="591">
          <cell r="B591" t="str">
            <v>SUP_WODBIO</v>
          </cell>
          <cell r="C591" t="str">
            <v>VAR_fout</v>
          </cell>
          <cell r="D591" t="str">
            <v>BIO</v>
          </cell>
          <cell r="F591">
            <v>4.4151173286083397E-5</v>
          </cell>
          <cell r="G591">
            <v>8.2321452414604748E-5</v>
          </cell>
          <cell r="H591">
            <v>1.2041468739238681E-3</v>
          </cell>
          <cell r="I591">
            <v>1.2113976748755328E-3</v>
          </cell>
          <cell r="J591">
            <v>8.7054344678900899E-4</v>
          </cell>
          <cell r="K591">
            <v>7.3210183720666833E-4</v>
          </cell>
          <cell r="L591">
            <v>1.7806039310993302E-4</v>
          </cell>
          <cell r="M591">
            <v>2.0208353115791985E-4</v>
          </cell>
          <cell r="N591">
            <v>3.1702098892618963E-4</v>
          </cell>
          <cell r="O591">
            <v>2.9918004706153644E-4</v>
          </cell>
          <cell r="P591">
            <v>9.1846668875686366E-4</v>
          </cell>
        </row>
        <row r="592">
          <cell r="B592" t="str">
            <v>SUP_WODBIO</v>
          </cell>
          <cell r="C592" t="str">
            <v>VAR_fout</v>
          </cell>
          <cell r="D592" t="str">
            <v>LTH</v>
          </cell>
          <cell r="F592">
            <v>5.2981407943300063E-6</v>
          </cell>
          <cell r="G592">
            <v>9.8785742897525794E-6</v>
          </cell>
          <cell r="H592">
            <v>1.4449762487086422E-4</v>
          </cell>
          <cell r="I592">
            <v>1.4536772098506387E-4</v>
          </cell>
          <cell r="J592">
            <v>1.044652136146812E-4</v>
          </cell>
          <cell r="K592">
            <v>8.785222046480025E-5</v>
          </cell>
          <cell r="L592">
            <v>2.1367247173191962E-5</v>
          </cell>
          <cell r="M592">
            <v>2.4250023738950401E-5</v>
          </cell>
          <cell r="N592">
            <v>3.8042518671142812E-5</v>
          </cell>
          <cell r="O592">
            <v>3.5901605647384424E-5</v>
          </cell>
          <cell r="P592">
            <v>1.102160026508238E-4</v>
          </cell>
        </row>
        <row r="593">
          <cell r="B593" t="str">
            <v>SUP_WODBIO</v>
          </cell>
          <cell r="C593" t="str">
            <v>VAR_fin</v>
          </cell>
          <cell r="D593" t="str">
            <v>CWOD</v>
          </cell>
          <cell r="F593">
            <v>5.9604083936212568E-5</v>
          </cell>
          <cell r="G593">
            <v>1.111339607597165E-4</v>
          </cell>
          <cell r="H593">
            <v>1.6255982797972225E-3</v>
          </cell>
          <cell r="I593">
            <v>1.6353868610819694E-3</v>
          </cell>
          <cell r="J593">
            <v>1.1752336531651625E-3</v>
          </cell>
          <cell r="K593">
            <v>9.883374802290019E-4</v>
          </cell>
          <cell r="L593">
            <v>2.4038153069840968E-4</v>
          </cell>
          <cell r="M593">
            <v>2.7281276706319209E-4</v>
          </cell>
          <cell r="N593">
            <v>4.2797833505035609E-4</v>
          </cell>
          <cell r="O593">
            <v>4.0389306353307486E-4</v>
          </cell>
          <cell r="P593">
            <v>1.2399300298217685E-3</v>
          </cell>
        </row>
        <row r="594">
          <cell r="B594" t="str">
            <v>SUP_WODBIO</v>
          </cell>
          <cell r="C594" t="str">
            <v>VAR_ncap</v>
          </cell>
          <cell r="D594" t="str">
            <v>-</v>
          </cell>
          <cell r="E594">
            <v>6.0626722242566997E-7</v>
          </cell>
          <cell r="F594">
            <v>1.87680351899114E-5</v>
          </cell>
          <cell r="G594">
            <v>2.7275709089576401E-6</v>
          </cell>
          <cell r="H594">
            <v>2.9748478958636499E-5</v>
          </cell>
          <cell r="I594">
            <v>6.3993639652523401E-6</v>
          </cell>
          <cell r="J594">
            <v>7.3066721337174203E-7</v>
          </cell>
          <cell r="K594">
            <v>1.2798835468103899E-5</v>
          </cell>
          <cell r="L594">
            <v>1.2749214443285601E-5</v>
          </cell>
          <cell r="M594">
            <v>1.2175540846119901E-6</v>
          </cell>
          <cell r="N594">
            <v>1.9735160103832E-5</v>
          </cell>
          <cell r="O594">
            <v>4.41689136095026E-6</v>
          </cell>
          <cell r="P594">
            <v>6.4918215583447596E-5</v>
          </cell>
        </row>
        <row r="595">
          <cell r="B595" t="str">
            <v>SUP_WODBIO</v>
          </cell>
          <cell r="C595" t="str">
            <v>VAR_cap</v>
          </cell>
          <cell r="D595" t="str">
            <v>-</v>
          </cell>
          <cell r="E595">
            <v>6.0626722242566997E-7</v>
          </cell>
          <cell r="F595">
            <v>1.9338106911364588E-5</v>
          </cell>
          <cell r="G595">
            <v>2.1986815018385218E-5</v>
          </cell>
          <cell r="H595">
            <v>5.1658573220986816E-5</v>
          </cell>
          <cell r="I595">
            <v>5.7748371215884072E-5</v>
          </cell>
          <cell r="J595">
            <v>5.0366665865519405E-5</v>
          </cell>
          <cell r="K595">
            <v>4.0166058791352999E-5</v>
          </cell>
          <cell r="L595">
            <v>3.2200186420063444E-5</v>
          </cell>
          <cell r="M595">
            <v>2.8534703417938245E-5</v>
          </cell>
          <cell r="N595">
            <v>4.5724433213690288E-5</v>
          </cell>
          <cell r="O595">
            <v>3.7439049420170062E-5</v>
          </cell>
          <cell r="P595">
            <v>8.9607462771690188E-5</v>
          </cell>
        </row>
        <row r="596">
          <cell r="B596" t="str">
            <v>D-RLFO</v>
          </cell>
          <cell r="C596" t="str">
            <v>VAR_fout</v>
          </cell>
          <cell r="D596" t="str">
            <v>CO2</v>
          </cell>
          <cell r="E596">
            <v>4514.4828221692896</v>
          </cell>
          <cell r="F596">
            <v>3846.5253505034598</v>
          </cell>
          <cell r="G596">
            <v>3753.3610951453202</v>
          </cell>
          <cell r="H596">
            <v>3105.9338492912898</v>
          </cell>
          <cell r="I596">
            <v>1563.3451089821101</v>
          </cell>
          <cell r="J596">
            <v>774.17554641820595</v>
          </cell>
          <cell r="K596">
            <v>493.59612819470698</v>
          </cell>
          <cell r="M596">
            <v>1.6171445504074799E-2</v>
          </cell>
          <cell r="N596">
            <v>2.87366833278541E-2</v>
          </cell>
          <cell r="O596">
            <v>1.8334579401455001E-2</v>
          </cell>
          <cell r="P596">
            <v>3.4544216691709498E-2</v>
          </cell>
        </row>
        <row r="597">
          <cell r="B597" t="str">
            <v>D-RLFO</v>
          </cell>
          <cell r="C597" t="str">
            <v>VAR_fout</v>
          </cell>
          <cell r="D597" t="str">
            <v>RLFO</v>
          </cell>
          <cell r="E597">
            <v>60.231827651037911</v>
          </cell>
          <cell r="F597">
            <v>51.3199985675313</v>
          </cell>
          <cell r="G597">
            <v>50.07705700642984</v>
          </cell>
          <cell r="H597">
            <v>41.439429877160052</v>
          </cell>
          <cell r="I597">
            <v>20.858522652985766</v>
          </cell>
          <cell r="J597">
            <v>10.329187963044143</v>
          </cell>
          <cell r="K597">
            <v>6.5862979340895276</v>
          </cell>
          <cell r="L597">
            <v>6.5857629082038391</v>
          </cell>
          <cell r="M597">
            <v>5.8519901383189126</v>
          </cell>
          <cell r="N597">
            <v>3.3411085228144435</v>
          </cell>
          <cell r="O597">
            <v>3.3410083836047981</v>
          </cell>
          <cell r="P597">
            <v>0.67916979340998429</v>
          </cell>
        </row>
        <row r="598">
          <cell r="B598" t="str">
            <v>D-RLFO</v>
          </cell>
          <cell r="C598" t="str">
            <v>VAR_fin</v>
          </cell>
          <cell r="D598" t="str">
            <v>LFO</v>
          </cell>
          <cell r="E598">
            <v>61.254855117629447</v>
          </cell>
          <cell r="F598">
            <v>52.191660115379385</v>
          </cell>
          <cell r="G598">
            <v>50.927558957195643</v>
          </cell>
          <cell r="H598">
            <v>42.142928755648477</v>
          </cell>
          <cell r="I598">
            <v>21.212280990259224</v>
          </cell>
          <cell r="J598">
            <v>10.504417183422067</v>
          </cell>
          <cell r="K598">
            <v>6.6973694463325266</v>
          </cell>
          <cell r="M598">
            <v>2.1942259842706613E-4</v>
          </cell>
          <cell r="N598">
            <v>3.8991429210114145E-4</v>
          </cell>
          <cell r="O598">
            <v>2.4877312620698734E-4</v>
          </cell>
          <cell r="P598">
            <v>4.6871393068805299E-4</v>
          </cell>
        </row>
        <row r="599">
          <cell r="B599" t="str">
            <v>D-RLFO</v>
          </cell>
          <cell r="C599" t="str">
            <v>VAR_fin</v>
          </cell>
          <cell r="D599" t="str">
            <v>BDS</v>
          </cell>
          <cell r="G599">
            <v>4.8455341329755207E-5</v>
          </cell>
          <cell r="H599">
            <v>3.4288191388798375E-4</v>
          </cell>
          <cell r="I599">
            <v>5.201773352579421E-4</v>
          </cell>
          <cell r="J599">
            <v>2.1036110413095993E-4</v>
          </cell>
          <cell r="K599">
            <v>7.9570401078856063E-4</v>
          </cell>
          <cell r="L599">
            <v>6.6976201368833905</v>
          </cell>
          <cell r="M599">
            <v>5.9511658273740418</v>
          </cell>
          <cell r="N599">
            <v>3.3974668194736357</v>
          </cell>
          <cell r="O599">
            <v>3.3975061064146814</v>
          </cell>
          <cell r="P599">
            <v>0.69023672280459669</v>
          </cell>
        </row>
        <row r="600">
          <cell r="B600" t="str">
            <v>G-INTC-EXP00-IT</v>
          </cell>
          <cell r="C600" t="str">
            <v>VAR_fout</v>
          </cell>
          <cell r="D600" t="str">
            <v>ELC_E-IT</v>
          </cell>
          <cell r="E600">
            <v>71.694108123845666</v>
          </cell>
          <cell r="F600">
            <v>35.631866775938853</v>
          </cell>
          <cell r="G600">
            <v>64.429189230000745</v>
          </cell>
          <cell r="H600">
            <v>69.843027265260972</v>
          </cell>
          <cell r="I600">
            <v>50.634318719575298</v>
          </cell>
          <cell r="J600">
            <v>36.222829480289754</v>
          </cell>
          <cell r="K600">
            <v>19.052251657639349</v>
          </cell>
          <cell r="L600">
            <v>14.0152362642544</v>
          </cell>
          <cell r="M600">
            <v>23.702220415099944</v>
          </cell>
          <cell r="N600">
            <v>37.848557534808243</v>
          </cell>
          <cell r="O600">
            <v>37.585728459494781</v>
          </cell>
          <cell r="P600">
            <v>37.894462949808961</v>
          </cell>
        </row>
        <row r="601">
          <cell r="B601" t="str">
            <v>G-INTC-EXP00-IT</v>
          </cell>
          <cell r="C601" t="str">
            <v>VAR_fin</v>
          </cell>
          <cell r="D601" t="str">
            <v>ELC</v>
          </cell>
          <cell r="E601">
            <v>71.694108123845666</v>
          </cell>
          <cell r="F601">
            <v>35.631866775938853</v>
          </cell>
          <cell r="G601">
            <v>64.429189230000745</v>
          </cell>
          <cell r="H601">
            <v>69.843027265260972</v>
          </cell>
          <cell r="I601">
            <v>50.634318719575298</v>
          </cell>
          <cell r="J601">
            <v>36.222829480289754</v>
          </cell>
          <cell r="K601">
            <v>19.052251657639349</v>
          </cell>
          <cell r="L601">
            <v>14.0152362642544</v>
          </cell>
          <cell r="M601">
            <v>23.702220415099944</v>
          </cell>
          <cell r="N601">
            <v>37.848557534808243</v>
          </cell>
          <cell r="O601">
            <v>37.585728459494781</v>
          </cell>
          <cell r="P601">
            <v>37.894462949808961</v>
          </cell>
        </row>
        <row r="602">
          <cell r="B602" t="str">
            <v>G-INTC-EXP00-IT</v>
          </cell>
          <cell r="C602" t="str">
            <v>VAR_ncap</v>
          </cell>
          <cell r="D602" t="str">
            <v>-</v>
          </cell>
          <cell r="E602">
            <v>1.3828682213766501</v>
          </cell>
          <cell r="F602">
            <v>1.45006275531224E-5</v>
          </cell>
          <cell r="G602">
            <v>5.6066682605599198E-6</v>
          </cell>
          <cell r="H602">
            <v>3.0790740495660298E-6</v>
          </cell>
          <cell r="I602">
            <v>2.2091194968930198E-6</v>
          </cell>
          <cell r="J602">
            <v>3.3542547265283399E-6</v>
          </cell>
          <cell r="K602">
            <v>3.4909319219382401E-5</v>
          </cell>
          <cell r="L602">
            <v>3.1081005078517099</v>
          </cell>
          <cell r="M602">
            <v>1.2809849118747101</v>
          </cell>
          <cell r="N602">
            <v>0.91049363136941297</v>
          </cell>
        </row>
        <row r="603">
          <cell r="B603" t="str">
            <v>G-INTC-EXP00-IT</v>
          </cell>
          <cell r="C603" t="str">
            <v>VAR_cap</v>
          </cell>
          <cell r="D603" t="str">
            <v>-</v>
          </cell>
          <cell r="E603">
            <v>3.7499996366591466</v>
          </cell>
          <cell r="F603">
            <v>3.7499993179184856</v>
          </cell>
          <cell r="G603">
            <v>3.7499991420228591</v>
          </cell>
          <cell r="H603">
            <v>4.510844203923563</v>
          </cell>
          <cell r="I603">
            <v>5.1328866726003959</v>
          </cell>
          <cell r="J603">
            <v>5.1328859822108255</v>
          </cell>
          <cell r="K603">
            <v>5.1328789165791555</v>
          </cell>
          <cell r="L603">
            <v>5.1328744409678952</v>
          </cell>
          <cell r="M603">
            <v>5.13289869894533</v>
          </cell>
          <cell r="N603">
            <v>5.7719983812555062</v>
          </cell>
          <cell r="O603">
            <v>5.7719957223222202</v>
          </cell>
          <cell r="P603">
            <v>5.771997033512692</v>
          </cell>
        </row>
        <row r="604">
          <cell r="B604" t="str">
            <v>EWOD-CCS</v>
          </cell>
          <cell r="C604" t="str">
            <v>VAR_fout</v>
          </cell>
          <cell r="D604" t="str">
            <v>CO2_O</v>
          </cell>
          <cell r="J604">
            <v>0.1655545844890986</v>
          </cell>
          <cell r="K604">
            <v>10.751668750198432</v>
          </cell>
          <cell r="L604">
            <v>168.53619896210162</v>
          </cell>
          <cell r="M604">
            <v>181.57038057702979</v>
          </cell>
          <cell r="N604">
            <v>181.86926235760106</v>
          </cell>
          <cell r="O604">
            <v>182.00309109385475</v>
          </cell>
          <cell r="P604">
            <v>182.21006656731973</v>
          </cell>
        </row>
        <row r="605">
          <cell r="B605" t="str">
            <v>EWOD-CCS</v>
          </cell>
          <cell r="C605" t="str">
            <v>VAR_fout</v>
          </cell>
          <cell r="D605" t="str">
            <v>CO2</v>
          </cell>
          <cell r="J605">
            <v>-0.16555458448909899</v>
          </cell>
          <cell r="K605">
            <v>-10.7516687501984</v>
          </cell>
          <cell r="L605">
            <v>-168.53619896210199</v>
          </cell>
          <cell r="M605">
            <v>-181.57038057702999</v>
          </cell>
          <cell r="N605">
            <v>-181.869262357601</v>
          </cell>
          <cell r="O605">
            <v>-182.00309109385501</v>
          </cell>
          <cell r="P605">
            <v>-182.21006656732001</v>
          </cell>
        </row>
        <row r="606">
          <cell r="B606" t="str">
            <v>EWOD-CCS</v>
          </cell>
          <cell r="C606" t="str">
            <v>VAR_fout</v>
          </cell>
          <cell r="D606" t="str">
            <v>ELC13</v>
          </cell>
          <cell r="J606">
            <v>3.6692579866190559E-4</v>
          </cell>
          <cell r="K606">
            <v>2.3829389293502666E-2</v>
          </cell>
          <cell r="L606">
            <v>0.3735340800041867</v>
          </cell>
          <cell r="M606">
            <v>0.40242230145526242</v>
          </cell>
          <cell r="N606">
            <v>0.40308472609532953</v>
          </cell>
          <cell r="O606">
            <v>0.40338133652194691</v>
          </cell>
          <cell r="P606">
            <v>0.40384006523150806</v>
          </cell>
        </row>
        <row r="607">
          <cell r="B607" t="str">
            <v>EWOD-CCS</v>
          </cell>
          <cell r="C607" t="str">
            <v>VAR_fin</v>
          </cell>
          <cell r="D607" t="str">
            <v>EWOD</v>
          </cell>
          <cell r="J607">
            <v>2.2214241186205626E-3</v>
          </cell>
          <cell r="K607">
            <v>9.9526883164250887E-2</v>
          </cell>
          <cell r="L607">
            <v>1.4134002495347531</v>
          </cell>
          <cell r="M607">
            <v>1.5232397004591627</v>
          </cell>
          <cell r="N607">
            <v>1.5266660556698162</v>
          </cell>
          <cell r="O607">
            <v>1.5367213902947023</v>
          </cell>
          <cell r="P607">
            <v>1.5368357563015145</v>
          </cell>
        </row>
        <row r="608">
          <cell r="B608" t="str">
            <v>EWOD-CCS</v>
          </cell>
          <cell r="C608" t="str">
            <v>VAR_ncap</v>
          </cell>
          <cell r="D608" t="str">
            <v>-</v>
          </cell>
          <cell r="J608">
            <v>9.9641201893889401E-5</v>
          </cell>
          <cell r="K608">
            <v>1.6245508654445299E-2</v>
          </cell>
          <cell r="L608">
            <v>5.7333271100106602E-3</v>
          </cell>
          <cell r="M608">
            <v>2.63725033027647E-5</v>
          </cell>
          <cell r="N608">
            <v>3.6169142080928002E-7</v>
          </cell>
          <cell r="O608">
            <v>7.0186744754224097E-3</v>
          </cell>
        </row>
        <row r="609">
          <cell r="B609" t="str">
            <v>EWOD-CCS</v>
          </cell>
          <cell r="C609" t="str">
            <v>VAR_cap</v>
          </cell>
          <cell r="D609" t="str">
            <v>-</v>
          </cell>
          <cell r="J609">
            <v>3.83867622867026E-5</v>
          </cell>
          <cell r="K609">
            <v>7.92160402756714E-3</v>
          </cell>
          <cell r="L609">
            <v>1.6345029249418101E-2</v>
          </cell>
          <cell r="M609">
            <v>2.2092820155500435E-2</v>
          </cell>
          <cell r="N609">
            <v>2.2104529436336222E-2</v>
          </cell>
          <cell r="O609">
            <v>2.538532772140685E-2</v>
          </cell>
          <cell r="P609">
            <v>2.3741322012751226E-2</v>
          </cell>
        </row>
        <row r="610">
          <cell r="B610" t="str">
            <v>EOIL-ENG</v>
          </cell>
          <cell r="C610" t="str">
            <v>VAR_fout</v>
          </cell>
          <cell r="D610" t="str">
            <v>ELC35</v>
          </cell>
          <cell r="E610">
            <v>3.9600719613498363E-2</v>
          </cell>
          <cell r="F610">
            <v>3.4573710168363551E-5</v>
          </cell>
          <cell r="G610">
            <v>2.1356280285754477E-3</v>
          </cell>
          <cell r="H610">
            <v>3.0791320631184629E-4</v>
          </cell>
          <cell r="I610">
            <v>2.594883797487872E-4</v>
          </cell>
          <cell r="J610">
            <v>0.17090777586650757</v>
          </cell>
          <cell r="K610">
            <v>0.17115383100646792</v>
          </cell>
          <cell r="L610">
            <v>5.1529269883396504E-6</v>
          </cell>
          <cell r="M610">
            <v>1.3450668968823893E-3</v>
          </cell>
          <cell r="N610">
            <v>1.6872011540654656E-3</v>
          </cell>
          <cell r="O610">
            <v>1.0490910856316277E-3</v>
          </cell>
          <cell r="P610">
            <v>2.2243426900692017E-3</v>
          </cell>
        </row>
        <row r="611">
          <cell r="B611" t="str">
            <v>EOIL-ENG</v>
          </cell>
          <cell r="C611" t="str">
            <v>VAR_fout</v>
          </cell>
          <cell r="D611" t="str">
            <v>CO2_E</v>
          </cell>
          <cell r="E611">
            <v>8.7720332405382209</v>
          </cell>
          <cell r="F611">
            <v>4.4677260663891202E-2</v>
          </cell>
          <cell r="G611">
            <v>0.53688843529373198</v>
          </cell>
          <cell r="H611">
            <v>8.4051718220046798E-2</v>
          </cell>
          <cell r="I611">
            <v>6.3442167527866494E-2</v>
          </cell>
          <cell r="J611">
            <v>36.2579225309847</v>
          </cell>
          <cell r="K611">
            <v>36.555427015801698</v>
          </cell>
          <cell r="L611">
            <v>1.2220573086169999E-3</v>
          </cell>
          <cell r="M611">
            <v>0.31899548623497098</v>
          </cell>
          <cell r="N611">
            <v>0.40510923216891198</v>
          </cell>
          <cell r="O611">
            <v>0.25483440196223001</v>
          </cell>
          <cell r="P611">
            <v>0.538854309648227</v>
          </cell>
        </row>
        <row r="612">
          <cell r="B612" t="str">
            <v>EOIL-ENG</v>
          </cell>
          <cell r="C612" t="str">
            <v>VAR_fin</v>
          </cell>
          <cell r="D612" t="str">
            <v>ELFO</v>
          </cell>
          <cell r="E612">
            <v>0.11902351751069486</v>
          </cell>
          <cell r="F612">
            <v>6.0620435093475158E-4</v>
          </cell>
          <cell r="G612">
            <v>7.2847820256951397E-3</v>
          </cell>
          <cell r="H612">
            <v>1.1404575063778391E-3</v>
          </cell>
          <cell r="I612">
            <v>8.6081638436725323E-4</v>
          </cell>
          <cell r="J612">
            <v>0.49196638440956197</v>
          </cell>
          <cell r="K612">
            <v>0.49600308026867973</v>
          </cell>
          <cell r="L612">
            <v>1.6581510293310675E-5</v>
          </cell>
          <cell r="M612">
            <v>4.3282969638395062E-3</v>
          </cell>
          <cell r="N612">
            <v>5.4967331366202431E-3</v>
          </cell>
          <cell r="O612">
            <v>3.4577259424997354E-3</v>
          </cell>
          <cell r="P612">
            <v>7.3114560332188201E-3</v>
          </cell>
        </row>
        <row r="613">
          <cell r="B613" t="str">
            <v>EOIL-ENG</v>
          </cell>
          <cell r="C613" t="str">
            <v>VAR_ncap</v>
          </cell>
          <cell r="D613" t="str">
            <v>-</v>
          </cell>
          <cell r="F613">
            <v>3.2501113688510099E-6</v>
          </cell>
          <cell r="G613">
            <v>1.2735752896365299E-3</v>
          </cell>
          <cell r="H613">
            <v>5.8138045857385898E-2</v>
          </cell>
          <cell r="I613">
            <v>6.994740264624E-3</v>
          </cell>
          <cell r="J613">
            <v>6.1185432639097696E-3</v>
          </cell>
          <cell r="K613">
            <v>6.2385951109996804E-3</v>
          </cell>
          <cell r="L613">
            <v>1.2778690587103501E-5</v>
          </cell>
          <cell r="M613">
            <v>3.1470420927380598E-4</v>
          </cell>
          <cell r="N613">
            <v>3.6218333779203899E-5</v>
          </cell>
          <cell r="O613">
            <v>5.0949381884985399E-4</v>
          </cell>
          <cell r="P613">
            <v>1.0718445468817299E-2</v>
          </cell>
        </row>
        <row r="614">
          <cell r="B614" t="str">
            <v>EOIL-ENG</v>
          </cell>
          <cell r="C614" t="str">
            <v>VAR_cap</v>
          </cell>
          <cell r="D614" t="str">
            <v>-</v>
          </cell>
          <cell r="E614">
            <v>2.1237588949518202E-2</v>
          </cell>
          <cell r="F614">
            <v>2.1063652176879659E-2</v>
          </cell>
          <cell r="G614">
            <v>1.3076404681556176E-2</v>
          </cell>
          <cell r="H614">
            <v>6.6412872640111614E-2</v>
          </cell>
          <cell r="I614">
            <v>7.3405891581676735E-2</v>
          </cell>
          <cell r="J614">
            <v>7.9521843178579174E-2</v>
          </cell>
          <cell r="K614">
            <v>7.9998526669327996E-2</v>
          </cell>
          <cell r="L614">
            <v>1.9825121353447106E-2</v>
          </cell>
          <cell r="M614">
            <v>1.9672736319382007E-2</v>
          </cell>
          <cell r="N614">
            <v>1.2712033151542413E-2</v>
          </cell>
          <cell r="O614">
            <v>6.1271386772130806E-3</v>
          </cell>
          <cell r="P614">
            <v>1.1583543358124008E-2</v>
          </cell>
        </row>
        <row r="615">
          <cell r="B615" t="str">
            <v>D-SWOD</v>
          </cell>
          <cell r="C615" t="str">
            <v>VAR_fout</v>
          </cell>
          <cell r="D615" t="str">
            <v>SWOD</v>
          </cell>
          <cell r="E615">
            <v>8.5743686253774527</v>
          </cell>
          <cell r="F615">
            <v>9.7931963850575663</v>
          </cell>
          <cell r="G615">
            <v>9.5629341427921659</v>
          </cell>
          <cell r="H615">
            <v>7.8015439127340258</v>
          </cell>
          <cell r="I615">
            <v>7.7985582625183181</v>
          </cell>
          <cell r="J615">
            <v>6.1787692442288229</v>
          </cell>
          <cell r="K615">
            <v>5.2608989598102482</v>
          </cell>
          <cell r="L615">
            <v>0.54382094202550446</v>
          </cell>
          <cell r="M615">
            <v>0.53767647860692092</v>
          </cell>
          <cell r="N615">
            <v>0.53995435431376981</v>
          </cell>
          <cell r="O615">
            <v>0.53816827925703836</v>
          </cell>
          <cell r="P615">
            <v>1.6116055439941714</v>
          </cell>
        </row>
        <row r="616">
          <cell r="B616" t="str">
            <v>D-SWOD</v>
          </cell>
          <cell r="C616" t="str">
            <v>VAR_fin</v>
          </cell>
          <cell r="D616" t="str">
            <v>WOD</v>
          </cell>
          <cell r="E616">
            <v>8.5743686253774527</v>
          </cell>
          <cell r="F616">
            <v>9.7931963850575663</v>
          </cell>
          <cell r="G616">
            <v>9.5629341427921659</v>
          </cell>
          <cell r="H616">
            <v>7.8015439127340258</v>
          </cell>
          <cell r="I616">
            <v>7.7985582625183181</v>
          </cell>
          <cell r="J616">
            <v>6.1787692442288229</v>
          </cell>
          <cell r="K616">
            <v>5.2608989598102482</v>
          </cell>
          <cell r="L616">
            <v>0.54382094202550446</v>
          </cell>
          <cell r="M616">
            <v>0.53767647860692092</v>
          </cell>
          <cell r="N616">
            <v>0.53995435431376981</v>
          </cell>
          <cell r="O616">
            <v>0.53816827925703836</v>
          </cell>
          <cell r="P616">
            <v>1.6116055439941714</v>
          </cell>
        </row>
        <row r="617">
          <cell r="B617" t="str">
            <v>SCOM-CHPWOD</v>
          </cell>
          <cell r="C617" t="str">
            <v>VAR_fout</v>
          </cell>
          <cell r="D617" t="str">
            <v>SCOM_KEV_WOD_ELC_CHP</v>
          </cell>
          <cell r="H617">
            <v>6.0885938803920006E-4</v>
          </cell>
          <cell r="I617">
            <v>6.4010908123798393E-4</v>
          </cell>
          <cell r="J617">
            <v>6.1380452915575697E-3</v>
          </cell>
          <cell r="K617">
            <v>5.2157710088484369E-3</v>
          </cell>
          <cell r="L617">
            <v>2.3700378397495886E-3</v>
          </cell>
          <cell r="M617">
            <v>3.0636877520323872E-3</v>
          </cell>
          <cell r="N617">
            <v>2.1715986257732495E-3</v>
          </cell>
          <cell r="O617">
            <v>1.7961429428854298E-3</v>
          </cell>
          <cell r="P617">
            <v>3.3299485827147997E-3</v>
          </cell>
        </row>
        <row r="618">
          <cell r="B618" t="str">
            <v>SCOM-CHPWOD</v>
          </cell>
          <cell r="C618" t="str">
            <v>VAR_fout</v>
          </cell>
          <cell r="D618" t="str">
            <v>SCOM_LTH_CHPWOD</v>
          </cell>
          <cell r="H618">
            <v>9.730598439625785E-4</v>
          </cell>
          <cell r="I618">
            <v>1.0009546572428763E-3</v>
          </cell>
          <cell r="J618">
            <v>9.3868012384784559E-3</v>
          </cell>
          <cell r="K618">
            <v>7.818122334551909E-3</v>
          </cell>
          <cell r="L618">
            <v>3.4806282314056433E-3</v>
          </cell>
          <cell r="M618">
            <v>4.4993197589884553E-3</v>
          </cell>
          <cell r="N618">
            <v>3.1892011837864514E-3</v>
          </cell>
          <cell r="O618">
            <v>2.6378084475257089E-3</v>
          </cell>
          <cell r="P618">
            <v>4.8903493656248702E-3</v>
          </cell>
        </row>
        <row r="619">
          <cell r="B619" t="str">
            <v>SCOM-CHPWOD</v>
          </cell>
          <cell r="C619" t="str">
            <v>VAR_fin</v>
          </cell>
          <cell r="D619" t="str">
            <v>SWOD</v>
          </cell>
          <cell r="H619">
            <v>2.3266638862761923E-3</v>
          </cell>
          <cell r="I619">
            <v>2.6407282321630138E-3</v>
          </cell>
          <cell r="J619">
            <v>1.8111636587367166E-2</v>
          </cell>
          <cell r="K619">
            <v>1.4827242318085493E-2</v>
          </cell>
          <cell r="L619">
            <v>6.732041046315666E-3</v>
          </cell>
          <cell r="M619">
            <v>8.5745714835559258E-3</v>
          </cell>
          <cell r="N619">
            <v>7.0559193668678884E-3</v>
          </cell>
          <cell r="O619">
            <v>5.2195595634621349E-3</v>
          </cell>
          <cell r="P619">
            <v>1.0715127355826743E-2</v>
          </cell>
        </row>
        <row r="620">
          <cell r="B620" t="str">
            <v>SCOM-CHPWOD</v>
          </cell>
          <cell r="C620" t="str">
            <v>VAR_ncap</v>
          </cell>
          <cell r="D620" t="str">
            <v>-</v>
          </cell>
          <cell r="H620">
            <v>6.1479892251427106E-5</v>
          </cell>
          <cell r="I620">
            <v>4.0562738374161803E-5</v>
          </cell>
          <cell r="J620">
            <v>3.2857925523864301E-4</v>
          </cell>
          <cell r="K620">
            <v>1.2998451244468201E-6</v>
          </cell>
          <cell r="L620">
            <v>1.0856049020355801E-6</v>
          </cell>
          <cell r="M620">
            <v>1.8717612706024299E-4</v>
          </cell>
          <cell r="N620">
            <v>3.6543412615514902E-5</v>
          </cell>
          <cell r="O620">
            <v>1.5339839866773499E-5</v>
          </cell>
          <cell r="P620">
            <v>2.97730764336134E-4</v>
          </cell>
        </row>
        <row r="621">
          <cell r="B621" t="str">
            <v>SCOM-CHPWOD</v>
          </cell>
          <cell r="C621" t="str">
            <v>VAR_cap</v>
          </cell>
          <cell r="D621" t="str">
            <v>-</v>
          </cell>
          <cell r="H621">
            <v>6.1479892251427106E-5</v>
          </cell>
          <cell r="I621">
            <v>1.0197640613028296E-4</v>
          </cell>
          <cell r="J621">
            <v>4.1875896787529974E-4</v>
          </cell>
          <cell r="K621">
            <v>3.7032398350776062E-4</v>
          </cell>
          <cell r="L621">
            <v>2.9975650001735498E-4</v>
          </cell>
          <cell r="M621">
            <v>2.3484000796104645E-4</v>
          </cell>
          <cell r="N621">
            <v>2.245558064952859E-4</v>
          </cell>
          <cell r="O621">
            <v>1.7950859432045173E-4</v>
          </cell>
          <cell r="P621">
            <v>3.4923852022484403E-4</v>
          </cell>
        </row>
        <row r="622">
          <cell r="B622" t="str">
            <v>ENUC_BMGL</v>
          </cell>
          <cell r="C622" t="str">
            <v>VAR_fout</v>
          </cell>
          <cell r="D622" t="str">
            <v>ELC</v>
          </cell>
          <cell r="E622">
            <v>32.820800326489177</v>
          </cell>
          <cell r="F622">
            <v>1.9643263050634998E-3</v>
          </cell>
        </row>
        <row r="623">
          <cell r="B623" t="str">
            <v>ENUC_BMGL</v>
          </cell>
          <cell r="C623" t="str">
            <v>VAR_fin</v>
          </cell>
          <cell r="D623" t="str">
            <v>URN</v>
          </cell>
          <cell r="E623">
            <v>98.945500390936374</v>
          </cell>
          <cell r="F623">
            <v>5.921892435655233E-3</v>
          </cell>
        </row>
        <row r="624">
          <cell r="B624" t="str">
            <v>ENUC_BMGL</v>
          </cell>
          <cell r="C624" t="str">
            <v>VAR_cap</v>
          </cell>
          <cell r="D624" t="str">
            <v>-</v>
          </cell>
          <cell r="E624">
            <v>1.2329999876959954</v>
          </cell>
          <cell r="F624">
            <v>7.3074017230112531E-5</v>
          </cell>
        </row>
        <row r="625">
          <cell r="B625" t="str">
            <v>D-RSH2R</v>
          </cell>
          <cell r="C625" t="str">
            <v>VAR_fout</v>
          </cell>
          <cell r="D625" t="str">
            <v>RSH2</v>
          </cell>
          <cell r="H625">
            <v>2.5072354186277644E-4</v>
          </cell>
          <cell r="I625">
            <v>4.2733539304920336E-4</v>
          </cell>
          <cell r="J625">
            <v>1.3678822850985288E-2</v>
          </cell>
          <cell r="K625">
            <v>2.4848073744500637E-3</v>
          </cell>
          <cell r="L625">
            <v>2.5699789435996209E-3</v>
          </cell>
          <cell r="M625">
            <v>0.88120425192916396</v>
          </cell>
          <cell r="N625">
            <v>0.30442194219643498</v>
          </cell>
          <cell r="O625">
            <v>2.6311514658251701E-3</v>
          </cell>
          <cell r="P625">
            <v>4.5515063161012063E-3</v>
          </cell>
        </row>
        <row r="626">
          <cell r="B626" t="str">
            <v>D-RSH2R</v>
          </cell>
          <cell r="C626" t="str">
            <v>VAR_fin</v>
          </cell>
          <cell r="D626" t="str">
            <v>H2</v>
          </cell>
          <cell r="H626">
            <v>2.5072354186277644E-4</v>
          </cell>
          <cell r="I626">
            <v>4.2733539304920336E-4</v>
          </cell>
          <cell r="J626">
            <v>1.3678822850985288E-2</v>
          </cell>
          <cell r="K626">
            <v>2.4848073744500637E-3</v>
          </cell>
          <cell r="L626">
            <v>2.5699789435996209E-3</v>
          </cell>
          <cell r="M626">
            <v>0.88120425192916396</v>
          </cell>
          <cell r="N626">
            <v>0.30442194219643498</v>
          </cell>
          <cell r="O626">
            <v>2.6311514658251701E-3</v>
          </cell>
          <cell r="P626">
            <v>4.5515063161012063E-3</v>
          </cell>
        </row>
        <row r="627">
          <cell r="B627" t="str">
            <v>D-RSH2R</v>
          </cell>
          <cell r="C627" t="str">
            <v>VAR_ncap</v>
          </cell>
          <cell r="D627" t="str">
            <v>-</v>
          </cell>
          <cell r="H627">
            <v>3.2163828435483899E-5</v>
          </cell>
          <cell r="I627">
            <v>4.0560537442508003E-5</v>
          </cell>
          <cell r="J627">
            <v>8.4844282249812303E-4</v>
          </cell>
          <cell r="K627">
            <v>1.1049669501491799E-4</v>
          </cell>
          <cell r="L627">
            <v>4.9025419310583005E-7</v>
          </cell>
          <cell r="M627">
            <v>3.1033439531244499E-2</v>
          </cell>
          <cell r="N627">
            <v>1.5962563966544499E-6</v>
          </cell>
          <cell r="O627">
            <v>1.6608895359933299E-4</v>
          </cell>
          <cell r="P627">
            <v>1.5994520833624001E-4</v>
          </cell>
        </row>
        <row r="628">
          <cell r="B628" t="str">
            <v>D-RSH2R</v>
          </cell>
          <cell r="C628" t="str">
            <v>VAR_cap</v>
          </cell>
          <cell r="D628" t="str">
            <v>-</v>
          </cell>
          <cell r="H628">
            <v>3.2163828435483899E-5</v>
          </cell>
          <cell r="I628">
            <v>6.4978741032978998E-5</v>
          </cell>
          <cell r="J628">
            <v>8.5696041115925002E-4</v>
          </cell>
          <cell r="K628">
            <v>1.1049669501491799E-4</v>
          </cell>
          <cell r="L628">
            <v>1.10986949208024E-4</v>
          </cell>
          <cell r="M628">
            <v>3.1050566620834E-2</v>
          </cell>
          <cell r="N628">
            <v>2.3561628797501E-2</v>
          </cell>
          <cell r="O628">
            <v>1.6637168560232601E-4</v>
          </cell>
          <cell r="P628">
            <v>3.26034161935572E-4</v>
          </cell>
        </row>
        <row r="629">
          <cell r="B629" t="str">
            <v>ENGA-GTOC</v>
          </cell>
          <cell r="C629" t="str">
            <v>VAR_fout</v>
          </cell>
          <cell r="D629" t="str">
            <v>ELC13</v>
          </cell>
          <cell r="J629">
            <v>1.4117958235943355E-6</v>
          </cell>
          <cell r="L629">
            <v>5.2164378157608576E-2</v>
          </cell>
          <cell r="M629">
            <v>1.2069532037739063E-2</v>
          </cell>
          <cell r="N629">
            <v>7.2860170366028073E-3</v>
          </cell>
          <cell r="O629">
            <v>8.3901733726051402E-3</v>
          </cell>
          <cell r="P629">
            <v>7.2150166855923861E-3</v>
          </cell>
        </row>
        <row r="630">
          <cell r="B630" t="str">
            <v>ENGA-GTOC</v>
          </cell>
          <cell r="C630" t="str">
            <v>VAR_fout</v>
          </cell>
          <cell r="D630" t="str">
            <v>CO2_E</v>
          </cell>
          <cell r="J630">
            <v>4.57527837192715E-4</v>
          </cell>
          <cell r="K630">
            <v>2.2762888537588999E-4</v>
          </cell>
          <cell r="L630">
            <v>6.7021955840742304</v>
          </cell>
          <cell r="M630">
            <v>1.6610340655492799</v>
          </cell>
          <cell r="N630">
            <v>1.0232622691388</v>
          </cell>
          <cell r="O630">
            <v>1.17238437986331</v>
          </cell>
          <cell r="P630">
            <v>1.00969285555666</v>
          </cell>
        </row>
        <row r="631">
          <cell r="B631" t="str">
            <v>ENGA-GTOC</v>
          </cell>
          <cell r="C631" t="str">
            <v>VAR_fin</v>
          </cell>
          <cell r="D631" t="str">
            <v>ENGA</v>
          </cell>
          <cell r="J631">
            <v>8.1121956949062921E-6</v>
          </cell>
          <cell r="K631">
            <v>4.0359731449625953E-6</v>
          </cell>
          <cell r="L631">
            <v>0.11883325503677708</v>
          </cell>
          <cell r="M631">
            <v>2.9450958609029774E-2</v>
          </cell>
          <cell r="N631">
            <v>1.8142948034375887E-2</v>
          </cell>
          <cell r="O631">
            <v>2.0786957089774974E-2</v>
          </cell>
          <cell r="P631">
            <v>1.7902355594976264E-2</v>
          </cell>
        </row>
        <row r="632">
          <cell r="B632" t="str">
            <v>ENGA-GTOC</v>
          </cell>
          <cell r="C632" t="str">
            <v>VAR_fin</v>
          </cell>
          <cell r="D632" t="str">
            <v>GTC</v>
          </cell>
          <cell r="I632">
            <v>1.24707768231093E-4</v>
          </cell>
          <cell r="J632">
            <v>5.1955281595336949E-4</v>
          </cell>
          <cell r="K632">
            <v>1.6083401589828593E-2</v>
          </cell>
          <cell r="L632">
            <v>3.2840437229114977E-2</v>
          </cell>
          <cell r="M632">
            <v>3.2867091084070647E-2</v>
          </cell>
          <cell r="N632">
            <v>3.2747224289286628E-2</v>
          </cell>
          <cell r="O632">
            <v>3.2429034944915579E-2</v>
          </cell>
          <cell r="P632">
            <v>2.1989124648278353E-2</v>
          </cell>
        </row>
        <row r="633">
          <cell r="B633" t="str">
            <v>ENGA-GTOC</v>
          </cell>
          <cell r="C633" t="str">
            <v>VAR_ncap</v>
          </cell>
          <cell r="D633" t="str">
            <v>-</v>
          </cell>
          <cell r="I633">
            <v>5.1785096002158505E-4</v>
          </cell>
          <cell r="J633">
            <v>5.6480280533947402E-6</v>
          </cell>
          <cell r="K633">
            <v>3.2319536813564198E-2</v>
          </cell>
          <cell r="L633">
            <v>1.99928594174961E-5</v>
          </cell>
          <cell r="M633">
            <v>1.7244227591901999E-5</v>
          </cell>
          <cell r="N633">
            <v>1.0962418188584299E-5</v>
          </cell>
          <cell r="O633">
            <v>1.4060904381396901E-4</v>
          </cell>
        </row>
        <row r="634">
          <cell r="B634" t="str">
            <v>ENGA-GTOC</v>
          </cell>
          <cell r="C634" t="str">
            <v>VAR_cap</v>
          </cell>
          <cell r="D634" t="str">
            <v>-</v>
          </cell>
          <cell r="I634">
            <v>1.24707768231093E-4</v>
          </cell>
          <cell r="J634">
            <v>5.1955281595336884E-4</v>
          </cell>
          <cell r="K634">
            <v>1.6083401589828614E-2</v>
          </cell>
          <cell r="L634">
            <v>3.2840437229114977E-2</v>
          </cell>
          <cell r="M634">
            <v>3.2867091084070696E-2</v>
          </cell>
          <cell r="N634">
            <v>3.2747224289286642E-2</v>
          </cell>
          <cell r="O634">
            <v>3.2429034944915544E-2</v>
          </cell>
          <cell r="P634">
            <v>2.1989124648278274E-2</v>
          </cell>
        </row>
        <row r="635">
          <cell r="B635" t="str">
            <v>D-RSH2</v>
          </cell>
          <cell r="C635" t="str">
            <v>VAR_fout</v>
          </cell>
          <cell r="D635" t="str">
            <v>RSH2</v>
          </cell>
          <cell r="H635">
            <v>2.4669425246379091E-4</v>
          </cell>
          <cell r="I635">
            <v>4.6746326287520402E-4</v>
          </cell>
          <cell r="J635">
            <v>4.7970568659829162E-2</v>
          </cell>
          <cell r="K635">
            <v>0.18416274558697204</v>
          </cell>
          <cell r="L635">
            <v>1.0022384065858232</v>
          </cell>
          <cell r="M635">
            <v>0.64481417041884526</v>
          </cell>
          <cell r="N635">
            <v>1.4154525246778758E-2</v>
          </cell>
          <cell r="O635">
            <v>8.9425811596121965E-2</v>
          </cell>
          <cell r="P635">
            <v>5.5413444992027876E-2</v>
          </cell>
        </row>
        <row r="636">
          <cell r="B636" t="str">
            <v>D-RSH2</v>
          </cell>
          <cell r="C636" t="str">
            <v>VAR_fin</v>
          </cell>
          <cell r="D636" t="str">
            <v>H2</v>
          </cell>
          <cell r="H636">
            <v>2.4857366500095728E-4</v>
          </cell>
          <cell r="I636">
            <v>4.7102457939611313E-4</v>
          </cell>
          <cell r="J636">
            <v>4.8336027065340792E-2</v>
          </cell>
          <cell r="K636">
            <v>0.18556576884137899</v>
          </cell>
          <cell r="L636">
            <v>1.0098738476540905</v>
          </cell>
          <cell r="M636">
            <v>0.64972661496882833</v>
          </cell>
          <cell r="N636">
            <v>1.4262359912324302E-2</v>
          </cell>
          <cell r="O636">
            <v>9.0107092127717323E-2</v>
          </cell>
          <cell r="P636">
            <v>5.583560611741073E-2</v>
          </cell>
        </row>
        <row r="637">
          <cell r="B637" t="str">
            <v>D-RSH2</v>
          </cell>
          <cell r="C637" t="str">
            <v>VAR_ncap</v>
          </cell>
          <cell r="D637" t="str">
            <v>-</v>
          </cell>
          <cell r="H637">
            <v>4.8121306840239498E-5</v>
          </cell>
          <cell r="I637">
            <v>3.3015218868948601E-5</v>
          </cell>
          <cell r="J637">
            <v>5.2162534910663401E-3</v>
          </cell>
          <cell r="K637">
            <v>1.2480953754283699E-2</v>
          </cell>
          <cell r="L637">
            <v>1.79395545449396E-2</v>
          </cell>
          <cell r="M637">
            <v>2.4497993839309597E-7</v>
          </cell>
          <cell r="N637">
            <v>3.2266897696548199E-7</v>
          </cell>
          <cell r="O637">
            <v>3.69459347873814E-7</v>
          </cell>
          <cell r="P637">
            <v>1.92087881902035E-6</v>
          </cell>
        </row>
        <row r="638">
          <cell r="B638" t="str">
            <v>D-RSH2</v>
          </cell>
          <cell r="C638" t="str">
            <v>VAR_cap</v>
          </cell>
          <cell r="D638" t="str">
            <v>-</v>
          </cell>
          <cell r="H638">
            <v>4.8121306840239498E-5</v>
          </cell>
          <cell r="I638">
            <v>8.11365257091881E-5</v>
          </cell>
          <cell r="J638">
            <v>5.2973900167755297E-3</v>
          </cell>
          <cell r="K638">
            <v>1.7778343771059201E-2</v>
          </cell>
          <cell r="L638">
            <v>3.5717898315998801E-2</v>
          </cell>
          <cell r="M638">
            <v>3.5718143295937199E-2</v>
          </cell>
          <cell r="N638">
            <v>3.5718465964914202E-2</v>
          </cell>
          <cell r="O638">
            <v>3.5703580311196401E-2</v>
          </cell>
          <cell r="P638">
            <v>3.56726349962408E-2</v>
          </cell>
        </row>
        <row r="639">
          <cell r="B639" t="str">
            <v>D-RWOD</v>
          </cell>
          <cell r="C639" t="str">
            <v>VAR_fout</v>
          </cell>
          <cell r="D639" t="str">
            <v>RWOD</v>
          </cell>
          <cell r="E639">
            <v>13.722992790185106</v>
          </cell>
          <cell r="F639">
            <v>13.956563426280887</v>
          </cell>
          <cell r="G639">
            <v>12.063918531197135</v>
          </cell>
          <cell r="H639">
            <v>10.187549932401438</v>
          </cell>
          <cell r="I639">
            <v>9.0243005144757227</v>
          </cell>
          <cell r="J639">
            <v>7.5644960548469422</v>
          </cell>
          <cell r="K639">
            <v>6.7819867782082142</v>
          </cell>
          <cell r="L639">
            <v>6.1586613668132824</v>
          </cell>
          <cell r="M639">
            <v>5.5191937833368536</v>
          </cell>
          <cell r="N639">
            <v>5.3837736190885552</v>
          </cell>
          <cell r="O639">
            <v>5.2340554966682937</v>
          </cell>
          <cell r="P639">
            <v>4.1396844149773102</v>
          </cell>
        </row>
        <row r="640">
          <cell r="B640" t="str">
            <v>D-RWOD</v>
          </cell>
          <cell r="C640" t="str">
            <v>VAR_fin</v>
          </cell>
          <cell r="D640" t="str">
            <v>WOD</v>
          </cell>
          <cell r="E640">
            <v>13.722992790185106</v>
          </cell>
          <cell r="F640">
            <v>13.956563426280887</v>
          </cell>
          <cell r="G640">
            <v>12.063918531197135</v>
          </cell>
          <cell r="H640">
            <v>10.187549932401438</v>
          </cell>
          <cell r="I640">
            <v>9.0243005144757227</v>
          </cell>
          <cell r="J640">
            <v>7.5644960548469422</v>
          </cell>
          <cell r="K640">
            <v>6.7819867782082142</v>
          </cell>
          <cell r="L640">
            <v>6.1586613668132824</v>
          </cell>
          <cell r="M640">
            <v>5.5191937833368536</v>
          </cell>
          <cell r="N640">
            <v>5.3837736190885552</v>
          </cell>
          <cell r="O640">
            <v>5.2340554966682937</v>
          </cell>
          <cell r="P640">
            <v>4.1396844149773102</v>
          </cell>
        </row>
        <row r="641">
          <cell r="B641" t="str">
            <v>SCOM-CHPGFC</v>
          </cell>
          <cell r="C641" t="str">
            <v>VAR_fout</v>
          </cell>
          <cell r="D641" t="str">
            <v>CO2_S</v>
          </cell>
          <cell r="M641">
            <v>7.9762993864065004E-2</v>
          </cell>
          <cell r="N641">
            <v>0.13812789222595201</v>
          </cell>
          <cell r="O641">
            <v>0.103265490464986</v>
          </cell>
          <cell r="P641">
            <v>0.232111385078519</v>
          </cell>
        </row>
        <row r="642">
          <cell r="B642" t="str">
            <v>SCOM-CHPGFC</v>
          </cell>
          <cell r="C642" t="str">
            <v>VAR_fout</v>
          </cell>
          <cell r="D642" t="str">
            <v>SCOM_NKEV_GAS_ELC_CHP</v>
          </cell>
          <cell r="M642">
            <v>8.7682723751276981E-4</v>
          </cell>
          <cell r="N642">
            <v>1.5184271840441477E-3</v>
          </cell>
          <cell r="O642">
            <v>1.1351880157498431E-3</v>
          </cell>
          <cell r="P642">
            <v>2.5515790558276966E-3</v>
          </cell>
        </row>
        <row r="643">
          <cell r="B643" t="str">
            <v>SCOM-CHPGFC</v>
          </cell>
          <cell r="C643" t="str">
            <v>VAR_fout</v>
          </cell>
          <cell r="D643" t="str">
            <v>SCOM_LTH_CHPNGA</v>
          </cell>
          <cell r="M643">
            <v>2.5456274637467518E-4</v>
          </cell>
          <cell r="N643">
            <v>4.4083369859346201E-4</v>
          </cell>
          <cell r="O643">
            <v>3.29570714249954E-4</v>
          </cell>
          <cell r="P643">
            <v>7.4078101620804037E-4</v>
          </cell>
        </row>
        <row r="644">
          <cell r="B644" t="str">
            <v>SCOM-CHPGFC</v>
          </cell>
          <cell r="C644" t="str">
            <v>VAR_fin</v>
          </cell>
          <cell r="D644" t="str">
            <v>SNGA</v>
          </cell>
          <cell r="M644">
            <v>1.4142374798593069E-3</v>
          </cell>
          <cell r="N644">
            <v>2.4490761032970104E-3</v>
          </cell>
          <cell r="O644">
            <v>1.8309484124997475E-3</v>
          </cell>
          <cell r="P644">
            <v>4.1154500900446702E-3</v>
          </cell>
        </row>
        <row r="645">
          <cell r="B645" t="str">
            <v>SCOM-CHPGFC</v>
          </cell>
          <cell r="C645" t="str">
            <v>VAR_ncap</v>
          </cell>
          <cell r="D645" t="str">
            <v>-</v>
          </cell>
          <cell r="M645">
            <v>1.1436808658798501E-4</v>
          </cell>
          <cell r="N645">
            <v>8.5428052908057393E-5</v>
          </cell>
          <cell r="O645">
            <v>2.9888192533523398E-6</v>
          </cell>
          <cell r="P645">
            <v>2.5647223679631898E-4</v>
          </cell>
        </row>
        <row r="646">
          <cell r="B646" t="str">
            <v>SCOM-CHPGFC</v>
          </cell>
          <cell r="C646" t="str">
            <v>VAR_cap</v>
          </cell>
          <cell r="D646" t="str">
            <v>-</v>
          </cell>
          <cell r="M646">
            <v>1.1436808658798501E-4</v>
          </cell>
          <cell r="N646">
            <v>1.9972562581380525E-4</v>
          </cell>
          <cell r="O646">
            <v>1.6631785538582315E-4</v>
          </cell>
          <cell r="P646">
            <v>3.4460665540120468E-4</v>
          </cell>
        </row>
        <row r="647">
          <cell r="B647" t="str">
            <v>ENUC_AMR_GOE_II</v>
          </cell>
          <cell r="C647" t="str">
            <v>VAR_fout</v>
          </cell>
          <cell r="D647" t="str">
            <v>HTH</v>
          </cell>
          <cell r="M647">
            <v>0.24618368803389187</v>
          </cell>
          <cell r="N647">
            <v>0.6330028021600973</v>
          </cell>
          <cell r="O647">
            <v>0.61175461288721189</v>
          </cell>
          <cell r="P647">
            <v>0.53967669385419781</v>
          </cell>
        </row>
        <row r="648">
          <cell r="B648" t="str">
            <v>ENUC_AMR_GOE_II</v>
          </cell>
          <cell r="C648" t="str">
            <v>VAR_fout</v>
          </cell>
          <cell r="D648" t="str">
            <v>ELC</v>
          </cell>
          <cell r="M648">
            <v>0.78568397185967265</v>
          </cell>
          <cell r="N648">
            <v>1.8577940447723595</v>
          </cell>
          <cell r="O648">
            <v>1.9213638981616312</v>
          </cell>
          <cell r="P648">
            <v>1.9033378051608152</v>
          </cell>
        </row>
        <row r="649">
          <cell r="B649" t="str">
            <v>ENUC_AMR_GOE_II</v>
          </cell>
          <cell r="C649" t="str">
            <v>VAR_fin</v>
          </cell>
          <cell r="D649" t="str">
            <v>URN</v>
          </cell>
          <cell r="M649">
            <v>2.0076055591391047</v>
          </cell>
          <cell r="N649">
            <v>4.8011826267458373</v>
          </cell>
          <cell r="O649">
            <v>4.9198670794493493</v>
          </cell>
          <cell r="P649">
            <v>4.8031995524525106</v>
          </cell>
        </row>
        <row r="650">
          <cell r="B650" t="str">
            <v>ENUC_AMR_GOE_II</v>
          </cell>
          <cell r="C650" t="str">
            <v>VAR_ncap</v>
          </cell>
          <cell r="D650" t="str">
            <v>-</v>
          </cell>
          <cell r="M650">
            <v>7.9860908603696601E-2</v>
          </cell>
          <cell r="N650">
            <v>3.6498641751588898E-7</v>
          </cell>
          <cell r="O650">
            <v>6.7889174767469499E-7</v>
          </cell>
        </row>
        <row r="651">
          <cell r="B651" t="str">
            <v>ENUC_AMR_GOE_II</v>
          </cell>
          <cell r="C651" t="str">
            <v>VAR_cap</v>
          </cell>
          <cell r="D651" t="str">
            <v>-</v>
          </cell>
          <cell r="M651">
            <v>3.25438197878994E-2</v>
          </cell>
          <cell r="N651">
            <v>7.9860908603696601E-2</v>
          </cell>
          <cell r="O651">
            <v>7.9861488808092407E-2</v>
          </cell>
          <cell r="P651">
            <v>7.98619524818618E-2</v>
          </cell>
        </row>
        <row r="652">
          <cell r="B652" t="str">
            <v>CHPOIL</v>
          </cell>
          <cell r="C652" t="str">
            <v>VAR_fout</v>
          </cell>
          <cell r="D652" t="str">
            <v>ELC35</v>
          </cell>
          <cell r="E652">
            <v>1.8006281707011423E-3</v>
          </cell>
          <cell r="F652">
            <v>2.2914824759534405E-5</v>
          </cell>
          <cell r="G652">
            <v>7.1803470471217511E-4</v>
          </cell>
          <cell r="H652">
            <v>2.4099895183947128E-4</v>
          </cell>
          <cell r="I652">
            <v>9.5997979387524093E-5</v>
          </cell>
          <cell r="J652">
            <v>6.2496185426329351E-4</v>
          </cell>
          <cell r="K652">
            <v>3.7942043443066012E-4</v>
          </cell>
          <cell r="M652">
            <v>4.4011247261742713E-5</v>
          </cell>
          <cell r="N652">
            <v>4.3450455718655763E-5</v>
          </cell>
          <cell r="O652">
            <v>4.3373775869563908E-5</v>
          </cell>
          <cell r="P652">
            <v>4.4985634682772928E-5</v>
          </cell>
        </row>
        <row r="653">
          <cell r="B653" t="str">
            <v>CHPOIL</v>
          </cell>
          <cell r="C653" t="str">
            <v>VAR_fout</v>
          </cell>
          <cell r="D653" t="str">
            <v>LTH</v>
          </cell>
          <cell r="E653">
            <v>9.2603734493201511E-3</v>
          </cell>
          <cell r="F653">
            <v>1.1784767019189121E-4</v>
          </cell>
          <cell r="G653">
            <v>3.6927499099483315E-3</v>
          </cell>
          <cell r="H653">
            <v>1.2394231808887087E-3</v>
          </cell>
          <cell r="I653">
            <v>4.9370389399298051E-4</v>
          </cell>
          <cell r="J653">
            <v>3.2140895362112185E-3</v>
          </cell>
          <cell r="K653">
            <v>1.9513050913576783E-3</v>
          </cell>
          <cell r="L653">
            <v>7.1321271424165059E-6</v>
          </cell>
          <cell r="M653">
            <v>2.2634355734610522E-4</v>
          </cell>
          <cell r="N653">
            <v>2.2345948655308676E-4</v>
          </cell>
          <cell r="O653">
            <v>2.230651330434712E-4</v>
          </cell>
          <cell r="P653">
            <v>2.3135469265426063E-4</v>
          </cell>
        </row>
        <row r="654">
          <cell r="B654" t="str">
            <v>CHPOIL</v>
          </cell>
          <cell r="C654" t="str">
            <v>VAR_fout</v>
          </cell>
          <cell r="D654" t="str">
            <v>CO2_E</v>
          </cell>
          <cell r="E654">
            <v>1.5103412865985899</v>
          </cell>
          <cell r="F654">
            <v>5.2574174641678198E-2</v>
          </cell>
          <cell r="G654">
            <v>0.54492234358605596</v>
          </cell>
          <cell r="H654">
            <v>0.179584163225432</v>
          </cell>
          <cell r="I654">
            <v>6.9914525909298697E-2</v>
          </cell>
          <cell r="J654">
            <v>0.46156834733402002</v>
          </cell>
          <cell r="K654">
            <v>0.277539316997649</v>
          </cell>
          <cell r="L654">
            <v>9.9913609102221502E-4</v>
          </cell>
          <cell r="M654">
            <v>4.10341609456258E-2</v>
          </cell>
          <cell r="N654">
            <v>4.8664388441433802E-2</v>
          </cell>
          <cell r="O654">
            <v>4.4256314274426403E-2</v>
          </cell>
          <cell r="P654">
            <v>6.0571925297655198E-2</v>
          </cell>
        </row>
        <row r="655">
          <cell r="B655" t="str">
            <v>CHPOIL</v>
          </cell>
          <cell r="C655" t="str">
            <v>VAR_fin</v>
          </cell>
          <cell r="D655" t="str">
            <v>ELFO</v>
          </cell>
          <cell r="E655">
            <v>2.0493097511514045E-2</v>
          </cell>
          <cell r="F655">
            <v>7.1335379432399147E-4</v>
          </cell>
          <cell r="G655">
            <v>7.3937902793223273E-3</v>
          </cell>
          <cell r="H655">
            <v>2.4366914955960884E-3</v>
          </cell>
          <cell r="I655">
            <v>9.4863671518722779E-4</v>
          </cell>
          <cell r="J655">
            <v>6.2627998281413917E-3</v>
          </cell>
          <cell r="K655">
            <v>3.7657980596695877E-3</v>
          </cell>
          <cell r="L655">
            <v>1.3556799064073458E-5</v>
          </cell>
          <cell r="M655">
            <v>5.5677287578868092E-4</v>
          </cell>
          <cell r="N655">
            <v>6.6030377803845083E-4</v>
          </cell>
          <cell r="O655">
            <v>6.0049273099628856E-4</v>
          </cell>
          <cell r="P655">
            <v>8.2187144230196985E-4</v>
          </cell>
        </row>
        <row r="656">
          <cell r="B656" t="str">
            <v>CHPOIL</v>
          </cell>
          <cell r="C656" t="str">
            <v>VAR_ncap</v>
          </cell>
          <cell r="D656" t="str">
            <v>-</v>
          </cell>
          <cell r="F656">
            <v>1.2040674626284201E-6</v>
          </cell>
          <cell r="G656">
            <v>1.1985993598912601E-6</v>
          </cell>
          <cell r="H656">
            <v>1.4513369617515301E-6</v>
          </cell>
          <cell r="I656">
            <v>6.88464743404936E-6</v>
          </cell>
          <cell r="J656">
            <v>6.5417718478971305E-5</v>
          </cell>
          <cell r="K656">
            <v>7.2113305277628594E-5</v>
          </cell>
          <cell r="L656">
            <v>5.39364395860969E-6</v>
          </cell>
          <cell r="M656">
            <v>6.0337507261416501E-6</v>
          </cell>
          <cell r="N656">
            <v>9.1894951368309095E-5</v>
          </cell>
          <cell r="O656">
            <v>4.3740260189972898E-5</v>
          </cell>
          <cell r="P656">
            <v>1.24276173906069E-4</v>
          </cell>
        </row>
        <row r="657">
          <cell r="B657" t="str">
            <v>CHPOIL</v>
          </cell>
          <cell r="C657" t="str">
            <v>VAR_cap</v>
          </cell>
          <cell r="D657" t="str">
            <v>-</v>
          </cell>
          <cell r="E657">
            <v>1.8106638901258902E-3</v>
          </cell>
          <cell r="F657">
            <v>5.597480846353687E-4</v>
          </cell>
          <cell r="G657">
            <v>5.0857198806788899E-4</v>
          </cell>
          <cell r="H657">
            <v>3.8177250324249005E-4</v>
          </cell>
          <cell r="I657">
            <v>3.6019335027516041E-4</v>
          </cell>
          <cell r="J657">
            <v>2.0270582611189516E-4</v>
          </cell>
          <cell r="K657">
            <v>1.4422149494728583E-4</v>
          </cell>
          <cell r="L657">
            <v>1.4749189144437199E-4</v>
          </cell>
          <cell r="M657">
            <v>1.3884283132518913E-4</v>
          </cell>
          <cell r="N657">
            <v>1.7218283170574155E-4</v>
          </cell>
          <cell r="O657">
            <v>1.4407115525009957E-4</v>
          </cell>
          <cell r="P657">
            <v>2.6097789423300965E-4</v>
          </cell>
        </row>
        <row r="658">
          <cell r="B658" t="str">
            <v>CHPHFC</v>
          </cell>
          <cell r="C658" t="str">
            <v>VAR_fout</v>
          </cell>
          <cell r="D658" t="str">
            <v>ELC35</v>
          </cell>
          <cell r="J658">
            <v>0.25169808701507451</v>
          </cell>
          <cell r="K658">
            <v>0.72710744266880833</v>
          </cell>
          <cell r="L658">
            <v>1.0768416775827507</v>
          </cell>
          <cell r="M658">
            <v>1.0768412184958329</v>
          </cell>
          <cell r="N658">
            <v>1.0768425338365069</v>
          </cell>
          <cell r="O658">
            <v>1.0768444786233162</v>
          </cell>
          <cell r="P658">
            <v>1.0768639583011022</v>
          </cell>
        </row>
        <row r="659">
          <cell r="B659" t="str">
            <v>CHPHFC</v>
          </cell>
          <cell r="C659" t="str">
            <v>VAR_fout</v>
          </cell>
          <cell r="D659" t="str">
            <v>LTH</v>
          </cell>
          <cell r="J659">
            <v>0.30563339137544698</v>
          </cell>
          <cell r="K659">
            <v>0.90022826235185494</v>
          </cell>
          <cell r="L659">
            <v>1.3588716407591843</v>
          </cell>
          <cell r="M659">
            <v>1.3588710614352153</v>
          </cell>
          <cell r="N659">
            <v>1.358872721269875</v>
          </cell>
          <cell r="O659">
            <v>1.3588751754056108</v>
          </cell>
          <cell r="P659">
            <v>1.3588997569037702</v>
          </cell>
        </row>
        <row r="660">
          <cell r="B660" t="str">
            <v>CHPHFC</v>
          </cell>
          <cell r="C660" t="str">
            <v>VAR_fin</v>
          </cell>
          <cell r="D660" t="str">
            <v>EH2</v>
          </cell>
          <cell r="J660">
            <v>0.59928115955970118</v>
          </cell>
          <cell r="K660">
            <v>1.7312081968304951</v>
          </cell>
          <cell r="L660">
            <v>2.5639087561494094</v>
          </cell>
          <cell r="M660">
            <v>2.563907663085315</v>
          </cell>
          <cell r="N660">
            <v>2.5639107948488262</v>
          </cell>
          <cell r="O660">
            <v>2.5639154252936072</v>
          </cell>
          <cell r="P660">
            <v>2.5639618054788147</v>
          </cell>
        </row>
        <row r="661">
          <cell r="B661" t="str">
            <v>CHPHFC</v>
          </cell>
          <cell r="C661" t="str">
            <v>VAR_ncap</v>
          </cell>
          <cell r="D661" t="str">
            <v>-</v>
          </cell>
          <cell r="J661">
            <v>1.7351588725671E-2</v>
          </cell>
          <cell r="K661">
            <v>4.5477463396398098E-2</v>
          </cell>
          <cell r="L661">
            <v>1.0905453499551399E-2</v>
          </cell>
          <cell r="M661">
            <v>7.5714940048663204E-7</v>
          </cell>
          <cell r="N661">
            <v>1.5194026211492901E-2</v>
          </cell>
          <cell r="O661">
            <v>5.0285924160174203E-2</v>
          </cell>
          <cell r="P661">
            <v>9.6057842550970104E-3</v>
          </cell>
        </row>
        <row r="662">
          <cell r="B662" t="str">
            <v>CHPHFC</v>
          </cell>
          <cell r="C662" t="str">
            <v>VAR_cap</v>
          </cell>
          <cell r="D662" t="str">
            <v>-</v>
          </cell>
          <cell r="J662">
            <v>1.7351588725671E-2</v>
          </cell>
          <cell r="K662">
            <v>6.2828996738268431E-2</v>
          </cell>
          <cell r="L662">
            <v>7.373423906157392E-2</v>
          </cell>
          <cell r="M662">
            <v>7.1434107808118041E-2</v>
          </cell>
          <cell r="N662">
            <v>7.1576484328499806E-2</v>
          </cell>
          <cell r="O662">
            <v>7.6385220750591856E-2</v>
          </cell>
          <cell r="P662">
            <v>7.5085630956315749E-2</v>
          </cell>
        </row>
        <row r="663">
          <cell r="B663" t="str">
            <v>ITOT-ESOLPV</v>
          </cell>
          <cell r="C663" t="str">
            <v>VAR_fout</v>
          </cell>
          <cell r="D663" t="str">
            <v>ITOT_SOL_ELC</v>
          </cell>
          <cell r="E663">
            <v>3.517953999707534</v>
          </cell>
          <cell r="F663">
            <v>4.8486222543413104</v>
          </cell>
          <cell r="G663">
            <v>11.927073870179624</v>
          </cell>
          <cell r="H663">
            <v>14.116657077484307</v>
          </cell>
          <cell r="I663">
            <v>19.78467689860712</v>
          </cell>
          <cell r="J663">
            <v>20.793897306235376</v>
          </cell>
          <cell r="K663">
            <v>21.854596279856747</v>
          </cell>
          <cell r="L663">
            <v>22.969401049914179</v>
          </cell>
          <cell r="M663">
            <v>24.141071820801891</v>
          </cell>
          <cell r="N663">
            <v>25.372509635566047</v>
          </cell>
          <cell r="O663">
            <v>26.666763210887776</v>
          </cell>
          <cell r="P663">
            <v>28.027036979969285</v>
          </cell>
        </row>
        <row r="664">
          <cell r="B664" t="str">
            <v>ITOT-ESOLPV</v>
          </cell>
          <cell r="C664" t="str">
            <v>VAR_fin</v>
          </cell>
          <cell r="D664" t="str">
            <v>SOL</v>
          </cell>
          <cell r="E664">
            <v>3.517953999707534</v>
          </cell>
          <cell r="F664">
            <v>4.8486222543413104</v>
          </cell>
          <cell r="G664">
            <v>11.927073870179624</v>
          </cell>
          <cell r="H664">
            <v>14.116657077484307</v>
          </cell>
          <cell r="I664">
            <v>19.78467689860712</v>
          </cell>
          <cell r="J664">
            <v>20.793897306235376</v>
          </cell>
          <cell r="K664">
            <v>21.854596279856747</v>
          </cell>
          <cell r="L664">
            <v>22.969401049914179</v>
          </cell>
          <cell r="M664">
            <v>24.141071820801891</v>
          </cell>
          <cell r="N664">
            <v>25.372509635566047</v>
          </cell>
          <cell r="O664">
            <v>26.666763210887776</v>
          </cell>
          <cell r="P664">
            <v>28.027036979969285</v>
          </cell>
        </row>
        <row r="665">
          <cell r="B665" t="str">
            <v>ITOT-ESOLPV</v>
          </cell>
          <cell r="C665" t="str">
            <v>VAR_fin</v>
          </cell>
          <cell r="D665" t="str">
            <v>SOLPVC</v>
          </cell>
          <cell r="E665">
            <v>3.51795399970753</v>
          </cell>
          <cell r="F665">
            <v>4.8486222543413096</v>
          </cell>
          <cell r="G665">
            <v>11.9270738701796</v>
          </cell>
          <cell r="H665">
            <v>14.1166570774843</v>
          </cell>
          <cell r="I665">
            <v>19.784676898607099</v>
          </cell>
          <cell r="J665">
            <v>20.793897306235401</v>
          </cell>
          <cell r="K665">
            <v>21.8545962798567</v>
          </cell>
          <cell r="L665">
            <v>22.9694010499142</v>
          </cell>
          <cell r="M665">
            <v>24.141071820801901</v>
          </cell>
          <cell r="N665">
            <v>25.372509635566001</v>
          </cell>
          <cell r="O665">
            <v>26.666763210887801</v>
          </cell>
          <cell r="P665">
            <v>28.027036979969299</v>
          </cell>
        </row>
        <row r="666">
          <cell r="B666" t="str">
            <v>ITOT-ESOLPV</v>
          </cell>
          <cell r="C666" t="str">
            <v>VAR_ncap</v>
          </cell>
          <cell r="D666" t="str">
            <v>-</v>
          </cell>
          <cell r="F666">
            <v>1.2299577941021799E-8</v>
          </cell>
          <cell r="G666">
            <v>1.76796393388853</v>
          </cell>
          <cell r="H666">
            <v>1.70148395654468E-5</v>
          </cell>
          <cell r="I666">
            <v>1.91458109928288</v>
          </cell>
          <cell r="J666">
            <v>0.86938992394196801</v>
          </cell>
          <cell r="K666">
            <v>2.3094285522816702</v>
          </cell>
          <cell r="L666">
            <v>0.58894568423453697</v>
          </cell>
          <cell r="M666">
            <v>1.73843696035979</v>
          </cell>
          <cell r="N666">
            <v>1.6400334191949999</v>
          </cell>
          <cell r="O666">
            <v>2.6296110060021198</v>
          </cell>
          <cell r="P666">
            <v>0.92546070091076504</v>
          </cell>
        </row>
        <row r="667">
          <cell r="B667" t="str">
            <v>ITOT-ESOLPV</v>
          </cell>
          <cell r="C667" t="str">
            <v>VAR_cap</v>
          </cell>
          <cell r="D667" t="str">
            <v>-</v>
          </cell>
          <cell r="E667">
            <v>1.1186210000000001</v>
          </cell>
          <cell r="F667">
            <v>1.6529270268866281</v>
          </cell>
          <cell r="G667">
            <v>3.5611849461881002</v>
          </cell>
          <cell r="H667">
            <v>3.4922860642235598</v>
          </cell>
          <cell r="I667">
            <v>4.8944839173701098</v>
          </cell>
          <cell r="J667">
            <v>5.1441526041199603</v>
          </cell>
          <cell r="K667">
            <v>5.40655636863554</v>
          </cell>
          <cell r="L667">
            <v>5.6823452597410498</v>
          </cell>
          <cell r="M667">
            <v>5.9722021172258897</v>
          </cell>
          <cell r="N667">
            <v>6.2768446160710001</v>
          </cell>
          <cell r="O667">
            <v>6.5970270697914497</v>
          </cell>
          <cell r="P667">
            <v>6.9335420864676802</v>
          </cell>
        </row>
        <row r="668">
          <cell r="B668" t="str">
            <v>SUP_WODBIOCCS</v>
          </cell>
          <cell r="C668" t="str">
            <v>VAR_fout</v>
          </cell>
          <cell r="D668" t="str">
            <v>ELC35</v>
          </cell>
          <cell r="J668">
            <v>1.4064537336721861E-5</v>
          </cell>
          <cell r="K668">
            <v>1.9693038236667094E-5</v>
          </cell>
          <cell r="L668">
            <v>4.2054466069323496E-5</v>
          </cell>
          <cell r="M668">
            <v>4.1136123672183416E-5</v>
          </cell>
          <cell r="N668">
            <v>3.8523480980970144E-5</v>
          </cell>
          <cell r="O668">
            <v>3.9495351349602048E-5</v>
          </cell>
          <cell r="P668">
            <v>6.223820417949293E-5</v>
          </cell>
        </row>
        <row r="669">
          <cell r="B669" t="str">
            <v>SUP_WODBIOCCS</v>
          </cell>
          <cell r="C669" t="str">
            <v>VAR_fout</v>
          </cell>
          <cell r="D669" t="str">
            <v>CO2_O</v>
          </cell>
          <cell r="J669">
            <v>2.2035311089550851E-2</v>
          </cell>
          <cell r="K669">
            <v>3.101732106391452E-2</v>
          </cell>
          <cell r="L669">
            <v>6.6614422794923966E-2</v>
          </cell>
          <cell r="M669">
            <v>6.5135919461198524E-2</v>
          </cell>
          <cell r="N669">
            <v>6.0989249856987678E-2</v>
          </cell>
          <cell r="O669">
            <v>6.2251622080272309E-2</v>
          </cell>
          <cell r="P669">
            <v>9.7926750341969376E-2</v>
          </cell>
        </row>
        <row r="670">
          <cell r="B670" t="str">
            <v>SUP_WODBIOCCS</v>
          </cell>
          <cell r="C670" t="str">
            <v>VAR_fout</v>
          </cell>
          <cell r="D670" t="str">
            <v>CO2</v>
          </cell>
          <cell r="J670">
            <v>-2.2035311089550799E-2</v>
          </cell>
          <cell r="K670">
            <v>-3.1017321063914499E-2</v>
          </cell>
          <cell r="L670">
            <v>-6.6614422794923897E-2</v>
          </cell>
          <cell r="M670">
            <v>-6.5135919461198497E-2</v>
          </cell>
          <cell r="N670">
            <v>-6.0989249856987698E-2</v>
          </cell>
          <cell r="O670">
            <v>-6.2251622080272302E-2</v>
          </cell>
          <cell r="P670">
            <v>-9.7926750341969404E-2</v>
          </cell>
        </row>
        <row r="671">
          <cell r="B671" t="str">
            <v>SUP_WODBIOCCS</v>
          </cell>
          <cell r="C671" t="str">
            <v>VAR_fout</v>
          </cell>
          <cell r="D671" t="str">
            <v>BIO</v>
          </cell>
          <cell r="J671">
            <v>3.4517624058303173E-4</v>
          </cell>
          <cell r="K671">
            <v>4.861910037824485E-4</v>
          </cell>
          <cell r="L671">
            <v>1.0447134278588491E-3</v>
          </cell>
          <cell r="M671">
            <v>1.0215055450811146E-3</v>
          </cell>
          <cell r="N671">
            <v>9.564394011177471E-4</v>
          </cell>
          <cell r="O671">
            <v>9.7615972055833239E-4</v>
          </cell>
          <cell r="P671">
            <v>1.5355256138995729E-3</v>
          </cell>
        </row>
        <row r="672">
          <cell r="B672" t="str">
            <v>SUP_WODBIOCCS</v>
          </cell>
          <cell r="C672" t="str">
            <v>VAR_fout</v>
          </cell>
          <cell r="D672" t="str">
            <v>LTH</v>
          </cell>
          <cell r="J672">
            <v>4.1879522693272464E-5</v>
          </cell>
          <cell r="K672">
            <v>5.8740487165225867E-5</v>
          </cell>
          <cell r="L672">
            <v>1.2584930889107733E-4</v>
          </cell>
          <cell r="M672">
            <v>1.2306156406248072E-4</v>
          </cell>
          <cell r="N672">
            <v>1.1525635362601727E-4</v>
          </cell>
          <cell r="O672">
            <v>1.1754378609812676E-4</v>
          </cell>
          <cell r="P672">
            <v>1.84848071337567E-4</v>
          </cell>
        </row>
        <row r="673">
          <cell r="B673" t="str">
            <v>SUP_WODBIOCCS</v>
          </cell>
          <cell r="C673" t="str">
            <v>VAR_fin</v>
          </cell>
          <cell r="D673" t="str">
            <v>CWOD</v>
          </cell>
          <cell r="J673">
            <v>5.1639819544980678E-4</v>
          </cell>
          <cell r="K673">
            <v>7.2787477298918307E-4</v>
          </cell>
          <cell r="L673">
            <v>1.5630668547378858E-3</v>
          </cell>
          <cell r="M673">
            <v>1.5284611074693395E-3</v>
          </cell>
          <cell r="N673">
            <v>1.4308837335959442E-3</v>
          </cell>
          <cell r="O673">
            <v>1.4626790902319625E-3</v>
          </cell>
          <cell r="P673">
            <v>2.3009104873583028E-3</v>
          </cell>
        </row>
        <row r="674">
          <cell r="B674" t="str">
            <v>SUP_WODBIOCCS</v>
          </cell>
          <cell r="C674" t="str">
            <v>VAR_ncap</v>
          </cell>
          <cell r="D674" t="str">
            <v>-</v>
          </cell>
          <cell r="J674">
            <v>1.9988291048735201E-5</v>
          </cell>
          <cell r="K674">
            <v>4.2327372091938002E-6</v>
          </cell>
          <cell r="L674">
            <v>2.3142485494736599E-5</v>
          </cell>
          <cell r="M674">
            <v>1.0665455896379501E-7</v>
          </cell>
          <cell r="N674">
            <v>2.0815050110267E-5</v>
          </cell>
          <cell r="O674">
            <v>9.9651360064104798E-7</v>
          </cell>
          <cell r="P674">
            <v>5.5639843047456999E-5</v>
          </cell>
        </row>
        <row r="675">
          <cell r="B675" t="str">
            <v>SUP_WODBIOCCS</v>
          </cell>
          <cell r="C675" t="str">
            <v>VAR_cap</v>
          </cell>
          <cell r="D675" t="str">
            <v>-</v>
          </cell>
          <cell r="J675">
            <v>1.9988291048735201E-5</v>
          </cell>
          <cell r="K675">
            <v>2.4221028257929001E-5</v>
          </cell>
          <cell r="L675">
            <v>4.73635137526656E-5</v>
          </cell>
          <cell r="M675">
            <v>4.4821811123967102E-5</v>
          </cell>
          <cell r="N675">
            <v>4.8296927373161201E-5</v>
          </cell>
          <cell r="O675">
            <v>4.5060703764608498E-5</v>
          </cell>
          <cell r="P675">
            <v>7.7558061317328797E-5</v>
          </cell>
        </row>
        <row r="676">
          <cell r="B676" t="str">
            <v>RHNS-CHPNGA</v>
          </cell>
          <cell r="C676" t="str">
            <v>VAR_fout</v>
          </cell>
          <cell r="D676" t="str">
            <v>CO2_R</v>
          </cell>
          <cell r="F676">
            <v>0.12777318153646799</v>
          </cell>
          <cell r="G676">
            <v>0.34474952725778801</v>
          </cell>
          <cell r="H676">
            <v>0.286114712697633</v>
          </cell>
          <cell r="I676">
            <v>0.28676928055568002</v>
          </cell>
          <cell r="J676">
            <v>0.18947281125106699</v>
          </cell>
          <cell r="M676">
            <v>0.101976916641107</v>
          </cell>
          <cell r="N676">
            <v>0.165416494418235</v>
          </cell>
          <cell r="O676">
            <v>0.115386037079281</v>
          </cell>
          <cell r="P676">
            <v>0.28245253871121201</v>
          </cell>
        </row>
        <row r="677">
          <cell r="B677" t="str">
            <v>RHNS-CHPNGA</v>
          </cell>
          <cell r="C677" t="str">
            <v>VAR_fout</v>
          </cell>
          <cell r="D677" t="str">
            <v>RHNS_LTH_CHPNGA</v>
          </cell>
          <cell r="F677">
            <v>1.4256951375580065E-3</v>
          </cell>
          <cell r="G677">
            <v>2.9166391708750064E-3</v>
          </cell>
          <cell r="H677">
            <v>2.8400470911874053E-3</v>
          </cell>
          <cell r="I677">
            <v>2.8161764208000967E-3</v>
          </cell>
          <cell r="J677">
            <v>1.7185898702654842E-3</v>
          </cell>
          <cell r="M677">
            <v>1.0184797494080873E-3</v>
          </cell>
          <cell r="N677">
            <v>1.611606692385514E-3</v>
          </cell>
          <cell r="O677">
            <v>1.0951340155149123E-3</v>
          </cell>
          <cell r="P677">
            <v>2.7292702920100696E-3</v>
          </cell>
        </row>
        <row r="678">
          <cell r="B678" t="str">
            <v>RHNS-CHPNGA</v>
          </cell>
          <cell r="C678" t="str">
            <v>VAR_fout</v>
          </cell>
          <cell r="D678" t="str">
            <v>RHNS_NKEV_GAS_ELC_CHP</v>
          </cell>
          <cell r="F678">
            <v>5.9826017095573468E-4</v>
          </cell>
          <cell r="G678">
            <v>1.2429420592905873E-3</v>
          </cell>
          <cell r="H678">
            <v>1.2425206023944869E-3</v>
          </cell>
          <cell r="I678">
            <v>1.2429805220124308E-3</v>
          </cell>
          <cell r="J678">
            <v>7.6530955160259762E-4</v>
          </cell>
          <cell r="M678">
            <v>4.6882401163229399E-4</v>
          </cell>
          <cell r="N678">
            <v>7.4185069966952203E-4</v>
          </cell>
          <cell r="O678">
            <v>5.0410930872908676E-4</v>
          </cell>
          <cell r="P678">
            <v>1.256330769337967E-3</v>
          </cell>
        </row>
        <row r="679">
          <cell r="B679" t="str">
            <v>RHNS-CHPNGA</v>
          </cell>
          <cell r="C679" t="str">
            <v>VAR_fin</v>
          </cell>
          <cell r="D679" t="str">
            <v>RNGA</v>
          </cell>
          <cell r="F679">
            <v>2.2654819421359519E-3</v>
          </cell>
          <cell r="G679">
            <v>6.1125802705281548E-3</v>
          </cell>
          <cell r="H679">
            <v>5.0729558988942105E-3</v>
          </cell>
          <cell r="I679">
            <v>5.0845617119801385E-3</v>
          </cell>
          <cell r="J679">
            <v>3.3594470079976475E-3</v>
          </cell>
          <cell r="M679">
            <v>1.8081013588848753E-3</v>
          </cell>
          <cell r="N679">
            <v>2.9329165676992095E-3</v>
          </cell>
          <cell r="O679">
            <v>2.0458517212638412E-3</v>
          </cell>
          <cell r="P679">
            <v>5.0080237360143965E-3</v>
          </cell>
        </row>
        <row r="680">
          <cell r="B680" t="str">
            <v>RHNS-CHPNGA</v>
          </cell>
          <cell r="C680" t="str">
            <v>VAR_ncap</v>
          </cell>
          <cell r="D680" t="str">
            <v>-</v>
          </cell>
          <cell r="F680">
            <v>1.10501976089507E-4</v>
          </cell>
          <cell r="M680">
            <v>4.6047867839865598E-5</v>
          </cell>
          <cell r="N680">
            <v>2.4744883348348901E-5</v>
          </cell>
          <cell r="O680">
            <v>1.45894407103445E-7</v>
          </cell>
          <cell r="P680">
            <v>6.6898102969234602E-5</v>
          </cell>
        </row>
        <row r="681">
          <cell r="B681" t="str">
            <v>RHNS-CHPNGA</v>
          </cell>
          <cell r="C681" t="str">
            <v>VAR_cap</v>
          </cell>
          <cell r="D681" t="str">
            <v>-</v>
          </cell>
          <cell r="F681">
            <v>1.10501976089507E-4</v>
          </cell>
          <cell r="G681">
            <v>1.10501976089507E-4</v>
          </cell>
          <cell r="H681">
            <v>1.10501976089507E-4</v>
          </cell>
          <cell r="I681">
            <v>1.1049070771819909E-4</v>
          </cell>
          <cell r="J681">
            <v>6.7916671059972501E-5</v>
          </cell>
          <cell r="M681">
            <v>4.6047867839865598E-5</v>
          </cell>
          <cell r="N681">
            <v>7.0776995198834069E-5</v>
          </cell>
          <cell r="O681">
            <v>7.0879014794731355E-5</v>
          </cell>
          <cell r="P681">
            <v>1.3766372816647105E-4</v>
          </cell>
        </row>
        <row r="682">
          <cell r="B682" t="str">
            <v>ENUC_BEZ</v>
          </cell>
          <cell r="C682" t="str">
            <v>VAR_fout</v>
          </cell>
          <cell r="D682" t="str">
            <v>ELC</v>
          </cell>
          <cell r="E682">
            <v>20.224800381999106</v>
          </cell>
          <cell r="F682">
            <v>20.224792249975195</v>
          </cell>
          <cell r="G682">
            <v>12.613927343051854</v>
          </cell>
          <cell r="H682">
            <v>10.929624319470451</v>
          </cell>
        </row>
        <row r="683">
          <cell r="B683" t="str">
            <v>ENUC_BEZ</v>
          </cell>
          <cell r="C683" t="str">
            <v>VAR_fin</v>
          </cell>
          <cell r="D683" t="str">
            <v>URN</v>
          </cell>
          <cell r="E683">
            <v>60.972096176722381</v>
          </cell>
          <cell r="F683">
            <v>60.972071660952963</v>
          </cell>
          <cell r="G683">
            <v>38.027450288768968</v>
          </cell>
          <cell r="H683">
            <v>32.949749445998073</v>
          </cell>
        </row>
        <row r="684">
          <cell r="B684" t="str">
            <v>ENUC_BEZ</v>
          </cell>
          <cell r="C684" t="str">
            <v>VAR_cap</v>
          </cell>
          <cell r="D684" t="str">
            <v>-</v>
          </cell>
          <cell r="E684">
            <v>0.73</v>
          </cell>
          <cell r="F684">
            <v>0.72999977607356537</v>
          </cell>
          <cell r="G684">
            <v>0.47141014021293198</v>
          </cell>
          <cell r="H684">
            <v>0.39449725044766604</v>
          </cell>
        </row>
        <row r="685">
          <cell r="B685" t="str">
            <v>ENUC_AMR_BMGL_VI</v>
          </cell>
          <cell r="C685" t="str">
            <v>VAR_fout</v>
          </cell>
          <cell r="D685" t="str">
            <v>HTH</v>
          </cell>
          <cell r="O685">
            <v>1.7433325465904731E-2</v>
          </cell>
          <cell r="P685">
            <v>1.8008347446085163E-2</v>
          </cell>
        </row>
        <row r="686">
          <cell r="B686" t="str">
            <v>ENUC_AMR_BMGL_VI</v>
          </cell>
          <cell r="C686" t="str">
            <v>VAR_fout</v>
          </cell>
          <cell r="D686" t="str">
            <v>ELC</v>
          </cell>
          <cell r="O686">
            <v>4.8848471625701467E-2</v>
          </cell>
          <cell r="P686">
            <v>6.2326528384186675E-2</v>
          </cell>
        </row>
        <row r="687">
          <cell r="B687" t="str">
            <v>ENUC_AMR_BMGL_VI</v>
          </cell>
          <cell r="C687" t="str">
            <v>VAR_fin</v>
          </cell>
          <cell r="D687" t="str">
            <v>URN</v>
          </cell>
          <cell r="O687">
            <v>0.12707571613136345</v>
          </cell>
          <cell r="P687">
            <v>0.15763305451885973</v>
          </cell>
        </row>
        <row r="688">
          <cell r="B688" t="str">
            <v>ENUC_AMR_BMGL_VI</v>
          </cell>
          <cell r="C688" t="str">
            <v>VAR_ncap</v>
          </cell>
          <cell r="D688" t="str">
            <v>-</v>
          </cell>
          <cell r="N688">
            <v>1.80029041458354E-3</v>
          </cell>
          <cell r="O688">
            <v>8.0795748080940497E-4</v>
          </cell>
        </row>
        <row r="689">
          <cell r="B689" t="str">
            <v>ENUC_AMR_BMGL_VI</v>
          </cell>
          <cell r="C689" t="str">
            <v>VAR_cap</v>
          </cell>
          <cell r="D689" t="str">
            <v>-</v>
          </cell>
          <cell r="O689">
            <v>2.0564239972161598E-3</v>
          </cell>
          <cell r="P689">
            <v>2.6082478953929501E-3</v>
          </cell>
        </row>
        <row r="690">
          <cell r="B690" t="str">
            <v>RHNM-CHPWOD</v>
          </cell>
          <cell r="C690" t="str">
            <v>VAR_fout</v>
          </cell>
          <cell r="D690" t="str">
            <v>RHNM_LTH_CHPWOD</v>
          </cell>
          <cell r="H690">
            <v>1.0645572801657075E-3</v>
          </cell>
          <cell r="I690">
            <v>1.7753361415827984E-3</v>
          </cell>
          <cell r="J690">
            <v>6.2463365121047465E-3</v>
          </cell>
          <cell r="K690">
            <v>7.6120125136603352E-3</v>
          </cell>
          <cell r="L690">
            <v>3.4221156170451059E-3</v>
          </cell>
          <cell r="M690">
            <v>3.8569409652167417E-3</v>
          </cell>
          <cell r="N690">
            <v>7.4396514578257021E-3</v>
          </cell>
          <cell r="O690">
            <v>3.4201212510319139E-3</v>
          </cell>
          <cell r="P690">
            <v>5.0548997590084003E-3</v>
          </cell>
        </row>
        <row r="691">
          <cell r="B691" t="str">
            <v>RHNM-CHPWOD</v>
          </cell>
          <cell r="C691" t="str">
            <v>VAR_fout</v>
          </cell>
          <cell r="D691" t="str">
            <v>RHNM_KEV_WOD_ELC_CHP</v>
          </cell>
          <cell r="H691">
            <v>4.0019468124747828E-4</v>
          </cell>
          <cell r="I691">
            <v>6.6739488285427349E-4</v>
          </cell>
          <cell r="J691">
            <v>2.3481598369578939E-3</v>
          </cell>
          <cell r="K691">
            <v>2.8615528523574926E-3</v>
          </cell>
          <cell r="L691">
            <v>1.2864619819632523E-3</v>
          </cell>
          <cell r="M691">
            <v>1.4499241035907373E-3</v>
          </cell>
          <cell r="N691">
            <v>2.7967578628492872E-3</v>
          </cell>
          <cell r="O691">
            <v>1.2857122480731062E-3</v>
          </cell>
          <cell r="P691">
            <v>1.900267872367971E-3</v>
          </cell>
        </row>
        <row r="692">
          <cell r="B692" t="str">
            <v>RHNM-CHPWOD</v>
          </cell>
          <cell r="C692" t="str">
            <v>VAR_fin</v>
          </cell>
          <cell r="D692" t="str">
            <v>RWOD</v>
          </cell>
          <cell r="H692">
            <v>1.9631022555292618E-3</v>
          </cell>
          <cell r="I692">
            <v>3.1452626188500665E-3</v>
          </cell>
          <cell r="J692">
            <v>9.262971858471445E-3</v>
          </cell>
          <cell r="K692">
            <v>1.0548613591230719E-2</v>
          </cell>
          <cell r="L692">
            <v>4.7724793195588157E-3</v>
          </cell>
          <cell r="M692">
            <v>5.2983572556589151E-3</v>
          </cell>
          <cell r="N692">
            <v>1.0841533928365905E-2</v>
          </cell>
          <cell r="O692">
            <v>4.8558340495268989E-3</v>
          </cell>
          <cell r="P692">
            <v>8.2311396457386658E-3</v>
          </cell>
        </row>
        <row r="693">
          <cell r="B693" t="str">
            <v>RHNM-CHPWOD</v>
          </cell>
          <cell r="C693" t="str">
            <v>VAR_ncap</v>
          </cell>
          <cell r="D693" t="str">
            <v>-</v>
          </cell>
          <cell r="H693">
            <v>3.1605039908716299E-5</v>
          </cell>
          <cell r="I693">
            <v>4.60912032646705E-5</v>
          </cell>
          <cell r="J693">
            <v>1.02873701665768E-4</v>
          </cell>
          <cell r="K693">
            <v>6.3655437201041903E-5</v>
          </cell>
          <cell r="L693">
            <v>4.99048969485798E-6</v>
          </cell>
          <cell r="M693">
            <v>4.5174426445795199E-5</v>
          </cell>
          <cell r="N693">
            <v>1.5958791795420201E-4</v>
          </cell>
          <cell r="O693">
            <v>4.4850493927256101E-7</v>
          </cell>
          <cell r="P693">
            <v>2.89157494806566E-5</v>
          </cell>
        </row>
        <row r="694">
          <cell r="B694" t="str">
            <v>RHNM-CHPWOD</v>
          </cell>
          <cell r="C694" t="str">
            <v>VAR_cap</v>
          </cell>
          <cell r="D694" t="str">
            <v>-</v>
          </cell>
          <cell r="H694">
            <v>3.1605039908716299E-5</v>
          </cell>
          <cell r="I694">
            <v>7.7647554541752467E-5</v>
          </cell>
          <cell r="J694">
            <v>1.7439701205174032E-4</v>
          </cell>
          <cell r="K694">
            <v>2.1253435387317085E-4</v>
          </cell>
          <cell r="L694">
            <v>1.570444671606678E-4</v>
          </cell>
          <cell r="M694">
            <v>1.1861455669392089E-4</v>
          </cell>
          <cell r="N694">
            <v>2.096192921124139E-4</v>
          </cell>
          <cell r="O694">
            <v>1.6183687570748867E-4</v>
          </cell>
          <cell r="P694">
            <v>1.8860268726507106E-4</v>
          </cell>
        </row>
        <row r="695">
          <cell r="B695" t="str">
            <v>RHNM-SHSTG-CHPNGA</v>
          </cell>
          <cell r="C695" t="str">
            <v>VAR_fout</v>
          </cell>
          <cell r="D695" t="str">
            <v>AUX_RNM-CHPNGA_OUT</v>
          </cell>
          <cell r="E695">
            <v>5.5874543428912195E-5</v>
          </cell>
          <cell r="F695">
            <v>6.0850781662593561E-5</v>
          </cell>
          <cell r="G695">
            <v>2.116559564350163E-3</v>
          </cell>
          <cell r="H695">
            <v>3.2073632513425774E-3</v>
          </cell>
          <cell r="I695">
            <v>2.970453118706886E-3</v>
          </cell>
          <cell r="J695">
            <v>5.1084963546003089E-3</v>
          </cell>
          <cell r="K695">
            <v>1.0696570408212197E-4</v>
          </cell>
          <cell r="L695">
            <v>1.5560279535339685E-4</v>
          </cell>
          <cell r="M695">
            <v>1.5690072751419646E-3</v>
          </cell>
          <cell r="N695">
            <v>2.6296165300007958E-3</v>
          </cell>
          <cell r="O695">
            <v>2.6975464347607325E-3</v>
          </cell>
          <cell r="P695">
            <v>6.7585662074072603E-3</v>
          </cell>
        </row>
        <row r="696">
          <cell r="B696" t="str">
            <v>RHNM-SHSTG-CHPNGA</v>
          </cell>
          <cell r="C696" t="str">
            <v>VAR_fout</v>
          </cell>
          <cell r="D696" t="str">
            <v>RHNM_LTH_CHPNGA</v>
          </cell>
          <cell r="E696">
            <v>5.5874543428912046E-5</v>
          </cell>
          <cell r="F696">
            <v>6.0891348850368511E-5</v>
          </cell>
          <cell r="G696">
            <v>2.1187643138963572E-3</v>
          </cell>
          <cell r="H696">
            <v>3.2073632513425774E-3</v>
          </cell>
          <cell r="I696">
            <v>2.9731833145880452E-3</v>
          </cell>
          <cell r="J696">
            <v>5.1084963546002881E-3</v>
          </cell>
          <cell r="K696">
            <v>1.070530943632345E-4</v>
          </cell>
          <cell r="L696">
            <v>1.5560279535339671E-4</v>
          </cell>
          <cell r="M696">
            <v>1.5690072751419629E-3</v>
          </cell>
          <cell r="N696">
            <v>2.6296165300007928E-3</v>
          </cell>
          <cell r="O696">
            <v>2.6975464347607299E-3</v>
          </cell>
          <cell r="P696">
            <v>6.7585662074072525E-3</v>
          </cell>
        </row>
        <row r="697">
          <cell r="B697" t="str">
            <v>RHNM-SHSTG-CHPNGA</v>
          </cell>
          <cell r="C697" t="str">
            <v>VAR_fin</v>
          </cell>
          <cell r="D697" t="str">
            <v>AUX_RNM-CHPNGA_IN</v>
          </cell>
          <cell r="E697">
            <v>4.4346816816605997E-5</v>
          </cell>
          <cell r="F697">
            <v>8.0231435799399482E-5</v>
          </cell>
          <cell r="G697">
            <v>2.7340934270472573E-3</v>
          </cell>
          <cell r="H697">
            <v>4.0092021199271194E-3</v>
          </cell>
          <cell r="I697">
            <v>3.6041028544913072E-3</v>
          </cell>
          <cell r="J697">
            <v>6.010276075053108E-3</v>
          </cell>
          <cell r="K697">
            <v>8.8932842499664605E-5</v>
          </cell>
          <cell r="L697">
            <v>1.3263201876073769E-4</v>
          </cell>
          <cell r="M697">
            <v>1.7436227885006389E-3</v>
          </cell>
          <cell r="N697">
            <v>2.9229347182142965E-3</v>
          </cell>
          <cell r="O697">
            <v>2.9975717332062965E-3</v>
          </cell>
          <cell r="P697">
            <v>7.5107769918078869E-3</v>
          </cell>
        </row>
        <row r="698">
          <cell r="B698" t="str">
            <v>RHNM-SHSTG-CHPNGA</v>
          </cell>
          <cell r="C698" t="str">
            <v>VAR_fin</v>
          </cell>
          <cell r="D698" t="str">
            <v>RHNM_LTH_CHPNGA</v>
          </cell>
          <cell r="E698">
            <v>4.4346816816605997E-5</v>
          </cell>
          <cell r="F698">
            <v>8.0231435799399482E-5</v>
          </cell>
          <cell r="G698">
            <v>2.7340934270472573E-3</v>
          </cell>
          <cell r="H698">
            <v>4.0092021199271194E-3</v>
          </cell>
          <cell r="I698">
            <v>3.6041028544913072E-3</v>
          </cell>
          <cell r="J698">
            <v>6.010276075053108E-3</v>
          </cell>
          <cell r="K698">
            <v>8.8932842499664605E-5</v>
          </cell>
          <cell r="L698">
            <v>1.3263201876073769E-4</v>
          </cell>
          <cell r="M698">
            <v>1.7436227885006389E-3</v>
          </cell>
          <cell r="N698">
            <v>2.9229347182142965E-3</v>
          </cell>
          <cell r="O698">
            <v>2.9975717332062965E-3</v>
          </cell>
          <cell r="P698">
            <v>7.5107769918078869E-3</v>
          </cell>
        </row>
        <row r="699">
          <cell r="B699" t="str">
            <v>RHNM-SHSTG-CHPNGA</v>
          </cell>
          <cell r="C699" t="str">
            <v>VAR_ncap</v>
          </cell>
          <cell r="D699" t="str">
            <v>-</v>
          </cell>
          <cell r="E699">
            <v>1.97201311018806E-3</v>
          </cell>
          <cell r="F699">
            <v>5.62116165453154E-5</v>
          </cell>
          <cell r="G699">
            <v>5.0984749310442299E-5</v>
          </cell>
          <cell r="H699">
            <v>3.0980042570819501E-5</v>
          </cell>
          <cell r="I699">
            <v>1.64655922998222E-3</v>
          </cell>
          <cell r="J699">
            <v>1.4219512119478E-4</v>
          </cell>
          <cell r="K699">
            <v>3.5376978676225897E-5</v>
          </cell>
          <cell r="L699">
            <v>2.1915283356184899E-3</v>
          </cell>
          <cell r="M699">
            <v>1.9684012730358501E-4</v>
          </cell>
          <cell r="N699">
            <v>2.2682042878335602E-3</v>
          </cell>
          <cell r="O699">
            <v>7.7941584389071001E-4</v>
          </cell>
          <cell r="P699">
            <v>4.7799392937201996E-3</v>
          </cell>
        </row>
        <row r="700">
          <cell r="B700" t="str">
            <v>RHNM-SHSTG-CHPNGA</v>
          </cell>
          <cell r="C700" t="str">
            <v>VAR_cap</v>
          </cell>
          <cell r="D700" t="str">
            <v>-</v>
          </cell>
          <cell r="E700">
            <v>1.97201311018806E-3</v>
          </cell>
          <cell r="F700">
            <v>2.025182866083742E-3</v>
          </cell>
          <cell r="G700">
            <v>2.0662088322610404E-3</v>
          </cell>
          <cell r="H700">
            <v>2.070662721323121E-3</v>
          </cell>
          <cell r="I700">
            <v>2.2242774211982345E-3</v>
          </cell>
          <cell r="J700">
            <v>1.8045450319259366E-3</v>
          </cell>
          <cell r="K700">
            <v>1.7859073017764883E-3</v>
          </cell>
          <cell r="L700">
            <v>2.3386071679156344E-3</v>
          </cell>
          <cell r="M700">
            <v>2.4092142286336058E-3</v>
          </cell>
          <cell r="N700">
            <v>4.6193078955351959E-3</v>
          </cell>
          <cell r="O700">
            <v>3.5147312035976085E-3</v>
          </cell>
          <cell r="P700">
            <v>7.7936797058410553E-3</v>
          </cell>
        </row>
        <row r="701">
          <cell r="B701" t="str">
            <v>CT_CWODBDS</v>
          </cell>
          <cell r="C701" t="str">
            <v>VAR_fout</v>
          </cell>
          <cell r="D701" t="str">
            <v>BDS</v>
          </cell>
          <cell r="E701">
            <v>0.73065900851462517</v>
          </cell>
          <cell r="F701">
            <v>0.6372593897881712</v>
          </cell>
          <cell r="G701">
            <v>0.47838955303427022</v>
          </cell>
          <cell r="H701">
            <v>1.7457827820223056E-4</v>
          </cell>
          <cell r="I701">
            <v>3.5814279291313715E-4</v>
          </cell>
          <cell r="J701">
            <v>2.0863707227833204E-4</v>
          </cell>
          <cell r="K701">
            <v>1.0174426652314434E-4</v>
          </cell>
          <cell r="L701">
            <v>5.8509835280570593E-5</v>
          </cell>
          <cell r="M701">
            <v>4.9934350072052869E-5</v>
          </cell>
          <cell r="N701">
            <v>8.5405454735156894E-4</v>
          </cell>
          <cell r="O701">
            <v>7.4607300442019447E-5</v>
          </cell>
          <cell r="P701">
            <v>3.211421631545945E-4</v>
          </cell>
        </row>
        <row r="702">
          <cell r="B702" t="str">
            <v>CT_CWODBDS</v>
          </cell>
          <cell r="C702" t="str">
            <v>VAR_fout</v>
          </cell>
          <cell r="D702" t="str">
            <v>LTH</v>
          </cell>
          <cell r="E702">
            <v>0.28495701332070361</v>
          </cell>
          <cell r="F702">
            <v>0.24853116201738595</v>
          </cell>
          <cell r="G702">
            <v>0.18657192568336531</v>
          </cell>
          <cell r="H702">
            <v>6.808552849886988E-5</v>
          </cell>
          <cell r="I702">
            <v>1.3967568923612333E-4</v>
          </cell>
          <cell r="J702">
            <v>8.1368458188549436E-5</v>
          </cell>
          <cell r="K702">
            <v>3.9680263944026296E-5</v>
          </cell>
          <cell r="L702">
            <v>2.2818835759422512E-5</v>
          </cell>
          <cell r="M702">
            <v>1.9474396528100591E-5</v>
          </cell>
          <cell r="N702">
            <v>3.3308127346711114E-4</v>
          </cell>
          <cell r="O702">
            <v>2.9096847172387577E-5</v>
          </cell>
          <cell r="P702">
            <v>1.2524544363029164E-4</v>
          </cell>
        </row>
        <row r="703">
          <cell r="B703" t="str">
            <v>CT_CWODBDS</v>
          </cell>
          <cell r="C703" t="str">
            <v>VAR_fin</v>
          </cell>
          <cell r="D703" t="str">
            <v>CWOD</v>
          </cell>
          <cell r="E703">
            <v>2.0820128447624224</v>
          </cell>
          <cell r="F703">
            <v>1.8158706312013921</v>
          </cell>
          <cell r="G703">
            <v>1.363171031371154</v>
          </cell>
          <cell r="H703">
            <v>4.9746080373725581E-4</v>
          </cell>
          <cell r="I703">
            <v>1.0205278884059834E-3</v>
          </cell>
          <cell r="J703">
            <v>5.9451133745710679E-4</v>
          </cell>
          <cell r="K703">
            <v>2.8992028745769978E-4</v>
          </cell>
          <cell r="L703">
            <v>1.6672377563198572E-4</v>
          </cell>
          <cell r="M703">
            <v>1.422879305303147E-4</v>
          </cell>
          <cell r="N703">
            <v>2.4336284326782922E-3</v>
          </cell>
          <cell r="O703">
            <v>2.1259350260953441E-4</v>
          </cell>
          <cell r="P703">
            <v>9.1509459390901613E-4</v>
          </cell>
        </row>
        <row r="704">
          <cell r="B704" t="str">
            <v>CT_CWODBDS</v>
          </cell>
          <cell r="C704" t="str">
            <v>VAR_fin</v>
          </cell>
          <cell r="D704" t="str">
            <v>CELC</v>
          </cell>
          <cell r="E704">
            <v>5.0780801091766428E-2</v>
          </cell>
          <cell r="F704">
            <v>4.4289527590277843E-2</v>
          </cell>
          <cell r="G704">
            <v>3.3248073935881806E-2</v>
          </cell>
          <cell r="H704">
            <v>1.213319033505503E-5</v>
          </cell>
          <cell r="I704">
            <v>2.4890924107463027E-5</v>
          </cell>
          <cell r="J704">
            <v>1.4500276523344069E-5</v>
          </cell>
          <cell r="K704">
            <v>7.0712265233585329E-6</v>
          </cell>
          <cell r="L704">
            <v>4.0664335519996573E-6</v>
          </cell>
          <cell r="M704">
            <v>3.4704373300076749E-6</v>
          </cell>
          <cell r="N704">
            <v>5.9356791040934029E-5</v>
          </cell>
          <cell r="O704">
            <v>5.1852073807203558E-6</v>
          </cell>
          <cell r="P704">
            <v>2.2319380339244295E-5</v>
          </cell>
        </row>
        <row r="705">
          <cell r="B705" t="str">
            <v>CT_CWODBDS</v>
          </cell>
          <cell r="C705" t="str">
            <v>VAR_ncap</v>
          </cell>
          <cell r="D705" t="str">
            <v>-</v>
          </cell>
          <cell r="E705">
            <v>1.45075395475384E-7</v>
          </cell>
          <cell r="F705">
            <v>9.5530545674104396E-8</v>
          </cell>
          <cell r="G705">
            <v>8.75900726836798E-8</v>
          </cell>
          <cell r="H705">
            <v>1.34270394295126E-7</v>
          </cell>
          <cell r="I705">
            <v>2.0098359409810601E-5</v>
          </cell>
          <cell r="J705">
            <v>1.56144366741014E-6</v>
          </cell>
          <cell r="K705">
            <v>1.9435719717709401E-6</v>
          </cell>
          <cell r="L705">
            <v>1.45952124316308E-5</v>
          </cell>
          <cell r="M705">
            <v>2.6312235650535602E-6</v>
          </cell>
          <cell r="N705">
            <v>4.56308801521234E-5</v>
          </cell>
          <cell r="O705">
            <v>3.44503293615063E-7</v>
          </cell>
          <cell r="P705">
            <v>4.3042222922071501E-5</v>
          </cell>
        </row>
        <row r="706">
          <cell r="B706" t="str">
            <v>CT_CWODBDS</v>
          </cell>
          <cell r="C706" t="str">
            <v>VAR_cap</v>
          </cell>
          <cell r="D706" t="str">
            <v>-</v>
          </cell>
          <cell r="E706">
            <v>3.7889999489824973E-2</v>
          </cell>
          <cell r="F706">
            <v>3.3045380253522452E-2</v>
          </cell>
          <cell r="G706">
            <v>2.4807320632168027E-2</v>
          </cell>
          <cell r="H706">
            <v>3.4688151198725148E-5</v>
          </cell>
          <cell r="I706">
            <v>2.8949067987338317E-5</v>
          </cell>
          <cell r="J706">
            <v>2.1666508809229567E-5</v>
          </cell>
          <cell r="K706">
            <v>2.3369733257901567E-5</v>
          </cell>
          <cell r="L706">
            <v>3.7541396858926823E-5</v>
          </cell>
          <cell r="M706">
            <v>2.5623692070483649E-5</v>
          </cell>
          <cell r="N706">
            <v>6.409301230231246E-5</v>
          </cell>
          <cell r="O706">
            <v>6.119980548022864E-5</v>
          </cell>
          <cell r="P706">
            <v>9.0376431529072096E-5</v>
          </cell>
        </row>
        <row r="707">
          <cell r="B707" t="str">
            <v>RHNS-EBAT</v>
          </cell>
          <cell r="C707" t="str">
            <v>VAR_fout</v>
          </cell>
          <cell r="D707" t="str">
            <v>RHNS_ELC</v>
          </cell>
          <cell r="E707">
            <v>7.6381820464815377E-4</v>
          </cell>
          <cell r="F707">
            <v>7.6346577807950887E-4</v>
          </cell>
          <cell r="G707">
            <v>7.6614044736462278E-4</v>
          </cell>
          <cell r="H707">
            <v>2.4898490755028629E-2</v>
          </cell>
          <cell r="I707">
            <v>3.9600146337442986E-2</v>
          </cell>
          <cell r="J707">
            <v>3.2977907399879901E-2</v>
          </cell>
          <cell r="K707">
            <v>4.4364629404567799E-2</v>
          </cell>
          <cell r="L707">
            <v>5.6150267115264892E-2</v>
          </cell>
          <cell r="M707">
            <v>4.7689287985478945E-2</v>
          </cell>
          <cell r="N707">
            <v>7.2649124374631266E-2</v>
          </cell>
          <cell r="O707">
            <v>6.5584519401981137E-2</v>
          </cell>
          <cell r="P707">
            <v>8.4621505860054069E-2</v>
          </cell>
        </row>
        <row r="708">
          <cell r="B708" t="str">
            <v>RHNS-EBAT</v>
          </cell>
          <cell r="C708" t="str">
            <v>VAR_fout</v>
          </cell>
          <cell r="D708" t="str">
            <v>AUX_RHNS-EBAT_OUT</v>
          </cell>
          <cell r="E708">
            <v>7.6381820464815431E-4</v>
          </cell>
          <cell r="F708">
            <v>7.6346577807950931E-4</v>
          </cell>
          <cell r="G708">
            <v>7.6614044736462365E-4</v>
          </cell>
          <cell r="H708">
            <v>2.489849075502865E-2</v>
          </cell>
          <cell r="I708">
            <v>3.9600146337443014E-2</v>
          </cell>
          <cell r="J708">
            <v>3.2977907399879956E-2</v>
          </cell>
          <cell r="K708">
            <v>4.4364629404567847E-2</v>
          </cell>
          <cell r="L708">
            <v>5.6150267115264961E-2</v>
          </cell>
          <cell r="M708">
            <v>4.7689287985478987E-2</v>
          </cell>
          <cell r="N708">
            <v>7.2649124374631363E-2</v>
          </cell>
          <cell r="O708">
            <v>6.5584519401981192E-2</v>
          </cell>
          <cell r="P708">
            <v>8.4621505860054194E-2</v>
          </cell>
        </row>
        <row r="709">
          <cell r="B709" t="str">
            <v>RHNS-EBAT</v>
          </cell>
          <cell r="C709" t="str">
            <v>VAR_fin</v>
          </cell>
          <cell r="D709" t="str">
            <v>RHNS_ELC</v>
          </cell>
          <cell r="E709">
            <v>8.4488905621858603E-4</v>
          </cell>
          <cell r="F709">
            <v>8.4455330418434541E-4</v>
          </cell>
          <cell r="G709">
            <v>8.4740307565670349E-4</v>
          </cell>
          <cell r="H709">
            <v>2.7534482066323702E-2</v>
          </cell>
          <cell r="I709">
            <v>4.3792525129986146E-2</v>
          </cell>
          <cell r="J709">
            <v>3.6469143447563572E-2</v>
          </cell>
          <cell r="K709">
            <v>4.9061347890491755E-2</v>
          </cell>
          <cell r="L709">
            <v>6.2094933825500041E-2</v>
          </cell>
          <cell r="M709">
            <v>5.2738057609842591E-2</v>
          </cell>
          <cell r="N709">
            <v>8.0340580837971978E-2</v>
          </cell>
          <cell r="O709">
            <v>7.2527868515687613E-2</v>
          </cell>
          <cell r="P709">
            <v>9.3580439520382572E-2</v>
          </cell>
        </row>
        <row r="710">
          <cell r="B710" t="str">
            <v>RHNS-EBAT</v>
          </cell>
          <cell r="C710" t="str">
            <v>VAR_fin</v>
          </cell>
          <cell r="D710" t="str">
            <v>AUX_RHNS-EBAT_IN</v>
          </cell>
          <cell r="E710">
            <v>8.4488905621858603E-4</v>
          </cell>
          <cell r="F710">
            <v>8.4455330418434541E-4</v>
          </cell>
          <cell r="G710">
            <v>8.4740307565670349E-4</v>
          </cell>
          <cell r="H710">
            <v>2.7534482066323702E-2</v>
          </cell>
          <cell r="I710">
            <v>4.3792525129986146E-2</v>
          </cell>
          <cell r="J710">
            <v>3.6469143447563572E-2</v>
          </cell>
          <cell r="K710">
            <v>4.9061347890491755E-2</v>
          </cell>
          <cell r="L710">
            <v>6.2094933825500041E-2</v>
          </cell>
          <cell r="M710">
            <v>5.2738057609842591E-2</v>
          </cell>
          <cell r="N710">
            <v>8.0340580837971978E-2</v>
          </cell>
          <cell r="O710">
            <v>7.2527868515687613E-2</v>
          </cell>
          <cell r="P710">
            <v>9.3580439520382572E-2</v>
          </cell>
        </row>
        <row r="711">
          <cell r="B711" t="str">
            <v>RHNS-EBAT</v>
          </cell>
          <cell r="C711" t="str">
            <v>VAR_ncap</v>
          </cell>
          <cell r="D711" t="str">
            <v>-</v>
          </cell>
          <cell r="E711">
            <v>3.1007310377132401E-4</v>
          </cell>
          <cell r="F711">
            <v>4.9159931334961203E-7</v>
          </cell>
          <cell r="G711">
            <v>1.4032029845519E-6</v>
          </cell>
          <cell r="H711">
            <v>1.7596698224504E-2</v>
          </cell>
          <cell r="I711">
            <v>6.4185195384423301E-4</v>
          </cell>
          <cell r="J711">
            <v>1.13260117092975E-2</v>
          </cell>
          <cell r="K711">
            <v>9.7768734250367299E-3</v>
          </cell>
          <cell r="L711">
            <v>9.3829273781960293E-3</v>
          </cell>
          <cell r="M711">
            <v>5.7599194681612299E-3</v>
          </cell>
          <cell r="N711">
            <v>1.91930983049944E-2</v>
          </cell>
          <cell r="O711">
            <v>6.6528502090526798E-3</v>
          </cell>
          <cell r="P711">
            <v>1.5060953621251301E-2</v>
          </cell>
        </row>
        <row r="712">
          <cell r="B712" t="str">
            <v>RHNS-EBAT</v>
          </cell>
          <cell r="C712" t="str">
            <v>VAR_cap</v>
          </cell>
          <cell r="D712" t="str">
            <v>-</v>
          </cell>
          <cell r="E712">
            <v>3.1279639559662914E-4</v>
          </cell>
          <cell r="F712">
            <v>3.1314023812458196E-4</v>
          </cell>
          <cell r="G712">
            <v>3.1423442445614101E-4</v>
          </cell>
          <cell r="H712">
            <v>1.7824947390713063E-2</v>
          </cell>
          <cell r="I712">
            <v>1.8239007622938605E-2</v>
          </cell>
          <cell r="J712">
            <v>1.5662822869817263E-2</v>
          </cell>
          <cell r="K712">
            <v>2.1435376756540527E-2</v>
          </cell>
          <cell r="L712">
            <v>2.3028081712569936E-2</v>
          </cell>
          <cell r="M712">
            <v>1.9540167669100324E-2</v>
          </cell>
          <cell r="N712">
            <v>2.9759532537745149E-2</v>
          </cell>
          <cell r="O712">
            <v>2.6865544913899111E-2</v>
          </cell>
          <cell r="P712">
            <v>3.4665372478639121E-2</v>
          </cell>
        </row>
        <row r="713">
          <cell r="B713" t="str">
            <v>G-INTC-EXP00-AT</v>
          </cell>
          <cell r="C713" t="str">
            <v>VAR_fout</v>
          </cell>
          <cell r="D713" t="str">
            <v>ELC_E-AT</v>
          </cell>
          <cell r="E713">
            <v>6.2295561852677572</v>
          </cell>
          <cell r="F713">
            <v>5.1680798113074586E-4</v>
          </cell>
          <cell r="G713">
            <v>6.6061671306732691E-4</v>
          </cell>
          <cell r="H713">
            <v>1.6475798015434611E-4</v>
          </cell>
          <cell r="I713">
            <v>2.4052570758595297E-4</v>
          </cell>
          <cell r="J713">
            <v>2.1499219052170535E-4</v>
          </cell>
          <cell r="K713">
            <v>1.6942554318527658E-4</v>
          </cell>
          <cell r="L713">
            <v>1.5336443891983824E-4</v>
          </cell>
          <cell r="M713">
            <v>8.8925420043909316E-5</v>
          </cell>
          <cell r="N713">
            <v>1.123932610713685E-4</v>
          </cell>
          <cell r="O713">
            <v>1.0602078086032926E-4</v>
          </cell>
          <cell r="P713">
            <v>1.7964122028944673E-4</v>
          </cell>
        </row>
        <row r="714">
          <cell r="B714" t="str">
            <v>G-INTC-EXP00-AT</v>
          </cell>
          <cell r="C714" t="str">
            <v>VAR_fin</v>
          </cell>
          <cell r="D714" t="str">
            <v>ELC</v>
          </cell>
          <cell r="E714">
            <v>6.2295561852677572</v>
          </cell>
          <cell r="F714">
            <v>5.1680798113074586E-4</v>
          </cell>
          <cell r="G714">
            <v>6.6061671306732691E-4</v>
          </cell>
          <cell r="H714">
            <v>1.6475798015434611E-4</v>
          </cell>
          <cell r="I714">
            <v>2.4052570758595297E-4</v>
          </cell>
          <cell r="J714">
            <v>2.1499219052170535E-4</v>
          </cell>
          <cell r="K714">
            <v>1.6942554318527658E-4</v>
          </cell>
          <cell r="L714">
            <v>1.5336443891983824E-4</v>
          </cell>
          <cell r="M714">
            <v>8.8925420043909316E-5</v>
          </cell>
          <cell r="N714">
            <v>1.123932610713685E-4</v>
          </cell>
          <cell r="O714">
            <v>1.0602078086032926E-4</v>
          </cell>
          <cell r="P714">
            <v>1.7964122028944673E-4</v>
          </cell>
        </row>
        <row r="715">
          <cell r="B715" t="str">
            <v>G-INTC-EXP00-AT</v>
          </cell>
          <cell r="C715" t="str">
            <v>VAR_ncap</v>
          </cell>
          <cell r="D715" t="str">
            <v>-</v>
          </cell>
          <cell r="E715">
            <v>5.6682675488753603E-7</v>
          </cell>
          <cell r="F715">
            <v>5.6999316025010999E-7</v>
          </cell>
          <cell r="G715">
            <v>7.9768345502770202E-7</v>
          </cell>
          <cell r="H715">
            <v>9.1624816424661399E-7</v>
          </cell>
          <cell r="I715">
            <v>1.0785206346458499E-6</v>
          </cell>
          <cell r="J715">
            <v>1.3845511156055901E-6</v>
          </cell>
          <cell r="K715">
            <v>1.3107907462027E-6</v>
          </cell>
          <cell r="L715">
            <v>3.2404115182671199E-6</v>
          </cell>
          <cell r="M715">
            <v>3.5123212819395499E-6</v>
          </cell>
          <cell r="N715">
            <v>2.2319254313101601E-4</v>
          </cell>
        </row>
        <row r="716">
          <cell r="B716" t="str">
            <v>G-INTC-EXP00-AT</v>
          </cell>
          <cell r="C716" t="str">
            <v>VAR_cap</v>
          </cell>
          <cell r="D716" t="str">
            <v>-</v>
          </cell>
          <cell r="E716">
            <v>0.23245411593199694</v>
          </cell>
          <cell r="F716">
            <v>3.9297611278987787E-4</v>
          </cell>
          <cell r="G716">
            <v>3.9153459633989307E-4</v>
          </cell>
          <cell r="H716">
            <v>3.9080821309700475E-4</v>
          </cell>
          <cell r="I716">
            <v>3.9026900177674406E-4</v>
          </cell>
          <cell r="J716">
            <v>3.8874182742443253E-4</v>
          </cell>
          <cell r="K716">
            <v>3.8805424180510251E-4</v>
          </cell>
          <cell r="L716">
            <v>3.8728172784474602E-4</v>
          </cell>
          <cell r="M716">
            <v>3.8738815429728568E-4</v>
          </cell>
          <cell r="N716">
            <v>3.9124009315982811E-4</v>
          </cell>
          <cell r="O716">
            <v>3.9357165969100549E-4</v>
          </cell>
          <cell r="P716">
            <v>6.1744048863188183E-4</v>
          </cell>
        </row>
        <row r="717">
          <cell r="B717" t="str">
            <v>G-INTC-IMP00-DE</v>
          </cell>
          <cell r="C717" t="str">
            <v>VAR_fout</v>
          </cell>
          <cell r="D717" t="str">
            <v>ELC</v>
          </cell>
          <cell r="E717">
            <v>46.398476296235636</v>
          </cell>
          <cell r="F717">
            <v>28.943969240112633</v>
          </cell>
          <cell r="G717">
            <v>23.935571352214847</v>
          </cell>
          <cell r="H717">
            <v>30.446421884846163</v>
          </cell>
          <cell r="I717">
            <v>18.29214094634213</v>
          </cell>
          <cell r="J717">
            <v>25.595077148884414</v>
          </cell>
          <cell r="K717">
            <v>26.944676526101755</v>
          </cell>
          <cell r="L717">
            <v>18.656397826821586</v>
          </cell>
          <cell r="M717">
            <v>17.771069792529804</v>
          </cell>
          <cell r="N717">
            <v>4.0042178471440852</v>
          </cell>
          <cell r="O717">
            <v>1.8254606981216426</v>
          </cell>
          <cell r="P717">
            <v>1.715075502174054</v>
          </cell>
        </row>
        <row r="718">
          <cell r="B718" t="str">
            <v>G-INTC-IMP00-DE</v>
          </cell>
          <cell r="C718" t="str">
            <v>VAR_fin</v>
          </cell>
          <cell r="D718" t="str">
            <v>ELC_I-DE</v>
          </cell>
          <cell r="E718">
            <v>46.398476296235636</v>
          </cell>
          <cell r="F718">
            <v>28.943969240112633</v>
          </cell>
          <cell r="G718">
            <v>23.935571352214847</v>
          </cell>
          <cell r="H718">
            <v>30.446421884846163</v>
          </cell>
          <cell r="I718">
            <v>18.29214094634213</v>
          </cell>
          <cell r="J718">
            <v>25.595077148884414</v>
          </cell>
          <cell r="K718">
            <v>26.944676526101755</v>
          </cell>
          <cell r="L718">
            <v>18.656397826821586</v>
          </cell>
          <cell r="M718">
            <v>17.771069792529804</v>
          </cell>
          <cell r="N718">
            <v>4.0042178471440852</v>
          </cell>
          <cell r="O718">
            <v>1.8254606981216426</v>
          </cell>
          <cell r="P718">
            <v>1.715075502174054</v>
          </cell>
        </row>
        <row r="719">
          <cell r="B719" t="str">
            <v>G-INTC-IMP00-DE</v>
          </cell>
          <cell r="C719" t="str">
            <v>VAR_ncap</v>
          </cell>
          <cell r="D719" t="str">
            <v>-</v>
          </cell>
          <cell r="E719">
            <v>1.9376386171196799E-6</v>
          </cell>
          <cell r="F719">
            <v>1.82083493361516E-6</v>
          </cell>
          <cell r="G719">
            <v>1.9452521398138398E-6</v>
          </cell>
          <cell r="H719">
            <v>2.3824883438151199E-6</v>
          </cell>
          <cell r="I719">
            <v>2.7252960038860701E-6</v>
          </cell>
          <cell r="J719">
            <v>2.6590742491197401E-6</v>
          </cell>
          <cell r="K719">
            <v>2.3716792638411202E-6</v>
          </cell>
          <cell r="L719">
            <v>7.9649001732968294E-6</v>
          </cell>
          <cell r="M719">
            <v>0.21360009748287101</v>
          </cell>
          <cell r="N719">
            <v>4.2909479935076597E-5</v>
          </cell>
        </row>
        <row r="720">
          <cell r="B720" t="str">
            <v>G-INTC-IMP00-DE</v>
          </cell>
          <cell r="C720" t="str">
            <v>VAR_cap</v>
          </cell>
          <cell r="D720" t="str">
            <v>-</v>
          </cell>
          <cell r="E720">
            <v>2.10905987281114</v>
          </cell>
          <cell r="F720">
            <v>2.1090224898343504</v>
          </cell>
          <cell r="G720">
            <v>2.1090205223872802</v>
          </cell>
          <cell r="H720">
            <v>2.1090211398602596</v>
          </cell>
          <cell r="I720">
            <v>2.1090225976718733</v>
          </cell>
          <cell r="J720">
            <v>2.1090223672724644</v>
          </cell>
          <cell r="K720">
            <v>2.1090233688982618</v>
          </cell>
          <cell r="L720">
            <v>1.8466354815670378</v>
          </cell>
          <cell r="M720">
            <v>1.8430552066531711</v>
          </cell>
          <cell r="N720">
            <v>0.52865539017726593</v>
          </cell>
          <cell r="O720">
            <v>0.213610988058899</v>
          </cell>
          <cell r="P720">
            <v>0.2136514986991542</v>
          </cell>
        </row>
        <row r="721">
          <cell r="B721" t="str">
            <v>RHEM-SHSTG-CHPWOD</v>
          </cell>
          <cell r="C721" t="str">
            <v>VAR_fout</v>
          </cell>
          <cell r="D721" t="str">
            <v>AUX_REM-CHPWOD_OUT</v>
          </cell>
          <cell r="E721">
            <v>4.8542169712888515E-5</v>
          </cell>
          <cell r="F721">
            <v>3.9746153395765032E-5</v>
          </cell>
          <cell r="G721">
            <v>5.3096419599172466E-5</v>
          </cell>
          <cell r="H721">
            <v>6.2948449183563464E-4</v>
          </cell>
          <cell r="I721">
            <v>6.5561635293204408E-4</v>
          </cell>
          <cell r="J721">
            <v>1.9670286684411429E-2</v>
          </cell>
          <cell r="K721">
            <v>6.5771261880981369E-2</v>
          </cell>
          <cell r="L721">
            <v>2.1549374786261313E-2</v>
          </cell>
          <cell r="M721">
            <v>2.0770410635279866E-2</v>
          </cell>
          <cell r="N721">
            <v>2.2579272293734045E-2</v>
          </cell>
          <cell r="O721">
            <v>2.2409787326519388E-2</v>
          </cell>
          <cell r="P721">
            <v>1.9932221029934367E-2</v>
          </cell>
        </row>
        <row r="722">
          <cell r="B722" t="str">
            <v>RHEM-SHSTG-CHPWOD</v>
          </cell>
          <cell r="C722" t="str">
            <v>VAR_fout</v>
          </cell>
          <cell r="D722" t="str">
            <v>RHEM_LTH_CHPWOD</v>
          </cell>
          <cell r="E722">
            <v>4.8542169712888339E-5</v>
          </cell>
          <cell r="F722">
            <v>3.9772650831362136E-5</v>
          </cell>
          <cell r="G722">
            <v>5.3151728369588201E-5</v>
          </cell>
          <cell r="H722">
            <v>6.2948449183563464E-4</v>
          </cell>
          <cell r="I722">
            <v>6.562189414917231E-4</v>
          </cell>
          <cell r="J722">
            <v>1.9670286684411356E-2</v>
          </cell>
          <cell r="K722">
            <v>6.582499657206041E-2</v>
          </cell>
          <cell r="L722">
            <v>2.1549374786261309E-2</v>
          </cell>
          <cell r="M722">
            <v>2.0770410635279863E-2</v>
          </cell>
          <cell r="N722">
            <v>2.2579272293734031E-2</v>
          </cell>
          <cell r="O722">
            <v>2.2409787326519381E-2</v>
          </cell>
          <cell r="P722">
            <v>1.993222102993434E-2</v>
          </cell>
        </row>
        <row r="723">
          <cell r="B723" t="str">
            <v>RHEM-SHSTG-CHPWOD</v>
          </cell>
          <cell r="C723" t="str">
            <v>VAR_fin</v>
          </cell>
          <cell r="D723" t="str">
            <v>AUX_REM-CHPWOD_IN</v>
          </cell>
          <cell r="E723">
            <v>3.8548783209373595E-5</v>
          </cell>
          <cell r="F723">
            <v>2.4948074333456842E-5</v>
          </cell>
          <cell r="G723">
            <v>4.2445915923864108E-5</v>
          </cell>
          <cell r="H723">
            <v>7.8685393085305567E-4</v>
          </cell>
          <cell r="I723">
            <v>7.95670146380796E-4</v>
          </cell>
          <cell r="J723">
            <v>2.3141816080984947E-2</v>
          </cell>
          <cell r="K723">
            <v>7.5229518733521739E-2</v>
          </cell>
          <cell r="L723">
            <v>2.3944756269092444E-2</v>
          </cell>
          <cell r="M723">
            <v>2.3078517381410358E-2</v>
          </cell>
          <cell r="N723">
            <v>2.5089127290788379E-2</v>
          </cell>
          <cell r="O723">
            <v>2.4900172233999773E-2</v>
          </cell>
          <cell r="P723">
            <v>2.2148200146487079E-2</v>
          </cell>
        </row>
        <row r="724">
          <cell r="B724" t="str">
            <v>RHEM-SHSTG-CHPWOD</v>
          </cell>
          <cell r="C724" t="str">
            <v>VAR_fin</v>
          </cell>
          <cell r="D724" t="str">
            <v>RHEM_LTH_CHPWOD</v>
          </cell>
          <cell r="E724">
            <v>3.8548783209373595E-5</v>
          </cell>
          <cell r="F724">
            <v>2.4948074333456842E-5</v>
          </cell>
          <cell r="G724">
            <v>4.2445915923864108E-5</v>
          </cell>
          <cell r="H724">
            <v>7.8685393085305567E-4</v>
          </cell>
          <cell r="I724">
            <v>7.95670146380796E-4</v>
          </cell>
          <cell r="J724">
            <v>2.3141816080984947E-2</v>
          </cell>
          <cell r="K724">
            <v>7.5229518733521739E-2</v>
          </cell>
          <cell r="L724">
            <v>2.3944756269092444E-2</v>
          </cell>
          <cell r="M724">
            <v>2.3078517381410358E-2</v>
          </cell>
          <cell r="N724">
            <v>2.5089127290788379E-2</v>
          </cell>
          <cell r="O724">
            <v>2.4900172233999773E-2</v>
          </cell>
          <cell r="P724">
            <v>2.2148200146487079E-2</v>
          </cell>
        </row>
        <row r="725">
          <cell r="B725" t="str">
            <v>RHEM-SHSTG-CHPWOD</v>
          </cell>
          <cell r="C725" t="str">
            <v>VAR_ncap</v>
          </cell>
          <cell r="D725" t="str">
            <v>-</v>
          </cell>
          <cell r="E725">
            <v>1.4249415792633199E-3</v>
          </cell>
          <cell r="F725">
            <v>3.2680570071093398E-5</v>
          </cell>
          <cell r="G725">
            <v>4.6076968019157702E-5</v>
          </cell>
          <cell r="H725">
            <v>3.5699382055870303E-5</v>
          </cell>
          <cell r="I725">
            <v>2.2919094761870702E-3</v>
          </cell>
          <cell r="J725">
            <v>4.4215694224551301E-3</v>
          </cell>
          <cell r="K725">
            <v>5.96152338303508E-3</v>
          </cell>
          <cell r="L725">
            <v>9.5655060664205801E-4</v>
          </cell>
          <cell r="M725">
            <v>2.0591344569340199E-3</v>
          </cell>
          <cell r="N725">
            <v>5.6140280775294898E-3</v>
          </cell>
          <cell r="O725">
            <v>9.3706979662800196E-4</v>
          </cell>
          <cell r="P725">
            <v>3.0401961281703799E-3</v>
          </cell>
        </row>
        <row r="726">
          <cell r="B726" t="str">
            <v>RHEM-SHSTG-CHPWOD</v>
          </cell>
          <cell r="C726" t="str">
            <v>VAR_cap</v>
          </cell>
          <cell r="D726" t="str">
            <v>-</v>
          </cell>
          <cell r="E726">
            <v>1.4249415792633199E-3</v>
          </cell>
          <cell r="F726">
            <v>1.4539808292093905E-3</v>
          </cell>
          <cell r="G726">
            <v>1.4904380152532494E-3</v>
          </cell>
          <cell r="H726">
            <v>1.5102732205520728E-3</v>
          </cell>
          <cell r="I726">
            <v>2.7124299383892801E-3</v>
          </cell>
          <cell r="J726">
            <v>6.7291715161508763E-3</v>
          </cell>
          <cell r="K726">
            <v>1.2655806318969199E-2</v>
          </cell>
          <cell r="L726">
            <v>1.1292439224829389E-2</v>
          </cell>
          <cell r="M726">
            <v>8.8135774907476937E-3</v>
          </cell>
          <cell r="N726">
            <v>8.5960290270343052E-3</v>
          </cell>
          <cell r="O726">
            <v>8.0808696298771132E-3</v>
          </cell>
          <cell r="P726">
            <v>9.5573209047605853E-3</v>
          </cell>
        </row>
        <row r="727">
          <cell r="B727" t="str">
            <v>RHNM-CHPGFC</v>
          </cell>
          <cell r="C727" t="str">
            <v>VAR_fout</v>
          </cell>
          <cell r="D727" t="str">
            <v>CO2_R</v>
          </cell>
          <cell r="M727">
            <v>0.104376265551228</v>
          </cell>
          <cell r="N727">
            <v>0.224906262502298</v>
          </cell>
          <cell r="O727">
            <v>0.139573772740477</v>
          </cell>
          <cell r="P727">
            <v>0.29126786059801602</v>
          </cell>
        </row>
        <row r="728">
          <cell r="B728" t="str">
            <v>RHNM-CHPGFC</v>
          </cell>
          <cell r="C728" t="str">
            <v>VAR_fout</v>
          </cell>
          <cell r="D728" t="str">
            <v>RHNM_NKEV_GAS_ELC_CHP</v>
          </cell>
          <cell r="M728">
            <v>8.3278935280234724E-4</v>
          </cell>
          <cell r="N728">
            <v>1.7944648603906781E-3</v>
          </cell>
          <cell r="O728">
            <v>1.1136205271846554E-3</v>
          </cell>
          <cell r="P728">
            <v>2.3239456962607639E-3</v>
          </cell>
        </row>
        <row r="729">
          <cell r="B729" t="str">
            <v>RHNM-CHPGFC</v>
          </cell>
          <cell r="C729" t="str">
            <v>VAR_fout</v>
          </cell>
          <cell r="D729" t="str">
            <v>RHNM_LTH_CHPNGA</v>
          </cell>
          <cell r="M729">
            <v>8.3278935280234724E-4</v>
          </cell>
          <cell r="N729">
            <v>1.7944648603906781E-3</v>
          </cell>
          <cell r="O729">
            <v>1.1136205271846554E-3</v>
          </cell>
          <cell r="P729">
            <v>2.3239456962607639E-3</v>
          </cell>
        </row>
        <row r="730">
          <cell r="B730" t="str">
            <v>RHNM-CHPGFC</v>
          </cell>
          <cell r="C730" t="str">
            <v>VAR_fin</v>
          </cell>
          <cell r="D730" t="str">
            <v>RNGA</v>
          </cell>
          <cell r="M730">
            <v>1.8506430062274386E-3</v>
          </cell>
          <cell r="N730">
            <v>3.9876996897570639E-3</v>
          </cell>
          <cell r="O730">
            <v>2.474712282632568E-3</v>
          </cell>
          <cell r="P730">
            <v>5.1643237694683625E-3</v>
          </cell>
        </row>
        <row r="731">
          <cell r="B731" t="str">
            <v>RHNM-CHPGFC</v>
          </cell>
          <cell r="C731" t="str">
            <v>VAR_ncap</v>
          </cell>
          <cell r="D731" t="str">
            <v>-</v>
          </cell>
          <cell r="M731">
            <v>9.5763838555867103E-5</v>
          </cell>
          <cell r="N731">
            <v>7.3769076592071394E-5</v>
          </cell>
          <cell r="O731">
            <v>5.27593445073673E-7</v>
          </cell>
          <cell r="P731">
            <v>1.1852761845662901E-4</v>
          </cell>
        </row>
        <row r="732">
          <cell r="B732" t="str">
            <v>RHNM-CHPGFC</v>
          </cell>
          <cell r="C732" t="str">
            <v>VAR_cap</v>
          </cell>
          <cell r="D732" t="str">
            <v>-</v>
          </cell>
          <cell r="M732">
            <v>9.5763838555867103E-5</v>
          </cell>
          <cell r="N732">
            <v>1.6946345278921575E-4</v>
          </cell>
          <cell r="O732">
            <v>1.6966182874313528E-4</v>
          </cell>
          <cell r="P732">
            <v>2.8761965355765263E-4</v>
          </cell>
        </row>
        <row r="733">
          <cell r="B733" t="str">
            <v>G-INTC-EXP00-FR</v>
          </cell>
          <cell r="C733" t="str">
            <v>VAR_fout</v>
          </cell>
          <cell r="D733" t="str">
            <v>ELC_E-FR</v>
          </cell>
          <cell r="E733">
            <v>12.753359335635624</v>
          </cell>
          <cell r="F733">
            <v>3.8092872286710227E-4</v>
          </cell>
          <cell r="G733">
            <v>3.8611674132682815E-4</v>
          </cell>
          <cell r="H733">
            <v>3.3085825821208383E-4</v>
          </cell>
          <cell r="I733">
            <v>4.8050022933375779E-4</v>
          </cell>
          <cell r="J733">
            <v>2.7246111996884621E-4</v>
          </cell>
          <cell r="K733">
            <v>2.1328123702337077E-4</v>
          </cell>
          <cell r="L733">
            <v>2.7068711674010487E-4</v>
          </cell>
          <cell r="M733">
            <v>2.6715901539482359E-4</v>
          </cell>
          <cell r="N733">
            <v>3.9291538262841216E-4</v>
          </cell>
          <cell r="O733">
            <v>3.7766044922678716E-4</v>
          </cell>
          <cell r="P733">
            <v>7.9636940975393185E-4</v>
          </cell>
        </row>
        <row r="734">
          <cell r="B734" t="str">
            <v>G-INTC-EXP00-FR</v>
          </cell>
          <cell r="C734" t="str">
            <v>VAR_fin</v>
          </cell>
          <cell r="D734" t="str">
            <v>ELC</v>
          </cell>
          <cell r="E734">
            <v>12.753359335635624</v>
          </cell>
          <cell r="F734">
            <v>3.8092872286710227E-4</v>
          </cell>
          <cell r="G734">
            <v>3.8611674132682815E-4</v>
          </cell>
          <cell r="H734">
            <v>3.3085825821208383E-4</v>
          </cell>
          <cell r="I734">
            <v>4.8050022933375779E-4</v>
          </cell>
          <cell r="J734">
            <v>2.7246111996884621E-4</v>
          </cell>
          <cell r="K734">
            <v>2.1328123702337077E-4</v>
          </cell>
          <cell r="L734">
            <v>2.7068711674010487E-4</v>
          </cell>
          <cell r="M734">
            <v>2.6715901539482359E-4</v>
          </cell>
          <cell r="N734">
            <v>3.9291538262841216E-4</v>
          </cell>
          <cell r="O734">
            <v>3.7766044922678716E-4</v>
          </cell>
          <cell r="P734">
            <v>7.9636940975393185E-4</v>
          </cell>
        </row>
        <row r="735">
          <cell r="B735" t="str">
            <v>G-INTC-EXP00-FR</v>
          </cell>
          <cell r="C735" t="str">
            <v>VAR_ncap</v>
          </cell>
          <cell r="D735" t="str">
            <v>-</v>
          </cell>
          <cell r="E735">
            <v>1.91294350217194E-6</v>
          </cell>
          <cell r="F735">
            <v>1.6479805792031201E-6</v>
          </cell>
          <cell r="G735">
            <v>1.9467966485632001E-6</v>
          </cell>
          <cell r="H735">
            <v>2.1884205978862198E-6</v>
          </cell>
          <cell r="I735">
            <v>2.2810354811738401E-6</v>
          </cell>
          <cell r="J735">
            <v>3.2094941764362402E-6</v>
          </cell>
          <cell r="K735">
            <v>2.4745788523446199E-6</v>
          </cell>
          <cell r="L735">
            <v>1.7615672054546701E-5</v>
          </cell>
          <cell r="M735">
            <v>7.6158876922818697E-6</v>
          </cell>
          <cell r="N735">
            <v>3.19420226675851E-4</v>
          </cell>
        </row>
        <row r="736">
          <cell r="B736" t="str">
            <v>G-INTC-EXP00-FR</v>
          </cell>
          <cell r="C736" t="str">
            <v>VAR_cap</v>
          </cell>
          <cell r="D736" t="str">
            <v>-</v>
          </cell>
          <cell r="E736">
            <v>1.299996567047301</v>
          </cell>
          <cell r="F736">
            <v>3.1138462306001813E-4</v>
          </cell>
          <cell r="G736">
            <v>3.0733803916005442E-4</v>
          </cell>
          <cell r="H736">
            <v>3.067001569996286E-4</v>
          </cell>
          <cell r="I736">
            <v>3.0892563936979478E-4</v>
          </cell>
          <cell r="J736">
            <v>3.0847996590788185E-4</v>
          </cell>
          <cell r="K736">
            <v>3.0922059632398913E-4</v>
          </cell>
          <cell r="L736">
            <v>3.1015487930541319E-4</v>
          </cell>
          <cell r="M736">
            <v>3.103742879060345E-4</v>
          </cell>
          <cell r="N736">
            <v>3.2799706547947949E-4</v>
          </cell>
          <cell r="O736">
            <v>3.3088112933454816E-4</v>
          </cell>
          <cell r="P736">
            <v>6.477836795304448E-4</v>
          </cell>
        </row>
        <row r="737">
          <cell r="B737" t="str">
            <v>RHNM-EBAT</v>
          </cell>
          <cell r="C737" t="str">
            <v>VAR_fout</v>
          </cell>
          <cell r="D737" t="str">
            <v>RHNM_ELC</v>
          </cell>
          <cell r="E737">
            <v>7.6326271216411187E-4</v>
          </cell>
          <cell r="F737">
            <v>7.6290726979366555E-4</v>
          </cell>
          <cell r="G737">
            <v>7.6545539165806357E-4</v>
          </cell>
          <cell r="H737">
            <v>3.0174932712895137E-2</v>
          </cell>
          <cell r="I737">
            <v>6.6859276383542013E-2</v>
          </cell>
          <cell r="J737">
            <v>5.291461796207473E-2</v>
          </cell>
          <cell r="K737">
            <v>4.5206943735856507E-2</v>
          </cell>
          <cell r="L737">
            <v>7.0933659815004227E-2</v>
          </cell>
          <cell r="M737">
            <v>8.0830947803257377E-2</v>
          </cell>
          <cell r="N737">
            <v>7.4083943859389378E-2</v>
          </cell>
          <cell r="O737">
            <v>6.5442500082576044E-2</v>
          </cell>
          <cell r="P737">
            <v>8.4802751416048788E-2</v>
          </cell>
        </row>
        <row r="738">
          <cell r="B738" t="str">
            <v>RHNM-EBAT</v>
          </cell>
          <cell r="C738" t="str">
            <v>VAR_fout</v>
          </cell>
          <cell r="D738" t="str">
            <v>AUX_RHNM-EBAT_OUT</v>
          </cell>
          <cell r="E738">
            <v>7.6326271216411252E-4</v>
          </cell>
          <cell r="F738">
            <v>7.6290726979366642E-4</v>
          </cell>
          <cell r="G738">
            <v>7.6545539165806444E-4</v>
          </cell>
          <cell r="H738">
            <v>3.0174932712895192E-2</v>
          </cell>
          <cell r="I738">
            <v>6.6859276383542082E-2</v>
          </cell>
          <cell r="J738">
            <v>5.2914617962074792E-2</v>
          </cell>
          <cell r="K738">
            <v>4.5206943735856535E-2</v>
          </cell>
          <cell r="L738">
            <v>7.0933659815004282E-2</v>
          </cell>
          <cell r="M738">
            <v>8.0830947803257433E-2</v>
          </cell>
          <cell r="N738">
            <v>7.4083943859389448E-2</v>
          </cell>
          <cell r="O738">
            <v>6.5442500082576086E-2</v>
          </cell>
          <cell r="P738">
            <v>8.4802751416048872E-2</v>
          </cell>
        </row>
        <row r="739">
          <cell r="B739" t="str">
            <v>RHNM-EBAT</v>
          </cell>
          <cell r="C739" t="str">
            <v>VAR_fin</v>
          </cell>
          <cell r="D739" t="str">
            <v>RHNM_ELC</v>
          </cell>
          <cell r="E739">
            <v>8.4427475663581607E-4</v>
          </cell>
          <cell r="F739">
            <v>8.4393566953255708E-4</v>
          </cell>
          <cell r="G739">
            <v>8.4664549666727711E-4</v>
          </cell>
          <cell r="H739">
            <v>3.3369513420270988E-2</v>
          </cell>
          <cell r="I739">
            <v>7.393743742614127E-2</v>
          </cell>
          <cell r="J739">
            <v>5.8516449882777891E-2</v>
          </cell>
          <cell r="K739">
            <v>4.9992833555317868E-2</v>
          </cell>
          <cell r="L739">
            <v>7.8443367382933213E-2</v>
          </cell>
          <cell r="M739">
            <v>8.9388253711353532E-2</v>
          </cell>
          <cell r="N739">
            <v>8.1927297402057675E-2</v>
          </cell>
          <cell r="O739">
            <v>7.2370814768572822E-2</v>
          </cell>
          <cell r="P739">
            <v>9.378087263169145E-2</v>
          </cell>
        </row>
        <row r="740">
          <cell r="B740" t="str">
            <v>RHNM-EBAT</v>
          </cell>
          <cell r="C740" t="str">
            <v>VAR_fin</v>
          </cell>
          <cell r="D740" t="str">
            <v>AUX_RHNM-EBAT_IN</v>
          </cell>
          <cell r="E740">
            <v>8.4427475663581607E-4</v>
          </cell>
          <cell r="F740">
            <v>8.4393566953255708E-4</v>
          </cell>
          <cell r="G740">
            <v>8.4664549666727711E-4</v>
          </cell>
          <cell r="H740">
            <v>3.3369513420270988E-2</v>
          </cell>
          <cell r="I740">
            <v>7.393743742614127E-2</v>
          </cell>
          <cell r="J740">
            <v>5.8516449882777891E-2</v>
          </cell>
          <cell r="K740">
            <v>4.9992833555317868E-2</v>
          </cell>
          <cell r="L740">
            <v>7.8443367382933213E-2</v>
          </cell>
          <cell r="M740">
            <v>8.9388253711353532E-2</v>
          </cell>
          <cell r="N740">
            <v>8.1927297402057675E-2</v>
          </cell>
          <cell r="O740">
            <v>7.2370814768572822E-2</v>
          </cell>
          <cell r="P740">
            <v>9.378087263169145E-2</v>
          </cell>
        </row>
        <row r="741">
          <cell r="B741" t="str">
            <v>RHNM-EBAT</v>
          </cell>
          <cell r="C741" t="str">
            <v>VAR_ncap</v>
          </cell>
          <cell r="D741" t="str">
            <v>-</v>
          </cell>
          <cell r="E741">
            <v>3.0984495460778701E-4</v>
          </cell>
          <cell r="F741">
            <v>4.9072722104683899E-7</v>
          </cell>
          <cell r="G741">
            <v>1.3943884867902399E-6</v>
          </cell>
          <cell r="H741">
            <v>2.2403732252908801E-2</v>
          </cell>
          <cell r="I741">
            <v>6.1499516952032499E-3</v>
          </cell>
          <cell r="J741">
            <v>1.27927536839196E-2</v>
          </cell>
          <cell r="K741">
            <v>5.8007247842608101E-3</v>
          </cell>
          <cell r="L741">
            <v>1.8919871562111199E-2</v>
          </cell>
          <cell r="M741">
            <v>1.15874887213508E-2</v>
          </cell>
          <cell r="N741">
            <v>9.0670297847379594E-3</v>
          </cell>
          <cell r="O741">
            <v>1.5688540566119801E-2</v>
          </cell>
          <cell r="P741">
            <v>1.29331984870781E-2</v>
          </cell>
        </row>
        <row r="742">
          <cell r="B742" t="str">
            <v>RHNM-EBAT</v>
          </cell>
          <cell r="C742" t="str">
            <v>VAR_cap</v>
          </cell>
          <cell r="D742" t="str">
            <v>-</v>
          </cell>
          <cell r="E742">
            <v>3.1256822679177074E-4</v>
          </cell>
          <cell r="F742">
            <v>3.1291078180985444E-4</v>
          </cell>
          <cell r="G742">
            <v>3.1400019696605858E-4</v>
          </cell>
          <cell r="H742">
            <v>2.2631805871755017E-2</v>
          </cell>
          <cell r="I742">
            <v>2.8554137451349982E-2</v>
          </cell>
          <cell r="J742">
            <v>2.3647127499762173E-2</v>
          </cell>
          <cell r="K742">
            <v>2.178197972366697E-2</v>
          </cell>
          <cell r="L742">
            <v>2.9089912245989495E-2</v>
          </cell>
          <cell r="M742">
            <v>3.3116166401971098E-2</v>
          </cell>
          <cell r="N742">
            <v>3.0347227254874178E-2</v>
          </cell>
          <cell r="O742">
            <v>2.6807356395885242E-2</v>
          </cell>
          <cell r="P742">
            <v>3.4739600252882377E-2</v>
          </cell>
        </row>
        <row r="743">
          <cell r="B743" t="str">
            <v>ITOT-CHPWST</v>
          </cell>
          <cell r="C743" t="str">
            <v>VAR_fout</v>
          </cell>
          <cell r="D743" t="str">
            <v>ITOT_LTH_CHP</v>
          </cell>
          <cell r="E743">
            <v>1.9347926511265963</v>
          </cell>
          <cell r="F743">
            <v>1.8587665077795834</v>
          </cell>
          <cell r="G743">
            <v>2.5502871241423537</v>
          </cell>
          <cell r="H743">
            <v>2.243330358406173</v>
          </cell>
          <cell r="I743">
            <v>1.9426654011197206</v>
          </cell>
          <cell r="J743">
            <v>1.4005971568376532</v>
          </cell>
          <cell r="K743">
            <v>6.7147067915820913E-4</v>
          </cell>
          <cell r="L743">
            <v>2.177038262441139E-4</v>
          </cell>
          <cell r="M743">
            <v>3.4806126947696693E-4</v>
          </cell>
          <cell r="N743">
            <v>6.0501356727900833E-4</v>
          </cell>
          <cell r="O743">
            <v>3.7638536261127149E-4</v>
          </cell>
          <cell r="P743">
            <v>1.3771980697631806E-4</v>
          </cell>
        </row>
        <row r="744">
          <cell r="B744" t="str">
            <v>ITOT-CHPWST</v>
          </cell>
          <cell r="C744" t="str">
            <v>VAR_fout</v>
          </cell>
          <cell r="D744" t="str">
            <v>ITOT_KEV_WST_ELC_CHP</v>
          </cell>
          <cell r="E744">
            <v>0.23004155968187884</v>
          </cell>
          <cell r="F744">
            <v>0.23015747953886212</v>
          </cell>
          <cell r="G744">
            <v>0.33670595418499183</v>
          </cell>
          <cell r="H744">
            <v>0.33294549849543831</v>
          </cell>
          <cell r="I744">
            <v>0.32918527149850729</v>
          </cell>
          <cell r="J744">
            <v>0.27652248589122819</v>
          </cell>
          <cell r="K744">
            <v>1.5879104978595737E-4</v>
          </cell>
          <cell r="L744">
            <v>6.4176873726448386E-5</v>
          </cell>
          <cell r="M744">
            <v>1.0260492213509981E-4</v>
          </cell>
          <cell r="N744">
            <v>1.7835184608337972E-4</v>
          </cell>
          <cell r="O744">
            <v>1.1095457670873224E-4</v>
          </cell>
          <cell r="P744">
            <v>4.059839835814084E-5</v>
          </cell>
        </row>
        <row r="745">
          <cell r="B745" t="str">
            <v>ITOT-CHPWST</v>
          </cell>
          <cell r="C745" t="str">
            <v>VAR_fout</v>
          </cell>
          <cell r="D745" t="str">
            <v>CO2_I</v>
          </cell>
          <cell r="E745">
            <v>344.47006285479802</v>
          </cell>
          <cell r="F745">
            <v>344.64518929575098</v>
          </cell>
          <cell r="G745">
            <v>504.19519356215102</v>
          </cell>
          <cell r="H745">
            <v>498.56415656767399</v>
          </cell>
          <cell r="I745">
            <v>492.93346202547599</v>
          </cell>
          <cell r="J745">
            <v>414.07437725801202</v>
          </cell>
          <cell r="K745">
            <v>0.23777923463385101</v>
          </cell>
          <cell r="L745">
            <v>9.6100680337070907E-2</v>
          </cell>
          <cell r="M745">
            <v>0.15364417508314401</v>
          </cell>
          <cell r="N745">
            <v>0.26707025058657202</v>
          </cell>
          <cell r="O745">
            <v>0.16614723792359801</v>
          </cell>
          <cell r="P745">
            <v>6.07934521622681E-2</v>
          </cell>
        </row>
        <row r="746">
          <cell r="B746" t="str">
            <v>ITOT-CHPWST</v>
          </cell>
          <cell r="C746" t="str">
            <v>VAR_fin</v>
          </cell>
          <cell r="D746" t="str">
            <v>IWST</v>
          </cell>
          <cell r="E746">
            <v>3.7119618842111843</v>
          </cell>
          <cell r="F746">
            <v>3.713849022583521</v>
          </cell>
          <cell r="G746">
            <v>5.4331378616611117</v>
          </cell>
          <cell r="H746">
            <v>5.3724585837033789</v>
          </cell>
          <cell r="I746">
            <v>5.3117829959641769</v>
          </cell>
          <cell r="J746">
            <v>4.4620083756251203</v>
          </cell>
          <cell r="K746">
            <v>2.5622762352785679E-3</v>
          </cell>
          <cell r="L746">
            <v>1.0355676760460224E-3</v>
          </cell>
          <cell r="M746">
            <v>1.655648438395953E-3</v>
          </cell>
          <cell r="N746">
            <v>2.877912183044954E-3</v>
          </cell>
          <cell r="O746">
            <v>1.7903797190042827E-3</v>
          </cell>
          <cell r="P746">
            <v>6.5510185519685404E-4</v>
          </cell>
        </row>
        <row r="747">
          <cell r="B747" t="str">
            <v>ITOT-CHPWST</v>
          </cell>
          <cell r="C747" t="str">
            <v>VAR_ncap</v>
          </cell>
          <cell r="D747" t="str">
            <v>-</v>
          </cell>
          <cell r="F747">
            <v>2.4881149510157099E-7</v>
          </cell>
          <cell r="G747">
            <v>8.8885563833061897E-7</v>
          </cell>
          <cell r="H747">
            <v>1.5496552131633E-3</v>
          </cell>
          <cell r="I747">
            <v>5.0003510649696903E-3</v>
          </cell>
          <cell r="J747">
            <v>1.2564119076525899E-7</v>
          </cell>
          <cell r="K747">
            <v>1.2552983694371699E-7</v>
          </cell>
          <cell r="L747">
            <v>1.72944626214194E-7</v>
          </cell>
          <cell r="M747">
            <v>1.7317490706362699E-7</v>
          </cell>
          <cell r="N747">
            <v>1.4579682507042301E-6</v>
          </cell>
          <cell r="O747">
            <v>2.6127062038925801E-5</v>
          </cell>
          <cell r="P747">
            <v>1.0660765666670001E-5</v>
          </cell>
        </row>
        <row r="748">
          <cell r="B748" t="str">
            <v>ITOT-CHPWST</v>
          </cell>
          <cell r="C748" t="str">
            <v>VAR_cap</v>
          </cell>
          <cell r="D748" t="str">
            <v>-</v>
          </cell>
          <cell r="E748">
            <v>4.851081700837212E-2</v>
          </cell>
          <cell r="F748">
            <v>1.3699510033327304E-2</v>
          </cell>
          <cell r="G748">
            <v>1.3699987438269529E-2</v>
          </cell>
          <cell r="H748">
            <v>1.3545834156071326E-2</v>
          </cell>
          <cell r="I748">
            <v>1.3392772491277212E-2</v>
          </cell>
          <cell r="J748">
            <v>1.2588242068242316E-2</v>
          </cell>
          <cell r="K748">
            <v>6.2870619658070975E-5</v>
          </cell>
          <cell r="L748">
            <v>6.1280282995500659E-5</v>
          </cell>
          <cell r="M748">
            <v>6.0593170458569413E-5</v>
          </cell>
          <cell r="N748">
            <v>6.1721814863970395E-5</v>
          </cell>
          <cell r="O748">
            <v>3.8358662904405035E-5</v>
          </cell>
          <cell r="P748">
            <v>3.8332220160347708E-5</v>
          </cell>
        </row>
        <row r="749">
          <cell r="B749" t="str">
            <v>CAES-EBAT</v>
          </cell>
          <cell r="C749" t="str">
            <v>VAR_fout</v>
          </cell>
          <cell r="D749" t="str">
            <v>ELC13</v>
          </cell>
          <cell r="E749">
            <v>9.4521391287464507E-2</v>
          </cell>
          <cell r="F749">
            <v>8.2758519609442763E-3</v>
          </cell>
          <cell r="G749">
            <v>9.1804045415942295E-2</v>
          </cell>
          <cell r="H749">
            <v>4.5054598991910298E-2</v>
          </cell>
          <cell r="I749">
            <v>3.4116555183412313E-2</v>
          </cell>
          <cell r="J749">
            <v>2.8445591156599385E-2</v>
          </cell>
          <cell r="K749">
            <v>3.2332214035711709E-2</v>
          </cell>
          <cell r="L749">
            <v>9.4473007037235657E-2</v>
          </cell>
          <cell r="M749">
            <v>9.4491133755019899E-2</v>
          </cell>
          <cell r="N749">
            <v>9.4490908151859371E-2</v>
          </cell>
          <cell r="O749">
            <v>9.4491808012068995E-2</v>
          </cell>
          <cell r="P749">
            <v>9.4494432671527864E-2</v>
          </cell>
        </row>
        <row r="750">
          <cell r="B750" t="str">
            <v>CAES-EBAT</v>
          </cell>
          <cell r="C750" t="str">
            <v>VAR_fout</v>
          </cell>
          <cell r="D750" t="str">
            <v>AUX_CAES_OUT</v>
          </cell>
          <cell r="E750">
            <v>9.4521391287464451E-2</v>
          </cell>
          <cell r="F750">
            <v>8.2758519609442693E-3</v>
          </cell>
          <cell r="G750">
            <v>9.1804045415942212E-2</v>
          </cell>
          <cell r="H750">
            <v>4.5054598991910236E-2</v>
          </cell>
          <cell r="I750">
            <v>3.4116555183412278E-2</v>
          </cell>
          <cell r="J750">
            <v>2.8445591156599375E-2</v>
          </cell>
          <cell r="K750">
            <v>3.2332214035711689E-2</v>
          </cell>
          <cell r="L750">
            <v>9.4473007037235476E-2</v>
          </cell>
          <cell r="M750">
            <v>9.4491133755019788E-2</v>
          </cell>
          <cell r="N750">
            <v>9.4490908151859315E-2</v>
          </cell>
          <cell r="O750">
            <v>9.449180801206894E-2</v>
          </cell>
          <cell r="P750">
            <v>9.4494432671527781E-2</v>
          </cell>
        </row>
        <row r="751">
          <cell r="B751" t="str">
            <v>CAES-EBAT</v>
          </cell>
          <cell r="C751" t="str">
            <v>VAR_fin</v>
          </cell>
          <cell r="D751" t="str">
            <v>ELC13</v>
          </cell>
          <cell r="E751">
            <v>0.1350347468469251</v>
          </cell>
          <cell r="F751">
            <v>1.1822883679859994E-2</v>
          </cell>
          <cell r="G751">
            <v>0.1311488360899945</v>
          </cell>
          <cell r="H751">
            <v>6.4363939651619365E-2</v>
          </cell>
          <cell r="I751">
            <v>4.8738313727479422E-2</v>
          </cell>
          <cell r="J751">
            <v>4.063673653770359E-2</v>
          </cell>
          <cell r="K751">
            <v>4.6189110969144756E-2</v>
          </cell>
          <cell r="L751">
            <v>0.1349618763909346</v>
          </cell>
          <cell r="M751">
            <v>0.13498773916733817</v>
          </cell>
          <cell r="N751">
            <v>0.13498745028858139</v>
          </cell>
          <cell r="O751">
            <v>0.134988667959378</v>
          </cell>
          <cell r="P751">
            <v>0.13499251734568385</v>
          </cell>
        </row>
        <row r="752">
          <cell r="B752" t="str">
            <v>CAES-EBAT</v>
          </cell>
          <cell r="C752" t="str">
            <v>VAR_fin</v>
          </cell>
          <cell r="D752" t="str">
            <v>AUX_CAES_IN</v>
          </cell>
          <cell r="E752">
            <v>0.1350347468469251</v>
          </cell>
          <cell r="F752">
            <v>1.1822883679859994E-2</v>
          </cell>
          <cell r="G752">
            <v>0.1311488360899945</v>
          </cell>
          <cell r="H752">
            <v>6.4363939651619365E-2</v>
          </cell>
          <cell r="I752">
            <v>4.8738313727479422E-2</v>
          </cell>
          <cell r="J752">
            <v>4.063673653770359E-2</v>
          </cell>
          <cell r="K752">
            <v>4.6189110969144756E-2</v>
          </cell>
          <cell r="L752">
            <v>0.1349618763909346</v>
          </cell>
          <cell r="M752">
            <v>0.13498773916733817</v>
          </cell>
          <cell r="N752">
            <v>0.13498745028858139</v>
          </cell>
          <cell r="O752">
            <v>0.134988667959378</v>
          </cell>
          <cell r="P752">
            <v>0.13499251734568385</v>
          </cell>
        </row>
        <row r="753">
          <cell r="B753" t="str">
            <v>CAES-EBAT</v>
          </cell>
          <cell r="C753" t="str">
            <v>VAR_ncap</v>
          </cell>
          <cell r="D753" t="str">
            <v>-</v>
          </cell>
          <cell r="F753">
            <v>6.2757053248862204E-7</v>
          </cell>
          <cell r="G753">
            <v>6.6051880484353999E-7</v>
          </cell>
          <cell r="H753">
            <v>6.9942388504180601E-7</v>
          </cell>
          <cell r="I753">
            <v>1.0262242577954099E-6</v>
          </cell>
          <cell r="J753">
            <v>9.5065920998242704E-7</v>
          </cell>
          <cell r="K753">
            <v>8.8097707533257104E-7</v>
          </cell>
          <cell r="L753">
            <v>7.9890038677383502E-7</v>
          </cell>
          <cell r="M753">
            <v>7.5234542525025198E-7</v>
          </cell>
          <cell r="N753">
            <v>8.9872952800643802E-7</v>
          </cell>
          <cell r="O753">
            <v>1.1064236532621E-6</v>
          </cell>
          <cell r="P753">
            <v>1.44046075696868E-6</v>
          </cell>
        </row>
        <row r="754">
          <cell r="B754" t="str">
            <v>CAES-EBAT</v>
          </cell>
          <cell r="C754" t="str">
            <v>VAR_cap</v>
          </cell>
          <cell r="D754" t="str">
            <v>-</v>
          </cell>
          <cell r="E754">
            <v>0.1</v>
          </cell>
          <cell r="F754">
            <v>9.9997763051769994E-2</v>
          </cell>
          <cell r="G754">
            <v>9.9997808560226012E-2</v>
          </cell>
          <cell r="H754">
            <v>9.9997927622236304E-2</v>
          </cell>
          <cell r="I754">
            <v>9.9998511100420656E-2</v>
          </cell>
          <cell r="J754">
            <v>9.9998836897014762E-2</v>
          </cell>
          <cell r="K754">
            <v>9.9998891670768419E-2</v>
          </cell>
          <cell r="L754">
            <v>9.9998535490837287E-2</v>
          </cell>
          <cell r="M754">
            <v>9.9998170414428503E-2</v>
          </cell>
          <cell r="N754">
            <v>9.999772967771757E-2</v>
          </cell>
          <cell r="O754">
            <v>9.9997494517732793E-2</v>
          </cell>
          <cell r="P754">
            <v>9.9997523207667013E-2</v>
          </cell>
        </row>
        <row r="755">
          <cell r="B755" t="str">
            <v>HPLSOL</v>
          </cell>
          <cell r="C755" t="str">
            <v>VAR_fout</v>
          </cell>
          <cell r="D755" t="str">
            <v>LTH</v>
          </cell>
          <cell r="H755">
            <v>3.7818176694793667E-5</v>
          </cell>
          <cell r="I755">
            <v>6.0196400965602759E-5</v>
          </cell>
          <cell r="J755">
            <v>6.0842394687490188E-5</v>
          </cell>
          <cell r="K755">
            <v>6.1895146483664258E-5</v>
          </cell>
          <cell r="L755">
            <v>6.5597471546425295E-5</v>
          </cell>
          <cell r="M755">
            <v>6.5953903866810442E-5</v>
          </cell>
          <cell r="N755">
            <v>6.8347400139015266E-5</v>
          </cell>
          <cell r="O755">
            <v>7.1074217713085398E-5</v>
          </cell>
          <cell r="P755">
            <v>1.400638831387823E-4</v>
          </cell>
        </row>
        <row r="756">
          <cell r="B756" t="str">
            <v>HPLSOL</v>
          </cell>
          <cell r="C756" t="str">
            <v>VAR_fin</v>
          </cell>
          <cell r="D756" t="str">
            <v>SOL</v>
          </cell>
          <cell r="H756">
            <v>3.7818176694793667E-5</v>
          </cell>
          <cell r="I756">
            <v>6.0196400965602759E-5</v>
          </cell>
          <cell r="J756">
            <v>6.0842394687490188E-5</v>
          </cell>
          <cell r="K756">
            <v>6.1895146483664258E-5</v>
          </cell>
          <cell r="L756">
            <v>6.5597471546425295E-5</v>
          </cell>
          <cell r="M756">
            <v>6.5953903866810442E-5</v>
          </cell>
          <cell r="N756">
            <v>6.8347400139015266E-5</v>
          </cell>
          <cell r="O756">
            <v>7.1074217713085398E-5</v>
          </cell>
          <cell r="P756">
            <v>1.400638831387823E-4</v>
          </cell>
        </row>
        <row r="757">
          <cell r="B757" t="str">
            <v>HPLSOL</v>
          </cell>
          <cell r="C757" t="str">
            <v>VAR_fin</v>
          </cell>
          <cell r="D757" t="str">
            <v>SOLPVC</v>
          </cell>
          <cell r="H757">
            <v>3.7818176694793599E-5</v>
          </cell>
          <cell r="I757">
            <v>6.01964009656028E-5</v>
          </cell>
          <cell r="J757">
            <v>6.0842394687490201E-5</v>
          </cell>
          <cell r="K757">
            <v>6.1895146483664204E-5</v>
          </cell>
          <cell r="L757">
            <v>6.5597471546425295E-5</v>
          </cell>
          <cell r="M757">
            <v>6.5953903866810401E-5</v>
          </cell>
          <cell r="N757">
            <v>6.8347400139015294E-5</v>
          </cell>
          <cell r="O757">
            <v>7.1074217713085303E-5</v>
          </cell>
          <cell r="P757">
            <v>1.40063883138782E-4</v>
          </cell>
        </row>
        <row r="758">
          <cell r="B758" t="str">
            <v>HPLSOL</v>
          </cell>
          <cell r="C758" t="str">
            <v>VAR_ncap</v>
          </cell>
          <cell r="D758" t="str">
            <v>-</v>
          </cell>
          <cell r="H758">
            <v>7.6642987563146293E-6</v>
          </cell>
          <cell r="I758">
            <v>4.3351087725058297E-6</v>
          </cell>
          <cell r="J758">
            <v>2.37267104320279E-7</v>
          </cell>
          <cell r="K758">
            <v>2.3405827998485098E-6</v>
          </cell>
          <cell r="L758">
            <v>8.6330624602717199E-6</v>
          </cell>
          <cell r="M758">
            <v>2.8470252995109599E-7</v>
          </cell>
          <cell r="N758">
            <v>5.1239185284915498E-6</v>
          </cell>
          <cell r="O758">
            <v>1.0341298613268101E-6</v>
          </cell>
          <cell r="P758">
            <v>2.4497373022772901E-5</v>
          </cell>
        </row>
        <row r="759">
          <cell r="B759" t="str">
            <v>HPLSOL</v>
          </cell>
          <cell r="C759" t="str">
            <v>VAR_cap</v>
          </cell>
          <cell r="D759" t="str">
            <v>-</v>
          </cell>
          <cell r="H759">
            <v>7.6642987563146293E-6</v>
          </cell>
          <cell r="I759">
            <v>1.1999407528820501E-5</v>
          </cell>
          <cell r="J759">
            <v>1.2236674633140701E-5</v>
          </cell>
          <cell r="K759">
            <v>1.21475698003493E-5</v>
          </cell>
          <cell r="L759">
            <v>1.5546021136946299E-5</v>
          </cell>
          <cell r="M759">
            <v>1.2780145854192799E-5</v>
          </cell>
          <cell r="N759">
            <v>1.6382266318562899E-5</v>
          </cell>
          <cell r="O759">
            <v>1.5075813380041199E-5</v>
          </cell>
          <cell r="P759">
            <v>3.0940123942542399E-5</v>
          </cell>
        </row>
        <row r="760">
          <cell r="B760" t="str">
            <v>RHEM-CHPNGA</v>
          </cell>
          <cell r="C760" t="str">
            <v>VAR_fout</v>
          </cell>
          <cell r="D760" t="str">
            <v>CO2_R</v>
          </cell>
          <cell r="E760">
            <v>6.1209095837951599</v>
          </cell>
          <cell r="F760">
            <v>5.3418192187225602</v>
          </cell>
          <cell r="G760">
            <v>21.633679190700501</v>
          </cell>
          <cell r="H760">
            <v>21.256733140873902</v>
          </cell>
          <cell r="I760">
            <v>21.121539064143398</v>
          </cell>
          <cell r="J760">
            <v>8.7083271245727403</v>
          </cell>
          <cell r="M760">
            <v>0.23235945217884299</v>
          </cell>
          <cell r="N760">
            <v>0.47065939899475101</v>
          </cell>
          <cell r="O760">
            <v>0.490839932262228</v>
          </cell>
          <cell r="P760">
            <v>1.3652483380613301</v>
          </cell>
        </row>
        <row r="761">
          <cell r="B761" t="str">
            <v>RHEM-CHPNGA</v>
          </cell>
          <cell r="C761" t="str">
            <v>VAR_fout</v>
          </cell>
          <cell r="D761" t="str">
            <v>RHEM_LTH_CHPNGA</v>
          </cell>
          <cell r="E761">
            <v>6.0512014408762027E-2</v>
          </cell>
          <cell r="F761">
            <v>5.9474890545882252E-2</v>
          </cell>
          <cell r="G761">
            <v>0.23870597535385069</v>
          </cell>
          <cell r="H761">
            <v>0.23274000639540868</v>
          </cell>
          <cell r="I761">
            <v>0.22981764306142638</v>
          </cell>
          <cell r="J761">
            <v>9.4175814082180245E-2</v>
          </cell>
          <cell r="M761">
            <v>2.3887750836280057E-3</v>
          </cell>
          <cell r="N761">
            <v>4.848296615488178E-3</v>
          </cell>
          <cell r="O761">
            <v>5.1330727737026226E-3</v>
          </cell>
          <cell r="P761">
            <v>1.4344463642815636E-2</v>
          </cell>
        </row>
        <row r="762">
          <cell r="B762" t="str">
            <v>RHEM-CHPNGA</v>
          </cell>
          <cell r="C762" t="str">
            <v>VAR_fout</v>
          </cell>
          <cell r="D762" t="str">
            <v>RHEM_NKEV_GAS_ELC_CHP</v>
          </cell>
          <cell r="E762">
            <v>2.7854736791334878E-2</v>
          </cell>
          <cell r="F762">
            <v>2.7646481499742213E-2</v>
          </cell>
          <cell r="G762">
            <v>0.11262158273202275</v>
          </cell>
          <cell r="H762">
            <v>0.11261613212681038</v>
          </cell>
          <cell r="I762">
            <v>0.11257127591070928</v>
          </cell>
          <cell r="J762">
            <v>4.6705078528560956E-2</v>
          </cell>
          <cell r="M762">
            <v>1.2139676654502971E-3</v>
          </cell>
          <cell r="N762">
            <v>2.4638884439366158E-3</v>
          </cell>
          <cell r="O762">
            <v>2.6086107538488786E-3</v>
          </cell>
          <cell r="P762">
            <v>7.289809392250571E-3</v>
          </cell>
        </row>
        <row r="763">
          <cell r="B763" t="str">
            <v>RHEM-CHPNGA</v>
          </cell>
          <cell r="C763" t="str">
            <v>VAR_fin</v>
          </cell>
          <cell r="D763" t="str">
            <v>RNGA</v>
          </cell>
          <cell r="E763">
            <v>0.1085267656701269</v>
          </cell>
          <cell r="F763">
            <v>9.4713106714939002E-2</v>
          </cell>
          <cell r="G763">
            <v>0.38357587217554062</v>
          </cell>
          <cell r="H763">
            <v>0.37689243157577962</v>
          </cell>
          <cell r="I763">
            <v>0.37449537347772055</v>
          </cell>
          <cell r="J763">
            <v>0.15440296320164443</v>
          </cell>
          <cell r="M763">
            <v>4.1198484428872839E-3</v>
          </cell>
          <cell r="N763">
            <v>8.3450248048714711E-3</v>
          </cell>
          <cell r="O763">
            <v>8.7028356784082991E-3</v>
          </cell>
          <cell r="P763">
            <v>2.420653081669023E-2</v>
          </cell>
        </row>
        <row r="764">
          <cell r="B764" t="str">
            <v>RHEM-CHPNGA</v>
          </cell>
          <cell r="C764" t="str">
            <v>VAR_ncap</v>
          </cell>
          <cell r="D764" t="str">
            <v>-</v>
          </cell>
          <cell r="F764">
            <v>2.4448262411515499E-6</v>
          </cell>
          <cell r="M764">
            <v>1.2442474507286301E-4</v>
          </cell>
          <cell r="N764">
            <v>1.15508258577441E-4</v>
          </cell>
          <cell r="O764">
            <v>1.6757634832268099E-6</v>
          </cell>
          <cell r="P764">
            <v>3.6138485012284199E-4</v>
          </cell>
        </row>
        <row r="765">
          <cell r="B765" t="str">
            <v>RHEM-CHPNGA</v>
          </cell>
          <cell r="C765" t="str">
            <v>VAR_cap</v>
          </cell>
          <cell r="D765" t="str">
            <v>-</v>
          </cell>
          <cell r="E765">
            <v>8.4148050271922806E-3</v>
          </cell>
          <cell r="F765">
            <v>8.357325961579341E-3</v>
          </cell>
          <cell r="G765">
            <v>8.3570533447976259E-3</v>
          </cell>
          <cell r="H765">
            <v>8.356757887800775E-3</v>
          </cell>
          <cell r="I765">
            <v>8.3531789137747548E-3</v>
          </cell>
          <cell r="J765">
            <v>3.465454248166756E-3</v>
          </cell>
          <cell r="M765">
            <v>1.2442474507286301E-4</v>
          </cell>
          <cell r="N765">
            <v>2.3984987357794646E-4</v>
          </cell>
          <cell r="O765">
            <v>2.4127455585398663E-4</v>
          </cell>
          <cell r="P765">
            <v>6.0205018363051739E-4</v>
          </cell>
        </row>
        <row r="766">
          <cell r="B766" t="str">
            <v>ENUC_AMR_GOE_IV</v>
          </cell>
          <cell r="C766" t="str">
            <v>VAR_fout</v>
          </cell>
          <cell r="D766" t="str">
            <v>HTH</v>
          </cell>
          <cell r="M766">
            <v>0.24287990607829837</v>
          </cell>
          <cell r="N766">
            <v>0.62536335294903156</v>
          </cell>
          <cell r="O766">
            <v>0.60381921420614426</v>
          </cell>
          <cell r="P766">
            <v>0.53225911562505868</v>
          </cell>
        </row>
        <row r="767">
          <cell r="B767" t="str">
            <v>ENUC_AMR_GOE_IV</v>
          </cell>
          <cell r="C767" t="str">
            <v>VAR_fout</v>
          </cell>
          <cell r="D767" t="str">
            <v>ELC</v>
          </cell>
          <cell r="M767">
            <v>0.77374872859310417</v>
          </cell>
          <cell r="N767">
            <v>1.829015130962927</v>
          </cell>
          <cell r="O767">
            <v>1.8919791942672504</v>
          </cell>
          <cell r="P767">
            <v>1.8744884925906371</v>
          </cell>
        </row>
        <row r="768">
          <cell r="B768" t="str">
            <v>ENUC_AMR_GOE_IV</v>
          </cell>
          <cell r="C768" t="str">
            <v>VAR_fin</v>
          </cell>
          <cell r="D768" t="str">
            <v>URN</v>
          </cell>
          <cell r="M768">
            <v>1.9775715304498489</v>
          </cell>
          <cell r="N768">
            <v>4.7291102636193614</v>
          </cell>
          <cell r="O768">
            <v>4.846133980412473</v>
          </cell>
          <cell r="P768">
            <v>4.7312065525225426</v>
          </cell>
        </row>
        <row r="769">
          <cell r="B769" t="str">
            <v>ENUC_AMR_GOE_IV</v>
          </cell>
          <cell r="C769" t="str">
            <v>VAR_ncap</v>
          </cell>
          <cell r="D769" t="str">
            <v>-</v>
          </cell>
          <cell r="M769">
            <v>7.8664816685655198E-2</v>
          </cell>
          <cell r="N769">
            <v>3.6307291943248399E-7</v>
          </cell>
          <cell r="O769">
            <v>7.02211933481995E-7</v>
          </cell>
        </row>
        <row r="770">
          <cell r="B770" t="str">
            <v>ENUC_AMR_GOE_IV</v>
          </cell>
          <cell r="C770" t="str">
            <v>VAR_cap</v>
          </cell>
          <cell r="D770" t="str">
            <v>-</v>
          </cell>
          <cell r="M770">
            <v>3.20564048497139E-2</v>
          </cell>
          <cell r="N770">
            <v>7.8664816685655198E-2</v>
          </cell>
          <cell r="O770">
            <v>7.8665402369371001E-2</v>
          </cell>
          <cell r="P770">
            <v>7.8665881970508097E-2</v>
          </cell>
        </row>
        <row r="771">
          <cell r="B771" t="str">
            <v>D-DH2</v>
          </cell>
          <cell r="C771" t="str">
            <v>VAR_fout</v>
          </cell>
          <cell r="D771" t="str">
            <v>H2</v>
          </cell>
          <cell r="H771">
            <v>3.3347136042142132E-6</v>
          </cell>
          <cell r="I771">
            <v>3.5643174988652743E-4</v>
          </cell>
          <cell r="J771">
            <v>1.1220372438463994E-3</v>
          </cell>
          <cell r="K771">
            <v>1.2802992971250185E-3</v>
          </cell>
          <cell r="L771">
            <v>1.3204219047707572E-3</v>
          </cell>
          <cell r="M771">
            <v>1.3212598046718081E-3</v>
          </cell>
          <cell r="N771">
            <v>1.3239880257425395E-3</v>
          </cell>
          <cell r="O771">
            <v>9.0452280709676046E-4</v>
          </cell>
          <cell r="P771">
            <v>1.1699586555942447E-3</v>
          </cell>
        </row>
        <row r="772">
          <cell r="B772" t="str">
            <v>D-DH2</v>
          </cell>
          <cell r="C772" t="str">
            <v>VAR_fin</v>
          </cell>
          <cell r="D772" t="str">
            <v>H2_E</v>
          </cell>
          <cell r="H772">
            <v>3.368397580014358E-6</v>
          </cell>
          <cell r="I772">
            <v>3.6003207059245206E-4</v>
          </cell>
          <cell r="J772">
            <v>1.1333709533802023E-3</v>
          </cell>
          <cell r="K772">
            <v>1.2932316132575955E-3</v>
          </cell>
          <cell r="L772">
            <v>1.3337594997684422E-3</v>
          </cell>
          <cell r="M772">
            <v>1.3346058633048558E-3</v>
          </cell>
          <cell r="N772">
            <v>1.3373616421641801E-3</v>
          </cell>
          <cell r="O772">
            <v>9.1365940110783948E-4</v>
          </cell>
          <cell r="P772">
            <v>1.1817764197921646E-3</v>
          </cell>
        </row>
        <row r="773">
          <cell r="B773" t="str">
            <v>D-DH2</v>
          </cell>
          <cell r="C773" t="str">
            <v>VAR_ncap</v>
          </cell>
          <cell r="D773" t="str">
            <v>-</v>
          </cell>
          <cell r="H773">
            <v>2.4657676018387199E-5</v>
          </cell>
          <cell r="I773">
            <v>5.5198480375375297E-5</v>
          </cell>
          <cell r="J773">
            <v>1.7669635903633401E-4</v>
          </cell>
          <cell r="K773">
            <v>2.2196788763899199E-5</v>
          </cell>
          <cell r="L773">
            <v>1.1050312470418601E-4</v>
          </cell>
          <cell r="M773">
            <v>5.1883953779932501E-6</v>
          </cell>
          <cell r="N773">
            <v>7.7130944575780794E-5</v>
          </cell>
          <cell r="O773">
            <v>1.23174606231618E-5</v>
          </cell>
          <cell r="P773">
            <v>3.9958967751698999E-4</v>
          </cell>
        </row>
        <row r="774">
          <cell r="B774" t="str">
            <v>D-DH2</v>
          </cell>
          <cell r="C774" t="str">
            <v>VAR_cap</v>
          </cell>
          <cell r="D774" t="str">
            <v>-</v>
          </cell>
          <cell r="H774">
            <v>2.4657676018387199E-5</v>
          </cell>
          <cell r="I774">
            <v>7.9856156393762499E-5</v>
          </cell>
          <cell r="J774">
            <v>2.5655251543009602E-4</v>
          </cell>
          <cell r="K774">
            <v>2.7874930419399498E-4</v>
          </cell>
          <cell r="L774">
            <v>3.8925242889818198E-4</v>
          </cell>
          <cell r="M774">
            <v>3.9444082427617501E-4</v>
          </cell>
          <cell r="N774">
            <v>4.7157176885195601E-4</v>
          </cell>
          <cell r="O774">
            <v>4.7607240860521701E-4</v>
          </cell>
          <cell r="P774">
            <v>8.5882123097372101E-4</v>
          </cell>
        </row>
        <row r="775">
          <cell r="B775" t="str">
            <v>D-SBIO</v>
          </cell>
          <cell r="C775" t="str">
            <v>VAR_fout</v>
          </cell>
          <cell r="D775" t="str">
            <v>SBIO</v>
          </cell>
          <cell r="E775">
            <v>4.0476723316821221</v>
          </cell>
          <cell r="F775">
            <v>4.5833661844583968</v>
          </cell>
          <cell r="G775">
            <v>4.5977211288781303</v>
          </cell>
          <cell r="H775">
            <v>4.54961878742286</v>
          </cell>
          <cell r="I775">
            <v>6.0999100854645265</v>
          </cell>
          <cell r="J775">
            <v>7.843753370060548</v>
          </cell>
          <cell r="K775">
            <v>14.626308956512519</v>
          </cell>
          <cell r="L775">
            <v>19.724178923346532</v>
          </cell>
          <cell r="M775">
            <v>23.754497775565788</v>
          </cell>
          <cell r="N775">
            <v>30.590853843819868</v>
          </cell>
          <cell r="O775">
            <v>31.653959410314098</v>
          </cell>
          <cell r="P775">
            <v>31.654536088461178</v>
          </cell>
        </row>
        <row r="776">
          <cell r="B776" t="str">
            <v>D-SBIO</v>
          </cell>
          <cell r="C776" t="str">
            <v>VAR_fin</v>
          </cell>
          <cell r="D776" t="str">
            <v>BIO</v>
          </cell>
          <cell r="E776">
            <v>4.0476723316821221</v>
          </cell>
          <cell r="F776">
            <v>4.5833661844583968</v>
          </cell>
          <cell r="G776">
            <v>4.5977211288781303</v>
          </cell>
          <cell r="H776">
            <v>4.54961878742286</v>
          </cell>
          <cell r="I776">
            <v>6.0999100854645265</v>
          </cell>
          <cell r="J776">
            <v>7.843753370060548</v>
          </cell>
          <cell r="K776">
            <v>14.626308956512519</v>
          </cell>
          <cell r="L776">
            <v>19.724178923346532</v>
          </cell>
          <cell r="M776">
            <v>23.754497775565788</v>
          </cell>
          <cell r="N776">
            <v>30.590853843819868</v>
          </cell>
          <cell r="O776">
            <v>31.653959410314098</v>
          </cell>
          <cell r="P776">
            <v>31.654536088461178</v>
          </cell>
        </row>
        <row r="777">
          <cell r="B777" t="str">
            <v>SCOM-CHPBIO</v>
          </cell>
          <cell r="C777" t="str">
            <v>VAR_fout</v>
          </cell>
          <cell r="D777" t="str">
            <v>SCOM_LTH_CHPBIO</v>
          </cell>
          <cell r="E777">
            <v>1.4243091839913171</v>
          </cell>
          <cell r="F777">
            <v>1.5783396211976675</v>
          </cell>
          <cell r="G777">
            <v>1.4830354095727802</v>
          </cell>
          <cell r="H777">
            <v>1.3240211054326432</v>
          </cell>
          <cell r="I777">
            <v>1.52024641131919</v>
          </cell>
          <cell r="J777">
            <v>1.3128035664411679</v>
          </cell>
          <cell r="K777">
            <v>2.908931933996707</v>
          </cell>
          <cell r="L777">
            <v>3.1197474944657766</v>
          </cell>
          <cell r="M777">
            <v>3.748427761327275</v>
          </cell>
          <cell r="N777">
            <v>4.8180961995324578</v>
          </cell>
          <cell r="O777">
            <v>4.9864493905591152</v>
          </cell>
          <cell r="P777">
            <v>4.9869489716721223</v>
          </cell>
        </row>
        <row r="778">
          <cell r="B778" t="str">
            <v>SCOM-CHPBIO</v>
          </cell>
          <cell r="C778" t="str">
            <v>VAR_fout</v>
          </cell>
          <cell r="D778" t="str">
            <v>SCOM_KEV_BIO_ELC_CHP</v>
          </cell>
          <cell r="E778">
            <v>0.95936515910894415</v>
          </cell>
          <cell r="F778">
            <v>1.1059547725578278</v>
          </cell>
          <cell r="G778">
            <v>1.1060283951214467</v>
          </cell>
          <cell r="H778">
            <v>1.1060293669229284</v>
          </cell>
          <cell r="I778">
            <v>1.4432869015830698</v>
          </cell>
          <cell r="J778">
            <v>1.4433537656934574</v>
          </cell>
          <cell r="K778">
            <v>3.1982072325275448</v>
          </cell>
          <cell r="L778">
            <v>3.4299870972750695</v>
          </cell>
          <cell r="M778">
            <v>4.1211857303284294</v>
          </cell>
          <cell r="N778">
            <v>5.2972260822846771</v>
          </cell>
          <cell r="O778">
            <v>5.4823209574407219</v>
          </cell>
          <cell r="P778">
            <v>5.4828702188071317</v>
          </cell>
        </row>
        <row r="779">
          <cell r="B779" t="str">
            <v>SCOM-CHPBIO</v>
          </cell>
          <cell r="C779" t="str">
            <v>VAR_fin</v>
          </cell>
          <cell r="D779" t="str">
            <v>SBIO</v>
          </cell>
          <cell r="E779">
            <v>2.6453944236376388</v>
          </cell>
          <cell r="F779">
            <v>3.0461424503921415</v>
          </cell>
          <cell r="G779">
            <v>3.0420171438536161</v>
          </cell>
          <cell r="H779">
            <v>3.0330304671996147</v>
          </cell>
          <cell r="I779">
            <v>3.9113170208035397</v>
          </cell>
          <cell r="J779">
            <v>3.8606101027444351</v>
          </cell>
          <cell r="K779">
            <v>8.4256465878093607</v>
          </cell>
          <cell r="L779">
            <v>8.9061769432008653</v>
          </cell>
          <cell r="M779">
            <v>10.726005067987467</v>
          </cell>
          <cell r="N779">
            <v>13.81286991156006</v>
          </cell>
          <cell r="O779">
            <v>14.292896053090837</v>
          </cell>
          <cell r="P779">
            <v>14.293198810647256</v>
          </cell>
        </row>
        <row r="780">
          <cell r="B780" t="str">
            <v>SCOM-CHPBIO</v>
          </cell>
          <cell r="C780" t="str">
            <v>VAR_ncap</v>
          </cell>
          <cell r="D780" t="str">
            <v>-</v>
          </cell>
          <cell r="F780">
            <v>2.6188592158301299E-2</v>
          </cell>
          <cell r="G780">
            <v>6.5725405701520002E-3</v>
          </cell>
          <cell r="H780">
            <v>1.2221888909850801E-2</v>
          </cell>
          <cell r="I780">
            <v>6.99256404088128E-2</v>
          </cell>
          <cell r="J780">
            <v>2.9396950111364201E-2</v>
          </cell>
          <cell r="K780">
            <v>0.145745022130848</v>
          </cell>
          <cell r="L780">
            <v>8.7686470510707201E-2</v>
          </cell>
          <cell r="M780">
            <v>9.7154653937200394E-2</v>
          </cell>
          <cell r="N780">
            <v>0.22106735842538999</v>
          </cell>
          <cell r="O780">
            <v>0.11713786545593401</v>
          </cell>
          <cell r="P780">
            <v>8.1928795267510096E-2</v>
          </cell>
        </row>
        <row r="781">
          <cell r="B781" t="str">
            <v>SCOM-CHPBIO</v>
          </cell>
          <cell r="C781" t="str">
            <v>VAR_cap</v>
          </cell>
          <cell r="D781" t="str">
            <v>-</v>
          </cell>
          <cell r="E781">
            <v>7.35127E-2</v>
          </cell>
          <cell r="F781">
            <v>8.4745494065710872E-2</v>
          </cell>
          <cell r="G781">
            <v>8.4751212044905724E-2</v>
          </cell>
          <cell r="H781">
            <v>8.4751482864389646E-2</v>
          </cell>
          <cell r="I781">
            <v>0.11059428251176302</v>
          </cell>
          <cell r="J781">
            <v>0.11059911782327116</v>
          </cell>
          <cell r="K781">
            <v>0.24506738346018958</v>
          </cell>
          <cell r="L781">
            <v>0.26282805931353803</v>
          </cell>
          <cell r="M781">
            <v>0.31579210953945352</v>
          </cell>
          <cell r="N781">
            <v>0.40590808065155259</v>
          </cell>
          <cell r="O781">
            <v>0.42009117744120877</v>
          </cell>
          <cell r="P781">
            <v>0.42013354363214062</v>
          </cell>
        </row>
        <row r="782">
          <cell r="B782" t="str">
            <v>ENUC_AMR_BEZ_II</v>
          </cell>
          <cell r="C782" t="str">
            <v>VAR_fout</v>
          </cell>
          <cell r="D782" t="str">
            <v>HTH</v>
          </cell>
          <cell r="M782">
            <v>0.81195064010976126</v>
          </cell>
          <cell r="N782">
            <v>1.9508396555170413</v>
          </cell>
          <cell r="O782">
            <v>1.77695638162971</v>
          </cell>
          <cell r="P782">
            <v>1.8234350295923283</v>
          </cell>
        </row>
        <row r="783">
          <cell r="B783" t="str">
            <v>ENUC_AMR_BEZ_II</v>
          </cell>
          <cell r="C783" t="str">
            <v>VAR_fout</v>
          </cell>
          <cell r="D783" t="str">
            <v>ELC</v>
          </cell>
          <cell r="M783">
            <v>2.8646704795157256</v>
          </cell>
          <cell r="N783">
            <v>6.9579683907255916</v>
          </cell>
          <cell r="O783">
            <v>6.9782596868604285</v>
          </cell>
          <cell r="P783">
            <v>7.013789168295502</v>
          </cell>
        </row>
        <row r="784">
          <cell r="B784" t="str">
            <v>ENUC_AMR_BEZ_II</v>
          </cell>
          <cell r="C784" t="str">
            <v>VAR_fin</v>
          </cell>
          <cell r="D784" t="str">
            <v>URN</v>
          </cell>
          <cell r="M784">
            <v>7.228873800869426</v>
          </cell>
          <cell r="N784">
            <v>17.535502932478206</v>
          </cell>
          <cell r="O784">
            <v>17.395791964799628</v>
          </cell>
          <cell r="P784">
            <v>17.524138963863553</v>
          </cell>
        </row>
        <row r="785">
          <cell r="B785" t="str">
            <v>ENUC_AMR_BEZ_II</v>
          </cell>
          <cell r="C785" t="str">
            <v>VAR_ncap</v>
          </cell>
          <cell r="D785" t="str">
            <v>-</v>
          </cell>
          <cell r="M785">
            <v>0.29999065450571299</v>
          </cell>
          <cell r="N785">
            <v>2.2955409896529601E-7</v>
          </cell>
          <cell r="O785">
            <v>3.84259899268175E-7</v>
          </cell>
        </row>
        <row r="786">
          <cell r="B786" t="str">
            <v>ENUC_AMR_BEZ_II</v>
          </cell>
          <cell r="C786" t="str">
            <v>VAR_cap</v>
          </cell>
          <cell r="D786" t="str">
            <v>-</v>
          </cell>
          <cell r="M786">
            <v>0.122248068159795</v>
          </cell>
          <cell r="N786">
            <v>0.29999065450571299</v>
          </cell>
          <cell r="O786">
            <v>0.29999100587546002</v>
          </cell>
          <cell r="P786">
            <v>0.29999126831971101</v>
          </cell>
        </row>
        <row r="787">
          <cell r="B787" t="str">
            <v>ENUC_AMR_BMGL_II</v>
          </cell>
          <cell r="C787" t="str">
            <v>VAR_fout</v>
          </cell>
          <cell r="D787" t="str">
            <v>HTH</v>
          </cell>
          <cell r="M787">
            <v>6.1251215007763371E-2</v>
          </cell>
          <cell r="N787">
            <v>0.1607887836833356</v>
          </cell>
          <cell r="O787">
            <v>0.14308199255100962</v>
          </cell>
          <cell r="P787">
            <v>0.11693517343498416</v>
          </cell>
        </row>
        <row r="788">
          <cell r="B788" t="str">
            <v>ENUC_AMR_BMGL_II</v>
          </cell>
          <cell r="C788" t="str">
            <v>VAR_fout</v>
          </cell>
          <cell r="D788" t="str">
            <v>ELC</v>
          </cell>
          <cell r="M788">
            <v>0.16488654739681904</v>
          </cell>
          <cell r="N788">
            <v>0.38699693477955016</v>
          </cell>
          <cell r="O788">
            <v>0.40691298788651548</v>
          </cell>
          <cell r="P788">
            <v>0.40822432615872889</v>
          </cell>
        </row>
        <row r="789">
          <cell r="B789" t="str">
            <v>ENUC_AMR_BMGL_II</v>
          </cell>
          <cell r="C789" t="str">
            <v>VAR_fin</v>
          </cell>
          <cell r="D789" t="str">
            <v>URN</v>
          </cell>
          <cell r="M789">
            <v>0.43150914939007962</v>
          </cell>
          <cell r="N789">
            <v>1.0308746189409737</v>
          </cell>
          <cell r="O789">
            <v>1.056314443288465</v>
          </cell>
          <cell r="P789">
            <v>1.0314346402709746</v>
          </cell>
        </row>
        <row r="790">
          <cell r="B790" t="str">
            <v>ENUC_AMR_BMGL_II</v>
          </cell>
          <cell r="C790" t="str">
            <v>VAR_ncap</v>
          </cell>
          <cell r="D790" t="str">
            <v>-</v>
          </cell>
          <cell r="M790">
            <v>1.7139155986191298E-2</v>
          </cell>
          <cell r="N790">
            <v>3.74953028061297E-7</v>
          </cell>
          <cell r="O790">
            <v>7.0781278555496204E-7</v>
          </cell>
        </row>
        <row r="791">
          <cell r="B791" t="str">
            <v>ENUC_AMR_BMGL_II</v>
          </cell>
          <cell r="C791" t="str">
            <v>VAR_cap</v>
          </cell>
          <cell r="D791" t="str">
            <v>-</v>
          </cell>
          <cell r="M791">
            <v>6.9843132702035E-3</v>
          </cell>
          <cell r="N791">
            <v>1.7139155986191298E-2</v>
          </cell>
          <cell r="O791">
            <v>1.7139755325562601E-2</v>
          </cell>
          <cell r="P791">
            <v>1.7140238752004999E-2</v>
          </cell>
        </row>
        <row r="792">
          <cell r="B792" t="str">
            <v>SCOM-CHPHFC</v>
          </cell>
          <cell r="C792" t="str">
            <v>VAR_fout</v>
          </cell>
          <cell r="D792" t="str">
            <v>SCOM_KEV_HFC_ELC_CHP</v>
          </cell>
          <cell r="H792">
            <v>1.167977495332232E-3</v>
          </cell>
          <cell r="I792">
            <v>2.984652341344081E-3</v>
          </cell>
          <cell r="J792">
            <v>1.5377672504737063E-2</v>
          </cell>
          <cell r="K792">
            <v>6.0366294644802344E-2</v>
          </cell>
          <cell r="L792">
            <v>9.0524244477773172E-2</v>
          </cell>
          <cell r="M792">
            <v>7.4390328090462712E-2</v>
          </cell>
          <cell r="N792">
            <v>2.8677243535230667E-2</v>
          </cell>
          <cell r="O792">
            <v>9.4505014439309996E-3</v>
          </cell>
          <cell r="P792">
            <v>2.4830612420623465E-2</v>
          </cell>
        </row>
        <row r="793">
          <cell r="B793" t="str">
            <v>SCOM-CHPHFC</v>
          </cell>
          <cell r="C793" t="str">
            <v>VAR_fout</v>
          </cell>
          <cell r="D793" t="str">
            <v>SCOM_LTH_CHPHFC</v>
          </cell>
          <cell r="H793">
            <v>8.7905674648688947E-4</v>
          </cell>
          <cell r="I793">
            <v>2.0627845762642184E-3</v>
          </cell>
          <cell r="J793">
            <v>9.6822382437233446E-3</v>
          </cell>
          <cell r="K793">
            <v>3.6064243660582418E-2</v>
          </cell>
          <cell r="L793">
            <v>5.1165877313523983E-2</v>
          </cell>
          <cell r="M793">
            <v>4.2046707181565904E-2</v>
          </cell>
          <cell r="N793">
            <v>1.6208876780782564E-2</v>
          </cell>
          <cell r="O793">
            <v>5.3415877726566531E-3</v>
          </cell>
          <cell r="P793">
            <v>1.4034693976874138E-2</v>
          </cell>
        </row>
        <row r="794">
          <cell r="B794" t="str">
            <v>SCOM-CHPHFC</v>
          </cell>
          <cell r="C794" t="str">
            <v>VAR_fin</v>
          </cell>
          <cell r="D794" t="str">
            <v>RSH2</v>
          </cell>
          <cell r="H794">
            <v>2.4588999901731219E-3</v>
          </cell>
          <cell r="I794">
            <v>5.8810883573282378E-3</v>
          </cell>
          <cell r="J794">
            <v>2.8477171305068667E-2</v>
          </cell>
          <cell r="K794">
            <v>0.10828034913865899</v>
          </cell>
          <cell r="L794">
            <v>0.15743346865699681</v>
          </cell>
          <cell r="M794">
            <v>0.12937448363558726</v>
          </cell>
          <cell r="N794">
            <v>4.9873467017792474E-2</v>
          </cell>
          <cell r="O794">
            <v>1.6435654685097386E-2</v>
          </cell>
          <cell r="P794">
            <v>4.318367377499735E-2</v>
          </cell>
        </row>
        <row r="795">
          <cell r="B795" t="str">
            <v>SCOM-CHPHFC</v>
          </cell>
          <cell r="C795" t="str">
            <v>VAR_ncap</v>
          </cell>
          <cell r="D795" t="str">
            <v>-</v>
          </cell>
          <cell r="H795">
            <v>7.1316887963260097E-5</v>
          </cell>
          <cell r="I795">
            <v>1.0416295337203201E-4</v>
          </cell>
          <cell r="J795">
            <v>7.4057929893704298E-4</v>
          </cell>
          <cell r="K795">
            <v>2.7024813657501499E-3</v>
          </cell>
          <cell r="L795">
            <v>3.20804740876469E-3</v>
          </cell>
          <cell r="M795">
            <v>1.71639719958351E-7</v>
          </cell>
          <cell r="N795">
            <v>7.0296119984841303E-7</v>
          </cell>
          <cell r="O795">
            <v>9.4202458314536798E-5</v>
          </cell>
          <cell r="P795">
            <v>1.65888865170593E-3</v>
          </cell>
        </row>
        <row r="796">
          <cell r="B796" t="str">
            <v>SCOM-CHPHFC</v>
          </cell>
          <cell r="C796" t="str">
            <v>VAR_cap</v>
          </cell>
          <cell r="D796" t="str">
            <v>-</v>
          </cell>
          <cell r="H796">
            <v>7.1316887963260097E-5</v>
          </cell>
          <cell r="I796">
            <v>1.7545773927797638E-4</v>
          </cell>
          <cell r="J796">
            <v>9.023841830151858E-4</v>
          </cell>
          <cell r="K796">
            <v>3.5471625091089047E-3</v>
          </cell>
          <cell r="L796">
            <v>6.6509842509859494E-3</v>
          </cell>
          <cell r="M796">
            <v>5.6647263232751819E-3</v>
          </cell>
          <cell r="N796">
            <v>3.2072296728074485E-3</v>
          </cell>
          <cell r="O796">
            <v>6.6270712605056886E-4</v>
          </cell>
          <cell r="P796">
            <v>1.7534844362862908E-3</v>
          </cell>
        </row>
        <row r="797">
          <cell r="B797" t="str">
            <v>RHES-EBAT</v>
          </cell>
          <cell r="C797" t="str">
            <v>VAR_fout</v>
          </cell>
          <cell r="D797" t="str">
            <v>RHES_ELC</v>
          </cell>
          <cell r="E797">
            <v>7.638486013316375E-4</v>
          </cell>
          <cell r="F797">
            <v>7.634868951821932E-4</v>
          </cell>
          <cell r="G797">
            <v>7.66162295543579E-4</v>
          </cell>
          <cell r="H797">
            <v>2.4900229163760203E-2</v>
          </cell>
          <cell r="I797">
            <v>3.9603137175567092E-2</v>
          </cell>
          <cell r="J797">
            <v>3.2980595233129566E-2</v>
          </cell>
          <cell r="K797">
            <v>4.4368423777220466E-2</v>
          </cell>
          <cell r="L797">
            <v>5.6158901333162231E-2</v>
          </cell>
          <cell r="M797">
            <v>4.7695116745154517E-2</v>
          </cell>
          <cell r="N797">
            <v>7.2665509091833017E-2</v>
          </cell>
          <cell r="O797">
            <v>6.559997404856964E-2</v>
          </cell>
          <cell r="P797">
            <v>8.4647633087140517E-2</v>
          </cell>
        </row>
        <row r="798">
          <cell r="B798" t="str">
            <v>RHES-EBAT</v>
          </cell>
          <cell r="C798" t="str">
            <v>VAR_fout</v>
          </cell>
          <cell r="D798" t="str">
            <v>AUX_RHES-EBAT_OUT</v>
          </cell>
          <cell r="E798">
            <v>7.6384860133163837E-4</v>
          </cell>
          <cell r="F798">
            <v>7.6348689518219417E-4</v>
          </cell>
          <cell r="G798">
            <v>7.6616229554357987E-4</v>
          </cell>
          <cell r="H798">
            <v>2.4900229163760227E-2</v>
          </cell>
          <cell r="I798">
            <v>3.9603137175567141E-2</v>
          </cell>
          <cell r="J798">
            <v>3.29805952331296E-2</v>
          </cell>
          <cell r="K798">
            <v>4.4368423777220521E-2</v>
          </cell>
          <cell r="L798">
            <v>5.6158901333162294E-2</v>
          </cell>
          <cell r="M798">
            <v>4.7695116745154552E-2</v>
          </cell>
          <cell r="N798">
            <v>7.2665509091833044E-2</v>
          </cell>
          <cell r="O798">
            <v>6.5599974048569723E-2</v>
          </cell>
          <cell r="P798">
            <v>8.4647633087140628E-2</v>
          </cell>
        </row>
        <row r="799">
          <cell r="B799" t="str">
            <v>RHES-EBAT</v>
          </cell>
          <cell r="C799" t="str">
            <v>VAR_fin</v>
          </cell>
          <cell r="D799" t="str">
            <v>RHES_ELC</v>
          </cell>
          <cell r="E799">
            <v>8.4492267084078105E-4</v>
          </cell>
          <cell r="F799">
            <v>8.4457665684480726E-4</v>
          </cell>
          <cell r="G799">
            <v>8.4742723678865736E-4</v>
          </cell>
          <cell r="H799">
            <v>2.7536404517747168E-2</v>
          </cell>
          <cell r="I799">
            <v>4.3795832592246099E-2</v>
          </cell>
          <cell r="J799">
            <v>3.6472115790289535E-2</v>
          </cell>
          <cell r="K799">
            <v>4.9065543906595691E-2</v>
          </cell>
          <cell r="L799">
            <v>6.2104482103116893E-2</v>
          </cell>
          <cell r="M799">
            <v>5.274450340987253E-2</v>
          </cell>
          <cell r="N799">
            <v>8.0358700111422682E-2</v>
          </cell>
          <cell r="O799">
            <v>7.2544959326854813E-2</v>
          </cell>
          <cell r="P799">
            <v>9.3609332701044198E-2</v>
          </cell>
        </row>
        <row r="800">
          <cell r="B800" t="str">
            <v>RHES-EBAT</v>
          </cell>
          <cell r="C800" t="str">
            <v>VAR_fin</v>
          </cell>
          <cell r="D800" t="str">
            <v>AUX_RHES-EBAT_IN</v>
          </cell>
          <cell r="E800">
            <v>8.4492267084078105E-4</v>
          </cell>
          <cell r="F800">
            <v>8.4457665684480726E-4</v>
          </cell>
          <cell r="G800">
            <v>8.4742723678865736E-4</v>
          </cell>
          <cell r="H800">
            <v>2.7536404517747168E-2</v>
          </cell>
          <cell r="I800">
            <v>4.3795832592246099E-2</v>
          </cell>
          <cell r="J800">
            <v>3.6472115790289535E-2</v>
          </cell>
          <cell r="K800">
            <v>4.9065543906595691E-2</v>
          </cell>
          <cell r="L800">
            <v>6.2104482103116893E-2</v>
          </cell>
          <cell r="M800">
            <v>5.274450340987253E-2</v>
          </cell>
          <cell r="N800">
            <v>8.0358700111422682E-2</v>
          </cell>
          <cell r="O800">
            <v>7.2544959326854813E-2</v>
          </cell>
          <cell r="P800">
            <v>9.3609332701044198E-2</v>
          </cell>
        </row>
        <row r="801">
          <cell r="B801" t="str">
            <v>RHES-EBAT</v>
          </cell>
          <cell r="C801" t="str">
            <v>VAR_ncap</v>
          </cell>
          <cell r="D801" t="str">
            <v>-</v>
          </cell>
          <cell r="E801">
            <v>3.10081885195625E-4</v>
          </cell>
          <cell r="F801">
            <v>4.9154974771877798E-7</v>
          </cell>
          <cell r="G801">
            <v>1.4031723673223299E-6</v>
          </cell>
          <cell r="H801">
            <v>1.7597832380458301E-2</v>
          </cell>
          <cell r="I801">
            <v>6.4196530636240299E-4</v>
          </cell>
          <cell r="J801">
            <v>1.13268860503724E-2</v>
          </cell>
          <cell r="K801">
            <v>9.7777167677670293E-3</v>
          </cell>
          <cell r="L801">
            <v>9.3853221216338E-3</v>
          </cell>
          <cell r="M801">
            <v>5.75953228950387E-3</v>
          </cell>
          <cell r="N801">
            <v>1.9198969546980599E-2</v>
          </cell>
          <cell r="O801">
            <v>6.6533775262038698E-3</v>
          </cell>
          <cell r="P801">
            <v>1.5067164321144501E-2</v>
          </cell>
        </row>
        <row r="802">
          <cell r="B802" t="str">
            <v>RHES-EBAT</v>
          </cell>
          <cell r="C802" t="str">
            <v>VAR_cap</v>
          </cell>
          <cell r="D802" t="str">
            <v>-</v>
          </cell>
          <cell r="E802">
            <v>3.1280513366107969E-4</v>
          </cell>
          <cell r="F802">
            <v>3.1314888543159351E-4</v>
          </cell>
          <cell r="G802">
            <v>3.1424302772190574E-4</v>
          </cell>
          <cell r="H802">
            <v>1.7826087876020021E-2</v>
          </cell>
          <cell r="I802">
            <v>1.8240255120390937E-2</v>
          </cell>
          <cell r="J802">
            <v>1.5664048745113422E-2</v>
          </cell>
          <cell r="K802">
            <v>2.1437153194723158E-2</v>
          </cell>
          <cell r="L802">
            <v>2.3031618495983834E-2</v>
          </cell>
          <cell r="M802">
            <v>1.9542554440643359E-2</v>
          </cell>
          <cell r="N802">
            <v>2.9766243544815156E-2</v>
          </cell>
          <cell r="O802">
            <v>2.6871874952399226E-2</v>
          </cell>
          <cell r="P802">
            <v>3.4676072764180062E-2</v>
          </cell>
        </row>
        <row r="803">
          <cell r="B803" t="str">
            <v>D-INGA</v>
          </cell>
          <cell r="C803" t="str">
            <v>VAR_fout</v>
          </cell>
          <cell r="D803" t="str">
            <v>CO2</v>
          </cell>
          <cell r="E803">
            <v>2101.7172099296599</v>
          </cell>
          <cell r="F803">
            <v>1758.2311313919799</v>
          </cell>
          <cell r="G803">
            <v>1821.1186949835501</v>
          </cell>
          <cell r="H803">
            <v>1361.94483448183</v>
          </cell>
          <cell r="I803">
            <v>639.80866037515898</v>
          </cell>
          <cell r="J803">
            <v>638.27958386790897</v>
          </cell>
          <cell r="K803">
            <v>519.31606166868698</v>
          </cell>
          <cell r="L803">
            <v>134.242395835466</v>
          </cell>
          <cell r="M803">
            <v>5.2266298899995497E-2</v>
          </cell>
          <cell r="N803">
            <v>4.2050832817790998E-2</v>
          </cell>
          <cell r="O803">
            <v>1.95722329597144E-2</v>
          </cell>
          <cell r="P803">
            <v>8.0377824497095598E-3</v>
          </cell>
        </row>
        <row r="804">
          <cell r="B804" t="str">
            <v>D-INGA</v>
          </cell>
          <cell r="C804" t="str">
            <v>VAR_fout</v>
          </cell>
          <cell r="D804" t="str">
            <v>IH2</v>
          </cell>
          <cell r="H804">
            <v>3.5979826746755803E-2</v>
          </cell>
          <cell r="I804">
            <v>0.43025555433699825</v>
          </cell>
          <cell r="J804">
            <v>0.4291509203423915</v>
          </cell>
          <cell r="K804">
            <v>0.36333862697292585</v>
          </cell>
          <cell r="L804">
            <v>0.15273149616481382</v>
          </cell>
          <cell r="M804">
            <v>7.9700492273159923E-2</v>
          </cell>
          <cell r="N804">
            <v>7.8454096198482023E-2</v>
          </cell>
          <cell r="O804">
            <v>7.9149186079171874E-2</v>
          </cell>
          <cell r="P804">
            <v>7.6533156745744374E-2</v>
          </cell>
        </row>
        <row r="805">
          <cell r="B805" t="str">
            <v>D-INGA</v>
          </cell>
          <cell r="C805" t="str">
            <v>VAR_fout</v>
          </cell>
          <cell r="D805" t="str">
            <v>INGA</v>
          </cell>
          <cell r="E805">
            <v>37.471389008259244</v>
          </cell>
          <cell r="F805">
            <v>31.075064870277458</v>
          </cell>
          <cell r="G805">
            <v>34.384238486864099</v>
          </cell>
          <cell r="H805">
            <v>26.64587082825539</v>
          </cell>
          <cell r="I805">
            <v>13.881551492352227</v>
          </cell>
          <cell r="J805">
            <v>13.854498019637616</v>
          </cell>
          <cell r="K805">
            <v>11.752124435617631</v>
          </cell>
          <cell r="L805">
            <v>4.9469891830881929</v>
          </cell>
          <cell r="M805">
            <v>2.5755434903246424</v>
          </cell>
          <cell r="N805">
            <v>2.5753644898810863</v>
          </cell>
          <cell r="O805">
            <v>2.5749640056641727</v>
          </cell>
          <cell r="P805">
            <v>2.5747828417977741</v>
          </cell>
        </row>
        <row r="806">
          <cell r="B806" t="str">
            <v>D-INGA</v>
          </cell>
          <cell r="C806" t="str">
            <v>VAR_fin</v>
          </cell>
          <cell r="D806" t="str">
            <v>NGA</v>
          </cell>
          <cell r="E806">
            <v>37.264489537759971</v>
          </cell>
          <cell r="F806">
            <v>31.174310840283379</v>
          </cell>
          <cell r="G806">
            <v>32.28933856353806</v>
          </cell>
          <cell r="H806">
            <v>24.14795805818849</v>
          </cell>
          <cell r="I806">
            <v>11.344125183956724</v>
          </cell>
          <cell r="J806">
            <v>11.317013898367172</v>
          </cell>
          <cell r="K806">
            <v>9.2077315898703365</v>
          </cell>
          <cell r="L806">
            <v>2.3801843233238618</v>
          </cell>
          <cell r="M806">
            <v>9.2670742730488421E-4</v>
          </cell>
          <cell r="N806">
            <v>7.4558214215941527E-4</v>
          </cell>
          <cell r="O806">
            <v>3.4702540708713526E-4</v>
          </cell>
          <cell r="P806">
            <v>1.4251387322180062E-4</v>
          </cell>
        </row>
        <row r="807">
          <cell r="B807" t="str">
            <v>D-INGA</v>
          </cell>
          <cell r="C807" t="str">
            <v>VAR_fin</v>
          </cell>
          <cell r="D807" t="str">
            <v>BNGA</v>
          </cell>
          <cell r="E807">
            <v>0.32660630381700562</v>
          </cell>
          <cell r="F807">
            <v>4.9655174780157759E-5</v>
          </cell>
          <cell r="G807">
            <v>2.2047444851167448</v>
          </cell>
          <cell r="H807">
            <v>2.5831771239217662</v>
          </cell>
          <cell r="I807">
            <v>2.5831777677437193</v>
          </cell>
          <cell r="J807">
            <v>2.5831779644326369</v>
          </cell>
          <cell r="K807">
            <v>2.583178165497817</v>
          </cell>
          <cell r="L807">
            <v>2.5831749272452438</v>
          </cell>
          <cell r="M807">
            <v>2.5831453365155843</v>
          </cell>
          <cell r="N807">
            <v>2.5831458881041676</v>
          </cell>
          <cell r="O807">
            <v>2.5831382039686837</v>
          </cell>
          <cell r="P807">
            <v>2.5831469828969085</v>
          </cell>
        </row>
        <row r="808">
          <cell r="B808" t="str">
            <v>D-INGA</v>
          </cell>
          <cell r="C808" t="str">
            <v>VAR_fin</v>
          </cell>
          <cell r="D808" t="str">
            <v>H2</v>
          </cell>
          <cell r="H808">
            <v>3.5979826942958863E-2</v>
          </cell>
          <cell r="I808">
            <v>0.43025555463182336</v>
          </cell>
          <cell r="J808">
            <v>0.42915092034239444</v>
          </cell>
          <cell r="K808">
            <v>0.36333718080231103</v>
          </cell>
          <cell r="L808">
            <v>0.15273137331501618</v>
          </cell>
          <cell r="M808">
            <v>7.9700423185389779E-2</v>
          </cell>
          <cell r="N808">
            <v>7.8453865309603923E-2</v>
          </cell>
          <cell r="O808">
            <v>7.9149080523486626E-2</v>
          </cell>
          <cell r="P808">
            <v>7.6530366950015166E-2</v>
          </cell>
        </row>
        <row r="809">
          <cell r="B809" t="str">
            <v>D-INGA</v>
          </cell>
          <cell r="C809" t="str">
            <v>VAR_ncap</v>
          </cell>
          <cell r="D809" t="str">
            <v>-</v>
          </cell>
          <cell r="E809">
            <v>4.3328316398497598E-7</v>
          </cell>
          <cell r="F809">
            <v>2.6021067413663503E-7</v>
          </cell>
          <cell r="G809">
            <v>3.45609014857563E-7</v>
          </cell>
          <cell r="H809">
            <v>5.1281648628189899E-7</v>
          </cell>
          <cell r="I809">
            <v>1.02778555525868E-6</v>
          </cell>
          <cell r="J809">
            <v>1.7538932673451999E-6</v>
          </cell>
          <cell r="K809">
            <v>2.4458405767554202E-6</v>
          </cell>
          <cell r="L809">
            <v>0.29091524808435498</v>
          </cell>
          <cell r="M809">
            <v>4.5310607659762E-6</v>
          </cell>
          <cell r="N809">
            <v>1.15503273367707E-5</v>
          </cell>
          <cell r="O809">
            <v>6.0609265816362603E-6</v>
          </cell>
          <cell r="P809">
            <v>4.1029487222181399E-5</v>
          </cell>
        </row>
        <row r="810">
          <cell r="B810" t="str">
            <v>D-INGA</v>
          </cell>
          <cell r="C810" t="str">
            <v>VAR_cap</v>
          </cell>
          <cell r="D810" t="str">
            <v>-</v>
          </cell>
          <cell r="E810">
            <v>1.984483803549264</v>
          </cell>
          <cell r="F810">
            <v>1.9844840637599381</v>
          </cell>
          <cell r="G810">
            <v>1.9844844093689529</v>
          </cell>
          <cell r="H810">
            <v>1.9844849221854393</v>
          </cell>
          <cell r="I810">
            <v>1.9844859499709946</v>
          </cell>
          <cell r="J810">
            <v>1.9844877038642619</v>
          </cell>
          <cell r="K810">
            <v>1.9844901497048386</v>
          </cell>
          <cell r="L810">
            <v>1.1843362827311399</v>
          </cell>
          <cell r="M810">
            <v>0.39777460778253904</v>
          </cell>
          <cell r="N810">
            <v>0.290937661099962</v>
          </cell>
          <cell r="O810">
            <v>0.29094302938001099</v>
          </cell>
          <cell r="P810">
            <v>0.29098364740566002</v>
          </cell>
        </row>
        <row r="811">
          <cell r="B811" t="str">
            <v>EWIND</v>
          </cell>
          <cell r="C811" t="str">
            <v>VAR_fout</v>
          </cell>
          <cell r="D811" t="str">
            <v>ELC35</v>
          </cell>
          <cell r="E811">
            <v>0.52400000000000047</v>
          </cell>
          <cell r="F811">
            <v>0.54529204320697078</v>
          </cell>
          <cell r="G811">
            <v>0.50316464154052054</v>
          </cell>
          <cell r="H811">
            <v>0.98984228559381826</v>
          </cell>
          <cell r="I811">
            <v>1.0861897355413361</v>
          </cell>
          <cell r="J811">
            <v>1.0863137814254247</v>
          </cell>
          <cell r="K811">
            <v>1.2212459805636593</v>
          </cell>
          <cell r="L811">
            <v>1.221262519334102</v>
          </cell>
          <cell r="M811">
            <v>1.2213800676946502</v>
          </cell>
          <cell r="N811">
            <v>1.2215382173731462</v>
          </cell>
          <cell r="O811">
            <v>1.2215410910374236</v>
          </cell>
          <cell r="P811">
            <v>1.2215570182267321</v>
          </cell>
        </row>
        <row r="812">
          <cell r="B812" t="str">
            <v>EWIND</v>
          </cell>
          <cell r="C812" t="str">
            <v>VAR_fin</v>
          </cell>
          <cell r="D812" t="str">
            <v>WND</v>
          </cell>
          <cell r="E812">
            <v>0.52400000000000047</v>
          </cell>
          <cell r="F812">
            <v>0.54529204320697078</v>
          </cell>
          <cell r="G812">
            <v>0.50316464154052054</v>
          </cell>
          <cell r="H812">
            <v>0.98984228559381826</v>
          </cell>
          <cell r="I812">
            <v>1.0861897355413361</v>
          </cell>
          <cell r="J812">
            <v>1.0863137814254247</v>
          </cell>
          <cell r="K812">
            <v>1.2212459805636593</v>
          </cell>
          <cell r="L812">
            <v>1.221262519334102</v>
          </cell>
          <cell r="M812">
            <v>1.2213800676946502</v>
          </cell>
          <cell r="N812">
            <v>1.2215382173731462</v>
          </cell>
          <cell r="O812">
            <v>1.2215410910374236</v>
          </cell>
          <cell r="P812">
            <v>1.2215570182267321</v>
          </cell>
        </row>
        <row r="813">
          <cell r="B813" t="str">
            <v>EWIND</v>
          </cell>
          <cell r="C813" t="str">
            <v>VAR_ncap</v>
          </cell>
          <cell r="D813" t="str">
            <v>-</v>
          </cell>
          <cell r="F813">
            <v>7.1321173149029799E-3</v>
          </cell>
          <cell r="G813">
            <v>0.145867462679903</v>
          </cell>
          <cell r="H813">
            <v>8.1126662807576803E-3</v>
          </cell>
          <cell r="I813">
            <v>2.1988173628112399E-2</v>
          </cell>
          <cell r="J813">
            <v>1.08833727014738E-6</v>
          </cell>
          <cell r="K813">
            <v>0.17294462453348</v>
          </cell>
          <cell r="L813">
            <v>1.02469556333821E-4</v>
          </cell>
          <cell r="M813">
            <v>3.0044359538501399E-2</v>
          </cell>
          <cell r="N813">
            <v>1.6310686288786301E-6</v>
          </cell>
          <cell r="O813">
            <v>0.17294767888527601</v>
          </cell>
        </row>
        <row r="814">
          <cell r="B814" t="str">
            <v>EWIND</v>
          </cell>
          <cell r="C814" t="str">
            <v>VAR_cap</v>
          </cell>
          <cell r="D814" t="str">
            <v>-</v>
          </cell>
          <cell r="E814">
            <v>8.7120000000000003E-2</v>
          </cell>
          <cell r="F814">
            <v>9.0660005351510184E-2</v>
          </cell>
          <cell r="G814">
            <v>8.3655922845439185E-2</v>
          </cell>
          <cell r="H814">
            <v>0.16457069615552131</v>
          </cell>
          <cell r="I814">
            <v>0.18058941544968882</v>
          </cell>
          <cell r="J814">
            <v>0.18061006933648224</v>
          </cell>
          <cell r="K814">
            <v>0.203043866666515</v>
          </cell>
          <cell r="L814">
            <v>0.203046552779621</v>
          </cell>
          <cell r="M814">
            <v>0.20306624947615701</v>
          </cell>
          <cell r="N814">
            <v>0.20309254196558599</v>
          </cell>
          <cell r="O814">
            <v>0.20309327395761301</v>
          </cell>
          <cell r="P814">
            <v>0.20309613904873999</v>
          </cell>
        </row>
        <row r="815">
          <cell r="B815" t="str">
            <v>EGEO</v>
          </cell>
          <cell r="C815" t="str">
            <v>VAR_fout</v>
          </cell>
          <cell r="D815" t="str">
            <v>ELC35</v>
          </cell>
          <cell r="K815">
            <v>1.8146633280466114E-2</v>
          </cell>
          <cell r="L815">
            <v>1.8150862763893664E-2</v>
          </cell>
          <cell r="M815">
            <v>1.815013471657018E-2</v>
          </cell>
          <cell r="N815">
            <v>1.6568844305543319E-2</v>
          </cell>
          <cell r="O815">
            <v>1.6796666989674459E-2</v>
          </cell>
          <cell r="P815">
            <v>1.6897439064047677E-2</v>
          </cell>
        </row>
        <row r="816">
          <cell r="B816" t="str">
            <v>EGEO</v>
          </cell>
          <cell r="C816" t="str">
            <v>VAR_fin</v>
          </cell>
          <cell r="D816" t="str">
            <v>GEO</v>
          </cell>
          <cell r="K816">
            <v>0.1209775552031073</v>
          </cell>
          <cell r="L816">
            <v>0.12100575175929115</v>
          </cell>
          <cell r="M816">
            <v>0.12100089811046801</v>
          </cell>
          <cell r="N816">
            <v>0.1104589620369554</v>
          </cell>
          <cell r="O816">
            <v>0.11197777993116302</v>
          </cell>
          <cell r="P816">
            <v>0.11264959376031791</v>
          </cell>
        </row>
        <row r="817">
          <cell r="B817" t="str">
            <v>EGEO</v>
          </cell>
          <cell r="C817" t="str">
            <v>VAR_ncap</v>
          </cell>
          <cell r="D817" t="str">
            <v>-</v>
          </cell>
          <cell r="J817">
            <v>7.2012943723302205E-4</v>
          </cell>
          <cell r="K817">
            <v>4.1972187268823001E-7</v>
          </cell>
          <cell r="L817">
            <v>1.2979241315168599E-7</v>
          </cell>
          <cell r="M817">
            <v>1.5251756180353001E-7</v>
          </cell>
          <cell r="N817">
            <v>1.66268505704481E-7</v>
          </cell>
          <cell r="O817">
            <v>1.45242041094207E-6</v>
          </cell>
        </row>
        <row r="818">
          <cell r="B818" t="str">
            <v>EGEO</v>
          </cell>
          <cell r="C818" t="str">
            <v>VAR_cap</v>
          </cell>
          <cell r="D818" t="str">
            <v>-</v>
          </cell>
          <cell r="K818">
            <v>7.2018476542008605E-4</v>
          </cell>
          <cell r="L818">
            <v>7.2049846432071249E-4</v>
          </cell>
          <cell r="M818">
            <v>7.2051422106700726E-4</v>
          </cell>
          <cell r="N818">
            <v>7.2047073721075573E-4</v>
          </cell>
          <cell r="O818">
            <v>7.2064730713947817E-4</v>
          </cell>
          <cell r="P818">
            <v>7.217120715703935E-4</v>
          </cell>
        </row>
        <row r="819">
          <cell r="B819" t="str">
            <v>D-SPLT</v>
          </cell>
          <cell r="C819" t="str">
            <v>VAR_fout</v>
          </cell>
          <cell r="D819" t="str">
            <v>SPLT</v>
          </cell>
          <cell r="E819">
            <v>2.0856344662285222</v>
          </cell>
          <cell r="F819">
            <v>2.4000914852613211</v>
          </cell>
          <cell r="G819">
            <v>2.3592338628578151</v>
          </cell>
          <cell r="H819">
            <v>2.3729227214079152</v>
          </cell>
          <cell r="I819">
            <v>2.5201346115890675</v>
          </cell>
          <cell r="J819">
            <v>2.7918979959427315</v>
          </cell>
          <cell r="K819">
            <v>2.7541613271096961</v>
          </cell>
          <cell r="L819">
            <v>2.4880703816406906</v>
          </cell>
          <cell r="M819">
            <v>2.4509966379303818</v>
          </cell>
          <cell r="N819">
            <v>2.4681858610008884</v>
          </cell>
          <cell r="O819">
            <v>2.4688541169460549</v>
          </cell>
          <cell r="P819">
            <v>2.4691542165925857</v>
          </cell>
        </row>
        <row r="820">
          <cell r="B820" t="str">
            <v>D-SPLT</v>
          </cell>
          <cell r="C820" t="str">
            <v>VAR_fin</v>
          </cell>
          <cell r="D820" t="str">
            <v>PLT</v>
          </cell>
          <cell r="E820">
            <v>2.0856344662285222</v>
          </cell>
          <cell r="F820">
            <v>2.4000914852613211</v>
          </cell>
          <cell r="G820">
            <v>2.3592338628578151</v>
          </cell>
          <cell r="H820">
            <v>2.3729227214079152</v>
          </cell>
          <cell r="I820">
            <v>2.5201346115890675</v>
          </cell>
          <cell r="J820">
            <v>2.7918979959427315</v>
          </cell>
          <cell r="K820">
            <v>2.7541613271096961</v>
          </cell>
          <cell r="L820">
            <v>2.4880703816406906</v>
          </cell>
          <cell r="M820">
            <v>2.4509966379303818</v>
          </cell>
          <cell r="N820">
            <v>2.4681858610008884</v>
          </cell>
          <cell r="O820">
            <v>2.4688541169460549</v>
          </cell>
          <cell r="P820">
            <v>2.4691542165925857</v>
          </cell>
        </row>
        <row r="821">
          <cell r="B821" t="str">
            <v>RHES-ESOLPV</v>
          </cell>
          <cell r="C821" t="str">
            <v>VAR_fout</v>
          </cell>
          <cell r="D821" t="str">
            <v>RHES_SOL_ELC</v>
          </cell>
          <cell r="E821">
            <v>2.1349390887346629</v>
          </cell>
          <cell r="F821">
            <v>3.3906651796428697</v>
          </cell>
          <cell r="G821">
            <v>4.3176295955222947</v>
          </cell>
          <cell r="H821">
            <v>18.916033833681368</v>
          </cell>
          <cell r="I821">
            <v>19.880952475961855</v>
          </cell>
          <cell r="J821">
            <v>20.895081150966739</v>
          </cell>
          <cell r="K821">
            <v>21.960940895076995</v>
          </cell>
          <cell r="L821">
            <v>23.081170344762761</v>
          </cell>
          <cell r="M821">
            <v>24.258542529630688</v>
          </cell>
          <cell r="N821">
            <v>25.49597292811309</v>
          </cell>
          <cell r="O821">
            <v>26.796525348496044</v>
          </cell>
          <cell r="P821">
            <v>28.16342376590007</v>
          </cell>
        </row>
        <row r="822">
          <cell r="B822" t="str">
            <v>RHES-ESOLPV</v>
          </cell>
          <cell r="C822" t="str">
            <v>VAR_fin</v>
          </cell>
          <cell r="D822" t="str">
            <v>SOL</v>
          </cell>
          <cell r="E822">
            <v>2.1349390887346629</v>
          </cell>
          <cell r="F822">
            <v>3.3906651796428697</v>
          </cell>
          <cell r="G822">
            <v>4.3176295955222947</v>
          </cell>
          <cell r="H822">
            <v>18.916033833681368</v>
          </cell>
          <cell r="I822">
            <v>19.880952475961855</v>
          </cell>
          <cell r="J822">
            <v>20.895081150966739</v>
          </cell>
          <cell r="K822">
            <v>21.960940895076995</v>
          </cell>
          <cell r="L822">
            <v>23.081170344762761</v>
          </cell>
          <cell r="M822">
            <v>24.258542529630688</v>
          </cell>
          <cell r="N822">
            <v>25.49597292811309</v>
          </cell>
          <cell r="O822">
            <v>26.796525348496044</v>
          </cell>
          <cell r="P822">
            <v>28.16342376590007</v>
          </cell>
        </row>
        <row r="823">
          <cell r="B823" t="str">
            <v>RHES-ESOLPV</v>
          </cell>
          <cell r="C823" t="str">
            <v>VAR_fin</v>
          </cell>
          <cell r="D823" t="str">
            <v>SOLPVC</v>
          </cell>
          <cell r="E823">
            <v>2.1349390887346602</v>
          </cell>
          <cell r="F823">
            <v>3.3906651796428702</v>
          </cell>
          <cell r="G823">
            <v>4.3176295955222903</v>
          </cell>
          <cell r="H823">
            <v>18.9160338336814</v>
          </cell>
          <cell r="I823">
            <v>19.880952475961902</v>
          </cell>
          <cell r="J823">
            <v>20.8950811509667</v>
          </cell>
          <cell r="K823">
            <v>21.960940895077002</v>
          </cell>
          <cell r="L823">
            <v>23.0811703447628</v>
          </cell>
          <cell r="M823">
            <v>24.258542529630699</v>
          </cell>
          <cell r="N823">
            <v>25.495972928113101</v>
          </cell>
          <cell r="O823">
            <v>26.7965253484961</v>
          </cell>
          <cell r="P823">
            <v>28.163423765900099</v>
          </cell>
        </row>
        <row r="824">
          <cell r="B824" t="str">
            <v>RHES-ESOLPV</v>
          </cell>
          <cell r="C824" t="str">
            <v>VAR_ncap</v>
          </cell>
          <cell r="D824" t="str">
            <v>-</v>
          </cell>
          <cell r="F824">
            <v>1.02935459368231E-8</v>
          </cell>
          <cell r="G824">
            <v>5.7802740564650097E-7</v>
          </cell>
          <cell r="H824">
            <v>3.4273176827681699</v>
          </cell>
          <cell r="I824">
            <v>0.46159150288831502</v>
          </cell>
          <cell r="J824">
            <v>0.75115678307606104</v>
          </cell>
          <cell r="K824">
            <v>1.87930522141816</v>
          </cell>
          <cell r="L824">
            <v>2.6179420562133702</v>
          </cell>
          <cell r="M824">
            <v>0.71226271976292499</v>
          </cell>
          <cell r="N824">
            <v>1.0978778496394599</v>
          </cell>
          <cell r="O824">
            <v>2.2010458512919899</v>
          </cell>
          <cell r="P824">
            <v>2.95609591929583</v>
          </cell>
        </row>
        <row r="825">
          <cell r="B825" t="str">
            <v>RHES-ESOLPV</v>
          </cell>
          <cell r="C825" t="str">
            <v>VAR_cap</v>
          </cell>
          <cell r="D825" t="str">
            <v>-</v>
          </cell>
          <cell r="E825">
            <v>0.67885700000000004</v>
          </cell>
          <cell r="F825">
            <v>1.1558999279716959</v>
          </cell>
          <cell r="G825">
            <v>1.2891575883209516</v>
          </cell>
          <cell r="H825">
            <v>4.6795924361454997</v>
          </cell>
          <cell r="I825">
            <v>4.9183012631561001</v>
          </cell>
          <cell r="J825">
            <v>5.1691841912824499</v>
          </cell>
          <cell r="K825">
            <v>5.4328646659356696</v>
          </cell>
          <cell r="L825">
            <v>5.7099955635959097</v>
          </cell>
          <cell r="M825">
            <v>6.0012628858942803</v>
          </cell>
          <cell r="N825">
            <v>6.3073878470339197</v>
          </cell>
          <cell r="O825">
            <v>6.6291284769077503</v>
          </cell>
          <cell r="P825">
            <v>6.9672823399902102</v>
          </cell>
        </row>
        <row r="826">
          <cell r="B826" t="str">
            <v>SUP_DAC</v>
          </cell>
          <cell r="C826" t="str">
            <v>VAR_fout</v>
          </cell>
          <cell r="D826" t="str">
            <v>CO2_O</v>
          </cell>
          <cell r="J826">
            <v>4.5787766727971579E-3</v>
          </cell>
          <cell r="K826">
            <v>7.5479600779775075E-3</v>
          </cell>
          <cell r="L826">
            <v>105.66361755237882</v>
          </cell>
          <cell r="M826">
            <v>329.3350434470197</v>
          </cell>
          <cell r="N826">
            <v>1505.0228173200264</v>
          </cell>
          <cell r="O826">
            <v>2210.9432139250184</v>
          </cell>
          <cell r="P826">
            <v>2918.414832594935</v>
          </cell>
        </row>
        <row r="827">
          <cell r="B827" t="str">
            <v>SUP_DAC</v>
          </cell>
          <cell r="C827" t="str">
            <v>VAR_fout</v>
          </cell>
          <cell r="D827" t="str">
            <v>CO2</v>
          </cell>
          <cell r="J827">
            <v>-4.5787766727971597E-3</v>
          </cell>
          <cell r="K827">
            <v>-7.5479600779775101E-3</v>
          </cell>
          <cell r="L827">
            <v>-105.66361755237899</v>
          </cell>
          <cell r="M827">
            <v>-329.33504344701998</v>
          </cell>
          <cell r="N827">
            <v>-1505.0228173200301</v>
          </cell>
          <cell r="O827">
            <v>-2210.9432139250198</v>
          </cell>
          <cell r="P827">
            <v>-2918.41483259493</v>
          </cell>
        </row>
        <row r="828">
          <cell r="B828" t="str">
            <v>SUP_DAC</v>
          </cell>
          <cell r="C828" t="str">
            <v>VAR_fin</v>
          </cell>
          <cell r="D828" t="str">
            <v>CHEAT</v>
          </cell>
          <cell r="J828">
            <v>3.0445111778467644E-5</v>
          </cell>
          <cell r="K828">
            <v>4.9148356442174805E-5</v>
          </cell>
          <cell r="L828">
            <v>0.67347564761253931</v>
          </cell>
          <cell r="M828">
            <v>2.0991059818393696</v>
          </cell>
          <cell r="N828">
            <v>9.5926700225250308</v>
          </cell>
          <cell r="O828">
            <v>14.092044615967991</v>
          </cell>
          <cell r="P828">
            <v>18.601306342834611</v>
          </cell>
        </row>
        <row r="829">
          <cell r="B829" t="str">
            <v>SUP_DAC</v>
          </cell>
          <cell r="C829" t="str">
            <v>VAR_fin</v>
          </cell>
          <cell r="D829" t="str">
            <v>CELC</v>
          </cell>
          <cell r="J829">
            <v>6.3492369862787249E-6</v>
          </cell>
          <cell r="K829">
            <v>8.6675741562108262E-6</v>
          </cell>
          <cell r="L829">
            <v>9.6153891972664607E-2</v>
          </cell>
          <cell r="M829">
            <v>0.29969488953678847</v>
          </cell>
          <cell r="N829">
            <v>1.3695707637612238</v>
          </cell>
          <cell r="O829">
            <v>2.0119583246717676</v>
          </cell>
          <cell r="P829">
            <v>2.6557574976613885</v>
          </cell>
        </row>
        <row r="830">
          <cell r="B830" t="str">
            <v>SUP_DAC</v>
          </cell>
          <cell r="C830" t="str">
            <v>VAR_ncap</v>
          </cell>
          <cell r="D830" t="str">
            <v>-</v>
          </cell>
          <cell r="J830">
            <v>1.2354844845363199E-3</v>
          </cell>
          <cell r="K830">
            <v>3.57382531829085E-4</v>
          </cell>
          <cell r="L830">
            <v>13.400742196905201</v>
          </cell>
          <cell r="M830">
            <v>28.371426249966401</v>
          </cell>
          <cell r="N830">
            <v>149.123721910298</v>
          </cell>
          <cell r="O830">
            <v>109.55970438468</v>
          </cell>
          <cell r="P830">
            <v>111.48608167093001</v>
          </cell>
        </row>
        <row r="831">
          <cell r="B831" t="str">
            <v>SUP_DAC</v>
          </cell>
          <cell r="C831" t="str">
            <v>VAR_cap</v>
          </cell>
          <cell r="D831" t="str">
            <v>-</v>
          </cell>
          <cell r="J831">
            <v>1.2354844845363199E-3</v>
          </cell>
          <cell r="K831">
            <v>1.5888176427985687E-3</v>
          </cell>
          <cell r="L831">
            <v>13.402300927153567</v>
          </cell>
          <cell r="M831">
            <v>41.772591988720635</v>
          </cell>
          <cell r="N831">
            <v>190.89585937646555</v>
          </cell>
          <cell r="O831">
            <v>280.43421070550056</v>
          </cell>
          <cell r="P831">
            <v>370.16948744419869</v>
          </cell>
        </row>
        <row r="832">
          <cell r="B832" t="str">
            <v>EHYD-DAM10</v>
          </cell>
          <cell r="C832" t="str">
            <v>VAR_fout</v>
          </cell>
          <cell r="D832" t="str">
            <v>ELC</v>
          </cell>
          <cell r="F832">
            <v>7.7158602546527023E-3</v>
          </cell>
          <cell r="G832">
            <v>5.2312563161245496E-2</v>
          </cell>
          <cell r="H832">
            <v>0.73803646405424872</v>
          </cell>
          <cell r="I832">
            <v>0.73567722240125943</v>
          </cell>
          <cell r="J832">
            <v>0.73315967739843813</v>
          </cell>
          <cell r="K832">
            <v>0.72276876050833316</v>
          </cell>
          <cell r="L832">
            <v>0.73235121895006938</v>
          </cell>
          <cell r="M832">
            <v>0.72934387838375148</v>
          </cell>
          <cell r="N832">
            <v>0.73261578425797147</v>
          </cell>
          <cell r="O832">
            <v>0.7296041218097995</v>
          </cell>
          <cell r="P832">
            <v>0.72739440137442213</v>
          </cell>
        </row>
        <row r="833">
          <cell r="B833" t="str">
            <v>EHYD-DAM10</v>
          </cell>
          <cell r="C833" t="str">
            <v>VAR_fin</v>
          </cell>
          <cell r="D833" t="str">
            <v>HYDD</v>
          </cell>
          <cell r="F833">
            <v>7.7158602546527023E-3</v>
          </cell>
          <cell r="G833">
            <v>5.2312563161245496E-2</v>
          </cell>
          <cell r="H833">
            <v>0.73803646405424872</v>
          </cell>
          <cell r="I833">
            <v>0.73567722240125943</v>
          </cell>
          <cell r="J833">
            <v>0.73315967739843813</v>
          </cell>
          <cell r="K833">
            <v>0.72276876050833316</v>
          </cell>
          <cell r="L833">
            <v>0.73235121895006938</v>
          </cell>
          <cell r="M833">
            <v>0.72934387838375148</v>
          </cell>
          <cell r="N833">
            <v>0.73261578425797147</v>
          </cell>
          <cell r="O833">
            <v>0.7296041218097995</v>
          </cell>
          <cell r="P833">
            <v>0.72739440137442213</v>
          </cell>
        </row>
        <row r="834">
          <cell r="B834" t="str">
            <v>EHYD-DAM10</v>
          </cell>
          <cell r="C834" t="str">
            <v>VAR_ncap</v>
          </cell>
          <cell r="D834" t="str">
            <v>-</v>
          </cell>
          <cell r="F834">
            <v>9.8004631392887296E-4</v>
          </cell>
          <cell r="G834">
            <v>4.7057214619399702E-3</v>
          </cell>
          <cell r="H834">
            <v>6.9613633161705102E-2</v>
          </cell>
          <cell r="I834">
            <v>1.32977358979859E-7</v>
          </cell>
          <cell r="J834">
            <v>6.2147147802456195E-8</v>
          </cell>
          <cell r="K834">
            <v>3.3572765340842101E-8</v>
          </cell>
          <cell r="L834">
            <v>1.9775243378214801E-8</v>
          </cell>
          <cell r="M834">
            <v>1.67770153083603E-8</v>
          </cell>
          <cell r="N834">
            <v>1.2859090344142001E-8</v>
          </cell>
          <cell r="O834">
            <v>6.2114126259926103E-7</v>
          </cell>
          <cell r="P834">
            <v>1.14450553316777E-7</v>
          </cell>
        </row>
        <row r="835">
          <cell r="B835" t="str">
            <v>EHYD-DAM10</v>
          </cell>
          <cell r="C835" t="str">
            <v>VAR_cap</v>
          </cell>
          <cell r="D835" t="str">
            <v>-</v>
          </cell>
          <cell r="F835">
            <v>9.8004631392887296E-4</v>
          </cell>
          <cell r="G835">
            <v>5.6857677758688401E-3</v>
          </cell>
          <cell r="H835">
            <v>7.5299400937573993E-2</v>
          </cell>
          <cell r="I835">
            <v>7.5299533914933006E-2</v>
          </cell>
          <cell r="J835">
            <v>7.5299596062080795E-2</v>
          </cell>
          <cell r="K835">
            <v>7.5299629634846099E-2</v>
          </cell>
          <cell r="L835">
            <v>7.52996494100895E-2</v>
          </cell>
          <cell r="M835">
            <v>7.5299666187104805E-2</v>
          </cell>
          <cell r="N835">
            <v>7.5299679046195098E-2</v>
          </cell>
          <cell r="O835">
            <v>7.5300300187457703E-2</v>
          </cell>
          <cell r="P835">
            <v>7.5300414638011001E-2</v>
          </cell>
        </row>
        <row r="836">
          <cell r="B836" t="str">
            <v>ENUC_AMR_BMGL_I</v>
          </cell>
          <cell r="C836" t="str">
            <v>VAR_fout</v>
          </cell>
          <cell r="D836" t="str">
            <v>HTH</v>
          </cell>
          <cell r="M836">
            <v>0.10682030187256043</v>
          </cell>
          <cell r="N836">
            <v>0.21582256594343793</v>
          </cell>
          <cell r="O836">
            <v>0.18468067759503939</v>
          </cell>
          <cell r="P836">
            <v>0.16059447297609319</v>
          </cell>
        </row>
        <row r="837">
          <cell r="B837" t="str">
            <v>ENUC_AMR_BMGL_I</v>
          </cell>
          <cell r="C837" t="str">
            <v>VAR_fout</v>
          </cell>
          <cell r="D837" t="str">
            <v>ELC</v>
          </cell>
          <cell r="M837">
            <v>0.30666095364977791</v>
          </cell>
          <cell r="N837">
            <v>0.53031898110063069</v>
          </cell>
          <cell r="O837">
            <v>0.54503460996811615</v>
          </cell>
          <cell r="P837">
            <v>0.5570876655355671</v>
          </cell>
        </row>
        <row r="838">
          <cell r="B838" t="str">
            <v>ENUC_AMR_BMGL_I</v>
          </cell>
          <cell r="C838" t="str">
            <v>VAR_fin</v>
          </cell>
          <cell r="D838" t="str">
            <v>URN</v>
          </cell>
          <cell r="M838">
            <v>0.79499430861693732</v>
          </cell>
          <cell r="N838">
            <v>1.4078580575562682</v>
          </cell>
          <cell r="O838">
            <v>1.4074622323325634</v>
          </cell>
          <cell r="P838">
            <v>1.4086432619331883</v>
          </cell>
        </row>
        <row r="839">
          <cell r="B839" t="str">
            <v>ENUC_AMR_BMGL_I</v>
          </cell>
          <cell r="C839" t="str">
            <v>VAR_ncap</v>
          </cell>
          <cell r="D839" t="str">
            <v>-</v>
          </cell>
          <cell r="L839">
            <v>2.3408877128306901E-2</v>
          </cell>
          <cell r="M839">
            <v>2.7004667371202602E-7</v>
          </cell>
          <cell r="N839">
            <v>4.3599987631141602E-7</v>
          </cell>
          <cell r="O839">
            <v>2.6454123372878602E-6</v>
          </cell>
        </row>
        <row r="840">
          <cell r="B840" t="str">
            <v>ENUC_AMR_BMGL_I</v>
          </cell>
          <cell r="C840" t="str">
            <v>VAR_cap</v>
          </cell>
          <cell r="D840" t="str">
            <v>-</v>
          </cell>
          <cell r="M840">
            <v>1.2879350466569701E-2</v>
          </cell>
          <cell r="N840">
            <v>2.3409147174980601E-2</v>
          </cell>
          <cell r="O840">
            <v>2.3409430608123501E-2</v>
          </cell>
          <cell r="P840">
            <v>2.34122285871942E-2</v>
          </cell>
        </row>
        <row r="841">
          <cell r="B841" t="str">
            <v>DH-EBAT</v>
          </cell>
          <cell r="C841" t="str">
            <v>VAR_fout</v>
          </cell>
          <cell r="D841" t="str">
            <v>ELC35</v>
          </cell>
          <cell r="E841">
            <v>2.3582902053886213E-3</v>
          </cell>
          <cell r="F841">
            <v>1.9006330160724946E-3</v>
          </cell>
          <cell r="G841">
            <v>2.3136614723277705E-3</v>
          </cell>
          <cell r="H841">
            <v>2.4164163248021407E-3</v>
          </cell>
          <cell r="I841">
            <v>2.9717800761090509E-2</v>
          </cell>
          <cell r="J841">
            <v>6.2101445412051058E-2</v>
          </cell>
          <cell r="K841">
            <v>1.0560661511930438</v>
          </cell>
          <cell r="L841">
            <v>2.0466227657332676</v>
          </cell>
          <cell r="M841">
            <v>2.4036985905919015</v>
          </cell>
          <cell r="N841">
            <v>1.7690861196609411</v>
          </cell>
          <cell r="O841">
            <v>2.052405164077308</v>
          </cell>
          <cell r="P841">
            <v>2.2131445241531362</v>
          </cell>
        </row>
        <row r="842">
          <cell r="B842" t="str">
            <v>DH-EBAT</v>
          </cell>
          <cell r="C842" t="str">
            <v>VAR_fout</v>
          </cell>
          <cell r="D842" t="str">
            <v>AUX_DH-EBAT_OUT</v>
          </cell>
          <cell r="E842">
            <v>2.35829020538862E-3</v>
          </cell>
          <cell r="F842">
            <v>1.9006330160724941E-3</v>
          </cell>
          <cell r="G842">
            <v>2.3136614723277696E-3</v>
          </cell>
          <cell r="H842">
            <v>2.4164163248021394E-3</v>
          </cell>
          <cell r="I842">
            <v>2.9717800761090495E-2</v>
          </cell>
          <cell r="J842">
            <v>6.2101445412051044E-2</v>
          </cell>
          <cell r="K842">
            <v>1.0560661511930431</v>
          </cell>
          <cell r="L842">
            <v>2.0466227657332667</v>
          </cell>
          <cell r="M842">
            <v>2.4036985905918997</v>
          </cell>
          <cell r="N842">
            <v>1.7690861196609406</v>
          </cell>
          <cell r="O842">
            <v>2.0524051640773076</v>
          </cell>
          <cell r="P842">
            <v>2.2131445241531358</v>
          </cell>
        </row>
        <row r="843">
          <cell r="B843" t="str">
            <v>DH-EBAT</v>
          </cell>
          <cell r="C843" t="str">
            <v>VAR_fin</v>
          </cell>
          <cell r="D843" t="str">
            <v>ELC35</v>
          </cell>
          <cell r="E843">
            <v>2.6374271116148817E-3</v>
          </cell>
          <cell r="F843">
            <v>2.1254312600487066E-3</v>
          </cell>
          <cell r="G843">
            <v>2.5873572838620378E-3</v>
          </cell>
          <cell r="H843">
            <v>2.702301196575867E-3</v>
          </cell>
          <cell r="I843">
            <v>3.3231647715184442E-2</v>
          </cell>
          <cell r="J843">
            <v>6.9443802039764441E-2</v>
          </cell>
          <cell r="K843">
            <v>1.1809258797595399</v>
          </cell>
          <cell r="L843">
            <v>2.2885972176724234</v>
          </cell>
          <cell r="M843">
            <v>2.6878902532957687</v>
          </cell>
          <cell r="N843">
            <v>1.9782470423086553</v>
          </cell>
          <cell r="O843">
            <v>2.2950631701592701</v>
          </cell>
          <cell r="P843">
            <v>2.4748070051498035</v>
          </cell>
        </row>
        <row r="844">
          <cell r="B844" t="str">
            <v>DH-EBAT</v>
          </cell>
          <cell r="C844" t="str">
            <v>VAR_fin</v>
          </cell>
          <cell r="D844" t="str">
            <v>AUX_DH-EBAT_IN</v>
          </cell>
          <cell r="E844">
            <v>2.6374271116148817E-3</v>
          </cell>
          <cell r="F844">
            <v>2.1254312600487066E-3</v>
          </cell>
          <cell r="G844">
            <v>2.5873572838620378E-3</v>
          </cell>
          <cell r="H844">
            <v>2.702301196575867E-3</v>
          </cell>
          <cell r="I844">
            <v>3.3231647715184442E-2</v>
          </cell>
          <cell r="J844">
            <v>6.9443802039764441E-2</v>
          </cell>
          <cell r="K844">
            <v>1.1809258797595399</v>
          </cell>
          <cell r="L844">
            <v>2.2885972176724234</v>
          </cell>
          <cell r="M844">
            <v>2.6878902532957687</v>
          </cell>
          <cell r="N844">
            <v>1.9782470423086553</v>
          </cell>
          <cell r="O844">
            <v>2.2950631701592701</v>
          </cell>
          <cell r="P844">
            <v>2.4748070051498035</v>
          </cell>
        </row>
        <row r="845">
          <cell r="B845" t="str">
            <v>DH-EBAT</v>
          </cell>
          <cell r="C845" t="str">
            <v>VAR_ncap</v>
          </cell>
          <cell r="D845" t="str">
            <v>-</v>
          </cell>
          <cell r="E845">
            <v>3.2700650880345197E-4</v>
          </cell>
          <cell r="F845">
            <v>5.2016723522159701E-7</v>
          </cell>
          <cell r="G845">
            <v>1.7962800786850999E-6</v>
          </cell>
          <cell r="H845">
            <v>9.2540320309146494E-5</v>
          </cell>
          <cell r="I845">
            <v>4.8118306952467001E-3</v>
          </cell>
          <cell r="J845">
            <v>1.23778315635248E-2</v>
          </cell>
          <cell r="K845">
            <v>0.310019920377132</v>
          </cell>
          <cell r="L845">
            <v>0.17821630913278799</v>
          </cell>
          <cell r="M845">
            <v>0.19757136415441701</v>
          </cell>
          <cell r="N845">
            <v>7.2513521478080101E-2</v>
          </cell>
          <cell r="O845">
            <v>0.28118673304939901</v>
          </cell>
          <cell r="P845">
            <v>0.100011238324569</v>
          </cell>
        </row>
        <row r="846">
          <cell r="B846" t="str">
            <v>DH-EBAT</v>
          </cell>
          <cell r="C846" t="str">
            <v>VAR_cap</v>
          </cell>
          <cell r="D846" t="str">
            <v>-</v>
          </cell>
          <cell r="E846">
            <v>3.2700650880345197E-4</v>
          </cell>
          <cell r="F846">
            <v>3.2743891217520006E-4</v>
          </cell>
          <cell r="G846">
            <v>3.2901576567956629E-4</v>
          </cell>
          <cell r="H846">
            <v>3.3350544972962068E-4</v>
          </cell>
          <cell r="I846">
            <v>4.9048666038228744E-3</v>
          </cell>
          <cell r="J846">
            <v>1.7208606478118425E-2</v>
          </cell>
          <cell r="K846">
            <v>0.32489218937443265</v>
          </cell>
          <cell r="L846">
            <v>0.49246310272472299</v>
          </cell>
          <cell r="M846">
            <v>0.51523700514347437</v>
          </cell>
          <cell r="N846">
            <v>0.36139123427856162</v>
          </cell>
          <cell r="O846">
            <v>0.38869324390520704</v>
          </cell>
          <cell r="P846">
            <v>0.43013217712214213</v>
          </cell>
        </row>
        <row r="847">
          <cell r="B847" t="str">
            <v>RHEM-EBAT</v>
          </cell>
          <cell r="C847" t="str">
            <v>VAR_fout</v>
          </cell>
          <cell r="D847" t="str">
            <v>RHEM_ELC</v>
          </cell>
          <cell r="E847">
            <v>7.6328056957092739E-4</v>
          </cell>
          <cell r="F847">
            <v>7.6291548822911802E-4</v>
          </cell>
          <cell r="G847">
            <v>7.6546220447996319E-4</v>
          </cell>
          <cell r="H847">
            <v>3.0174142916406729E-2</v>
          </cell>
          <cell r="I847">
            <v>6.6857958191001349E-2</v>
          </cell>
          <cell r="J847">
            <v>5.291469862125129E-2</v>
          </cell>
          <cell r="K847">
            <v>4.5207598912614187E-2</v>
          </cell>
          <cell r="L847">
            <v>7.0935620255423507E-2</v>
          </cell>
          <cell r="M847">
            <v>8.0832241755476014E-2</v>
          </cell>
          <cell r="N847">
            <v>7.4085494843807539E-2</v>
          </cell>
          <cell r="O847">
            <v>6.5444073301209355E-2</v>
          </cell>
          <cell r="P847">
            <v>8.4805099530775682E-2</v>
          </cell>
        </row>
        <row r="848">
          <cell r="B848" t="str">
            <v>RHEM-EBAT</v>
          </cell>
          <cell r="C848" t="str">
            <v>VAR_fout</v>
          </cell>
          <cell r="D848" t="str">
            <v>AUX_RHEM-EBAT_OUT</v>
          </cell>
          <cell r="E848">
            <v>7.6328056957092804E-4</v>
          </cell>
          <cell r="F848">
            <v>7.629154882291191E-4</v>
          </cell>
          <cell r="G848">
            <v>7.6546220447996417E-4</v>
          </cell>
          <cell r="H848">
            <v>3.0174142916406747E-2</v>
          </cell>
          <cell r="I848">
            <v>6.6857958191001432E-2</v>
          </cell>
          <cell r="J848">
            <v>5.2914698621251331E-2</v>
          </cell>
          <cell r="K848">
            <v>4.5207598912614229E-2</v>
          </cell>
          <cell r="L848">
            <v>7.0935620255423548E-2</v>
          </cell>
          <cell r="M848">
            <v>8.083224175547607E-2</v>
          </cell>
          <cell r="N848">
            <v>7.4085494843807609E-2</v>
          </cell>
          <cell r="O848">
            <v>6.5444073301209438E-2</v>
          </cell>
          <cell r="P848">
            <v>8.4805099530775738E-2</v>
          </cell>
        </row>
        <row r="849">
          <cell r="B849" t="str">
            <v>RHEM-EBAT</v>
          </cell>
          <cell r="C849" t="str">
            <v>VAR_fin</v>
          </cell>
          <cell r="D849" t="str">
            <v>RHEM_ELC</v>
          </cell>
          <cell r="E849">
            <v>8.4429450451337703E-4</v>
          </cell>
          <cell r="F849">
            <v>8.4394475801100499E-4</v>
          </cell>
          <cell r="G849">
            <v>8.4665303072716002E-4</v>
          </cell>
          <cell r="H849">
            <v>3.3368640024166327E-2</v>
          </cell>
          <cell r="I849">
            <v>7.3935979683145484E-2</v>
          </cell>
          <cell r="J849">
            <v>5.851653904951036E-2</v>
          </cell>
          <cell r="K849">
            <v>4.9993558013243095E-2</v>
          </cell>
          <cell r="L849">
            <v>7.8445535364978142E-2</v>
          </cell>
          <cell r="M849">
            <v>8.9389684484459581E-2</v>
          </cell>
          <cell r="N849">
            <v>8.1929012575665705E-2</v>
          </cell>
          <cell r="O849">
            <v>7.2372554471793749E-2</v>
          </cell>
          <cell r="P849">
            <v>9.3783469328518596E-2</v>
          </cell>
        </row>
        <row r="850">
          <cell r="B850" t="str">
            <v>RHEM-EBAT</v>
          </cell>
          <cell r="C850" t="str">
            <v>VAR_fin</v>
          </cell>
          <cell r="D850" t="str">
            <v>AUX_RHEM-EBAT_IN</v>
          </cell>
          <cell r="E850">
            <v>8.4429450451337703E-4</v>
          </cell>
          <cell r="F850">
            <v>8.4394475801100499E-4</v>
          </cell>
          <cell r="G850">
            <v>8.4665303072716002E-4</v>
          </cell>
          <cell r="H850">
            <v>3.3368640024166327E-2</v>
          </cell>
          <cell r="I850">
            <v>7.3935979683145484E-2</v>
          </cell>
          <cell r="J850">
            <v>5.851653904951036E-2</v>
          </cell>
          <cell r="K850">
            <v>4.9993558013243095E-2</v>
          </cell>
          <cell r="L850">
            <v>7.8445535364978142E-2</v>
          </cell>
          <cell r="M850">
            <v>8.9389684484459581E-2</v>
          </cell>
          <cell r="N850">
            <v>8.1929012575665705E-2</v>
          </cell>
          <cell r="O850">
            <v>7.2372554471793749E-2</v>
          </cell>
          <cell r="P850">
            <v>9.3783469328518596E-2</v>
          </cell>
        </row>
        <row r="851">
          <cell r="B851" t="str">
            <v>RHEM-EBAT</v>
          </cell>
          <cell r="C851" t="str">
            <v>VAR_ncap</v>
          </cell>
          <cell r="D851" t="str">
            <v>-</v>
          </cell>
          <cell r="E851">
            <v>3.0984853029074599E-4</v>
          </cell>
          <cell r="F851">
            <v>4.9067161673795699E-7</v>
          </cell>
          <cell r="G851">
            <v>1.3943856473083601E-6</v>
          </cell>
          <cell r="H851">
            <v>2.2403173625296698E-2</v>
          </cell>
          <cell r="I851">
            <v>6.1500432981106802E-3</v>
          </cell>
          <cell r="J851">
            <v>1.2792816953054001E-2</v>
          </cell>
          <cell r="K851">
            <v>5.8009634667444002E-3</v>
          </cell>
          <cell r="L851">
            <v>1.89204141215399E-2</v>
          </cell>
          <cell r="M851">
            <v>1.1587368514876699E-2</v>
          </cell>
          <cell r="N851">
            <v>9.0675072933188803E-3</v>
          </cell>
          <cell r="O851">
            <v>1.5688728663779E-2</v>
          </cell>
          <cell r="P851">
            <v>1.29336495569813E-2</v>
          </cell>
        </row>
        <row r="852">
          <cell r="B852" t="str">
            <v>RHEM-EBAT</v>
          </cell>
          <cell r="C852" t="str">
            <v>VAR_cap</v>
          </cell>
          <cell r="D852" t="str">
            <v>-</v>
          </cell>
          <cell r="E852">
            <v>3.1257174689706453E-4</v>
          </cell>
          <cell r="F852">
            <v>3.1291419701411479E-4</v>
          </cell>
          <cell r="G852">
            <v>3.1400357965453871E-4</v>
          </cell>
          <cell r="H852">
            <v>2.26312497687228E-2</v>
          </cell>
          <cell r="I852">
            <v>2.8553670433037318E-2</v>
          </cell>
          <cell r="J852">
            <v>2.364716505873507E-2</v>
          </cell>
          <cell r="K852">
            <v>2.1782329173056569E-2</v>
          </cell>
          <cell r="L852">
            <v>2.9090715094747831E-2</v>
          </cell>
          <cell r="M852">
            <v>3.3116696104494518E-2</v>
          </cell>
          <cell r="N852">
            <v>3.0347862541890952E-2</v>
          </cell>
          <cell r="O852">
            <v>2.6808000705009324E-2</v>
          </cell>
          <cell r="P852">
            <v>3.4740561668043624E-2</v>
          </cell>
        </row>
        <row r="853">
          <cell r="B853" t="str">
            <v>HPLGEO</v>
          </cell>
          <cell r="C853" t="str">
            <v>VAR_fout</v>
          </cell>
          <cell r="D853" t="str">
            <v>LTH</v>
          </cell>
          <cell r="J853">
            <v>3.112122599239399E-4</v>
          </cell>
          <cell r="K853">
            <v>3.120178967371002E-4</v>
          </cell>
          <cell r="L853">
            <v>3.1331970745377444E-4</v>
          </cell>
          <cell r="M853">
            <v>3.1386321091420532E-4</v>
          </cell>
          <cell r="N853">
            <v>3.1549494275742387E-4</v>
          </cell>
          <cell r="O853">
            <v>3.193863036971898E-4</v>
          </cell>
          <cell r="P853">
            <v>5.4164293879879516E-4</v>
          </cell>
        </row>
        <row r="854">
          <cell r="B854" t="str">
            <v>HPLGEO</v>
          </cell>
          <cell r="C854" t="str">
            <v>VAR_fin</v>
          </cell>
          <cell r="D854" t="str">
            <v>GEO</v>
          </cell>
          <cell r="J854">
            <v>3.6613207049875286E-4</v>
          </cell>
          <cell r="K854">
            <v>3.670798785142354E-4</v>
          </cell>
          <cell r="L854">
            <v>3.6861142053385256E-4</v>
          </cell>
          <cell r="M854">
            <v>3.6925083636965388E-4</v>
          </cell>
          <cell r="N854">
            <v>3.7117052089108708E-4</v>
          </cell>
          <cell r="O854">
            <v>3.7574859258492977E-4</v>
          </cell>
          <cell r="P854">
            <v>6.3722698682211129E-4</v>
          </cell>
        </row>
        <row r="855">
          <cell r="B855" t="str">
            <v>HPLGEO</v>
          </cell>
          <cell r="C855" t="str">
            <v>VAR_ncap</v>
          </cell>
          <cell r="D855" t="str">
            <v>-</v>
          </cell>
          <cell r="J855">
            <v>1.6139178973138798E-5</v>
          </cell>
          <cell r="K855">
            <v>8.2458654649250793E-8</v>
          </cell>
          <cell r="L855">
            <v>4.1706705635004802E-6</v>
          </cell>
          <cell r="M855">
            <v>2.07090770115246E-7</v>
          </cell>
          <cell r="N855">
            <v>1.7941858783530301E-5</v>
          </cell>
          <cell r="O855">
            <v>4.5480725125720501E-7</v>
          </cell>
          <cell r="P855">
            <v>2.40284640119703E-5</v>
          </cell>
        </row>
        <row r="856">
          <cell r="B856" t="str">
            <v>HPLGEO</v>
          </cell>
          <cell r="C856" t="str">
            <v>VAR_cap</v>
          </cell>
          <cell r="D856" t="str">
            <v>-</v>
          </cell>
          <cell r="J856">
            <v>1.6139178973138798E-5</v>
          </cell>
          <cell r="K856">
            <v>1.62216376277881E-5</v>
          </cell>
          <cell r="L856">
            <v>2.0392308191288601E-5</v>
          </cell>
          <cell r="M856">
            <v>1.8461031527576301E-5</v>
          </cell>
          <cell r="N856">
            <v>2.24020787717953E-5</v>
          </cell>
          <cell r="O856">
            <v>2.27744273684033E-5</v>
          </cell>
          <cell r="P856">
            <v>4.2632220816873102E-5</v>
          </cell>
        </row>
        <row r="857">
          <cell r="B857" t="str">
            <v>CT_CWODBDSCCS</v>
          </cell>
          <cell r="C857" t="str">
            <v>VAR_fout</v>
          </cell>
          <cell r="D857" t="str">
            <v>CO2_O</v>
          </cell>
          <cell r="J857">
            <v>1.5925781768867008E-2</v>
          </cell>
          <cell r="K857">
            <v>2.4031747771170595E-2</v>
          </cell>
          <cell r="L857">
            <v>604.36600845463636</v>
          </cell>
          <cell r="M857">
            <v>688.13682237515809</v>
          </cell>
          <cell r="N857">
            <v>604.36589117880249</v>
          </cell>
          <cell r="O857">
            <v>691.20421125113455</v>
          </cell>
          <cell r="P857">
            <v>706.09471700090705</v>
          </cell>
        </row>
        <row r="858">
          <cell r="B858" t="str">
            <v>CT_CWODBDSCCS</v>
          </cell>
          <cell r="C858" t="str">
            <v>VAR_fout</v>
          </cell>
          <cell r="D858" t="str">
            <v>CO2</v>
          </cell>
          <cell r="J858">
            <v>-1.5925781768867001E-2</v>
          </cell>
          <cell r="K858">
            <v>-2.4031747771170599E-2</v>
          </cell>
          <cell r="L858">
            <v>-604.36600845463704</v>
          </cell>
          <cell r="M858">
            <v>-688.13682237515798</v>
          </cell>
          <cell r="N858">
            <v>-604.36589117880203</v>
          </cell>
          <cell r="O858">
            <v>-691.20421125113501</v>
          </cell>
          <cell r="P858">
            <v>-706.09471700090705</v>
          </cell>
        </row>
        <row r="859">
          <cell r="B859" t="str">
            <v>CT_CWODBDSCCS</v>
          </cell>
          <cell r="C859" t="str">
            <v>VAR_fout</v>
          </cell>
          <cell r="D859" t="str">
            <v>BDS</v>
          </cell>
          <cell r="J859">
            <v>8.9109919083028247E-5</v>
          </cell>
          <cell r="K859">
            <v>1.344654303563965E-4</v>
          </cell>
          <cell r="L859">
            <v>3.3816240164238245</v>
          </cell>
          <cell r="M859">
            <v>3.8503489153528023</v>
          </cell>
          <cell r="N859">
            <v>3.3816233602274641</v>
          </cell>
          <cell r="O859">
            <v>3.8675119518995449</v>
          </cell>
          <cell r="P859">
            <v>3.9508291655676042</v>
          </cell>
        </row>
        <row r="860">
          <cell r="B860" t="str">
            <v>CT_CWODBDSCCS</v>
          </cell>
          <cell r="C860" t="str">
            <v>VAR_fout</v>
          </cell>
          <cell r="D860" t="str">
            <v>LTH</v>
          </cell>
          <cell r="J860">
            <v>3.4752868442380971E-5</v>
          </cell>
          <cell r="K860">
            <v>5.2441517838994519E-5</v>
          </cell>
          <cell r="L860">
            <v>1.3188333664052903</v>
          </cell>
          <cell r="M860">
            <v>1.5016360769875894</v>
          </cell>
          <cell r="N860">
            <v>1.3188331104887099</v>
          </cell>
          <cell r="O860">
            <v>1.5083296612408181</v>
          </cell>
          <cell r="P860">
            <v>1.5408233745713626</v>
          </cell>
        </row>
        <row r="861">
          <cell r="B861" t="str">
            <v>CT_CWODBDSCCS</v>
          </cell>
          <cell r="C861" t="str">
            <v>VAR_fin</v>
          </cell>
          <cell r="D861" t="str">
            <v>CWOD</v>
          </cell>
          <cell r="J861">
            <v>2.5391871442708889E-4</v>
          </cell>
          <cell r="K861">
            <v>3.8315924380055174E-4</v>
          </cell>
          <cell r="L861">
            <v>9.6359376347996921</v>
          </cell>
          <cell r="M861">
            <v>10.971569234297796</v>
          </cell>
          <cell r="N861">
            <v>9.6359357649681492</v>
          </cell>
          <cell r="O861">
            <v>11.020475306937751</v>
          </cell>
          <cell r="P861">
            <v>11.257887707284876</v>
          </cell>
        </row>
        <row r="862">
          <cell r="B862" t="str">
            <v>CT_CWODBDSCCS</v>
          </cell>
          <cell r="C862" t="str">
            <v>VAR_fin</v>
          </cell>
          <cell r="D862" t="str">
            <v>CELC</v>
          </cell>
          <cell r="J862">
            <v>1.1501544555930865E-5</v>
          </cell>
          <cell r="K862">
            <v>1.7355645189572025E-5</v>
          </cell>
          <cell r="L862">
            <v>0.43647104269127529</v>
          </cell>
          <cell r="M862">
            <v>0.49697003500303638</v>
          </cell>
          <cell r="N862">
            <v>0.43647095799507346</v>
          </cell>
          <cell r="O862">
            <v>0.49918529264874778</v>
          </cell>
          <cell r="P862">
            <v>0.50993916444147547</v>
          </cell>
        </row>
        <row r="863">
          <cell r="B863" t="str">
            <v>CT_CWODBDSCCS</v>
          </cell>
          <cell r="C863" t="str">
            <v>VAR_ncap</v>
          </cell>
          <cell r="D863" t="str">
            <v>-</v>
          </cell>
          <cell r="J863">
            <v>1.7565908250820099E-5</v>
          </cell>
          <cell r="K863">
            <v>1.7324558307897299E-6</v>
          </cell>
          <cell r="L863">
            <v>0.18858958540425799</v>
          </cell>
          <cell r="M863">
            <v>1.7262835584766201E-2</v>
          </cell>
          <cell r="N863">
            <v>5.6440252870777005E-7</v>
          </cell>
          <cell r="O863">
            <v>2.3263254711547599E-6</v>
          </cell>
          <cell r="P863">
            <v>0.187611657541564</v>
          </cell>
        </row>
        <row r="864">
          <cell r="B864" t="str">
            <v>CT_CWODBDSCCS</v>
          </cell>
          <cell r="C864" t="str">
            <v>VAR_cap</v>
          </cell>
          <cell r="D864" t="str">
            <v>-</v>
          </cell>
          <cell r="J864">
            <v>1.7565908250820099E-5</v>
          </cell>
          <cell r="K864">
            <v>1.9298364081609801E-5</v>
          </cell>
          <cell r="L864">
            <v>0.18860888376834001</v>
          </cell>
          <cell r="M864">
            <v>0.205869391950565</v>
          </cell>
          <cell r="N864">
            <v>0.20585471784738399</v>
          </cell>
          <cell r="O864">
            <v>0.20585531171702401</v>
          </cell>
          <cell r="P864">
            <v>0.20487738385432999</v>
          </cell>
        </row>
        <row r="865">
          <cell r="B865" t="str">
            <v>EHYD-PUM15</v>
          </cell>
          <cell r="C865" t="str">
            <v>VAR_fout</v>
          </cell>
          <cell r="D865" t="str">
            <v>ELC</v>
          </cell>
          <cell r="F865">
            <v>1.3380766473178715E-3</v>
          </cell>
          <cell r="G865">
            <v>1.6445954922869219E-3</v>
          </cell>
          <cell r="H865">
            <v>1.8403173658093595E-3</v>
          </cell>
          <cell r="I865">
            <v>1.6592642932427093E-3</v>
          </cell>
          <cell r="J865">
            <v>1.615142411183044E-3</v>
          </cell>
          <cell r="K865">
            <v>1.6940058648054806E-3</v>
          </cell>
          <cell r="L865">
            <v>2.3044423579037521E-3</v>
          </cell>
          <cell r="M865">
            <v>2.2564740592079637E-3</v>
          </cell>
          <cell r="N865">
            <v>3.2680272683309492E-3</v>
          </cell>
          <cell r="O865">
            <v>3.1488599654791497E-3</v>
          </cell>
          <cell r="P865">
            <v>6.2923641533939156E-3</v>
          </cell>
        </row>
        <row r="866">
          <cell r="B866" t="str">
            <v>EHYD-PUM15</v>
          </cell>
          <cell r="C866" t="str">
            <v>VAR_fout</v>
          </cell>
          <cell r="D866" t="str">
            <v>AUX_PUMP_OUT</v>
          </cell>
          <cell r="F866">
            <v>1.3380766473178715E-3</v>
          </cell>
          <cell r="G866">
            <v>1.6445954922869219E-3</v>
          </cell>
          <cell r="H866">
            <v>1.8403173658093595E-3</v>
          </cell>
          <cell r="I866">
            <v>1.6592642932427093E-3</v>
          </cell>
          <cell r="J866">
            <v>1.615142411183044E-3</v>
          </cell>
          <cell r="K866">
            <v>1.6940058648054806E-3</v>
          </cell>
          <cell r="L866">
            <v>2.3044423579037525E-3</v>
          </cell>
          <cell r="M866">
            <v>2.2564740592079637E-3</v>
          </cell>
          <cell r="N866">
            <v>3.2680272683309492E-3</v>
          </cell>
          <cell r="O866">
            <v>3.1488599654791497E-3</v>
          </cell>
          <cell r="P866">
            <v>6.2923641533939147E-3</v>
          </cell>
        </row>
        <row r="867">
          <cell r="B867" t="str">
            <v>EHYD-PUM15</v>
          </cell>
          <cell r="C867" t="str">
            <v>VAR_fin</v>
          </cell>
          <cell r="D867" t="str">
            <v>AUX_PUMP_IN</v>
          </cell>
          <cell r="F867">
            <v>1.672703777344276E-3</v>
          </cell>
          <cell r="G867">
            <v>2.0558597492527741E-3</v>
          </cell>
          <cell r="H867">
            <v>2.3005304087819665E-3</v>
          </cell>
          <cell r="I867">
            <v>2.0741419058060988E-3</v>
          </cell>
          <cell r="J867">
            <v>2.0187645239867062E-3</v>
          </cell>
          <cell r="K867">
            <v>2.1173435716323168E-3</v>
          </cell>
          <cell r="L867">
            <v>2.8803883857166116E-3</v>
          </cell>
          <cell r="M867">
            <v>2.8204277232369607E-3</v>
          </cell>
          <cell r="N867">
            <v>4.0848688353193182E-3</v>
          </cell>
          <cell r="O867">
            <v>3.9359095578364147E-3</v>
          </cell>
          <cell r="P867">
            <v>7.8652885925389621E-3</v>
          </cell>
        </row>
        <row r="868">
          <cell r="B868" t="str">
            <v>EHYD-PUM15</v>
          </cell>
          <cell r="C868" t="str">
            <v>VAR_fin</v>
          </cell>
          <cell r="D868" t="str">
            <v>ELC</v>
          </cell>
          <cell r="F868">
            <v>1.672703777344276E-3</v>
          </cell>
          <cell r="G868">
            <v>2.0558597492527741E-3</v>
          </cell>
          <cell r="H868">
            <v>2.3005304087819665E-3</v>
          </cell>
          <cell r="I868">
            <v>2.0741419058060988E-3</v>
          </cell>
          <cell r="J868">
            <v>2.0187645239867062E-3</v>
          </cell>
          <cell r="K868">
            <v>2.1173435716323168E-3</v>
          </cell>
          <cell r="L868">
            <v>2.8803883857166116E-3</v>
          </cell>
          <cell r="M868">
            <v>2.8204277232369607E-3</v>
          </cell>
          <cell r="N868">
            <v>4.0848688353193182E-3</v>
          </cell>
          <cell r="O868">
            <v>3.9359095578364147E-3</v>
          </cell>
          <cell r="P868">
            <v>7.8652885925389621E-3</v>
          </cell>
        </row>
        <row r="869">
          <cell r="B869" t="str">
            <v>EHYD-PUM15</v>
          </cell>
          <cell r="C869" t="str">
            <v>VAR_ncap</v>
          </cell>
          <cell r="D869" t="str">
            <v>-</v>
          </cell>
          <cell r="F869">
            <v>1.67458985481132E-4</v>
          </cell>
          <cell r="G869">
            <v>7.1366591913953997E-7</v>
          </cell>
          <cell r="H869">
            <v>8.4479837173282004E-7</v>
          </cell>
          <cell r="I869">
            <v>5.6991669180793203E-7</v>
          </cell>
          <cell r="J869">
            <v>6.1975630339479196E-5</v>
          </cell>
          <cell r="K869">
            <v>3.4023742308811599E-7</v>
          </cell>
          <cell r="L869">
            <v>7.02032587522913E-5</v>
          </cell>
          <cell r="M869">
            <v>1.08386464625345E-6</v>
          </cell>
          <cell r="N869">
            <v>2.9097273681657999E-4</v>
          </cell>
        </row>
        <row r="870">
          <cell r="B870" t="str">
            <v>EHYD-PUM15</v>
          </cell>
          <cell r="C870" t="str">
            <v>VAR_cap</v>
          </cell>
          <cell r="D870" t="str">
            <v>-</v>
          </cell>
          <cell r="F870">
            <v>1.67458985481132E-4</v>
          </cell>
          <cell r="G870">
            <v>1.67458985481132E-4</v>
          </cell>
          <cell r="H870">
            <v>1.67458985481132E-4</v>
          </cell>
          <cell r="I870">
            <v>1.6837609394972601E-4</v>
          </cell>
          <cell r="J870">
            <v>1.6901744977200399E-4</v>
          </cell>
          <cell r="K870">
            <v>1.7918870477862001E-4</v>
          </cell>
          <cell r="L870">
            <v>2.3156299680329099E-4</v>
          </cell>
          <cell r="M870">
            <v>2.3185095535886699E-4</v>
          </cell>
          <cell r="N870">
            <v>3.0236750696055698E-4</v>
          </cell>
          <cell r="O870">
            <v>3.0319035762492398E-4</v>
          </cell>
          <cell r="P870">
            <v>5.9416309444150397E-4</v>
          </cell>
        </row>
        <row r="871">
          <cell r="B871" t="str">
            <v>ENUC_AMR_BMGL_III</v>
          </cell>
          <cell r="C871" t="str">
            <v>VAR_fout</v>
          </cell>
          <cell r="D871" t="str">
            <v>HTH</v>
          </cell>
          <cell r="M871">
            <v>6.1251215098853694E-2</v>
          </cell>
          <cell r="N871">
            <v>0.16078878389226309</v>
          </cell>
          <cell r="O871">
            <v>0.14308199275647715</v>
          </cell>
          <cell r="P871">
            <v>0.11693517362563309</v>
          </cell>
        </row>
        <row r="872">
          <cell r="B872" t="str">
            <v>ENUC_AMR_BMGL_III</v>
          </cell>
          <cell r="C872" t="str">
            <v>VAR_fout</v>
          </cell>
          <cell r="D872" t="str">
            <v>ELC</v>
          </cell>
          <cell r="M872">
            <v>0.16488654769054575</v>
          </cell>
          <cell r="N872">
            <v>0.38699693548565356</v>
          </cell>
          <cell r="O872">
            <v>0.40691298861127756</v>
          </cell>
          <cell r="P872">
            <v>0.4082243268735074</v>
          </cell>
        </row>
        <row r="873">
          <cell r="B873" t="str">
            <v>ENUC_AMR_BMGL_III</v>
          </cell>
          <cell r="C873" t="str">
            <v>VAR_fin</v>
          </cell>
          <cell r="D873" t="str">
            <v>URN</v>
          </cell>
          <cell r="M873">
            <v>0.43150915013961644</v>
          </cell>
          <cell r="N873">
            <v>1.0308746207321413</v>
          </cell>
          <cell r="O873">
            <v>1.0563144451174187</v>
          </cell>
          <cell r="P873">
            <v>1.0314346420619922</v>
          </cell>
        </row>
        <row r="874">
          <cell r="B874" t="str">
            <v>ENUC_AMR_BMGL_III</v>
          </cell>
          <cell r="C874" t="str">
            <v>VAR_ncap</v>
          </cell>
          <cell r="D874" t="str">
            <v>-</v>
          </cell>
          <cell r="M874">
            <v>1.7139156015981701E-2</v>
          </cell>
          <cell r="N874">
            <v>3.7495302830159702E-7</v>
          </cell>
          <cell r="O874">
            <v>7.0781278607364499E-7</v>
          </cell>
        </row>
        <row r="875">
          <cell r="B875" t="str">
            <v>ENUC_AMR_BMGL_III</v>
          </cell>
          <cell r="C875" t="str">
            <v>VAR_cap</v>
          </cell>
          <cell r="D875" t="str">
            <v>-</v>
          </cell>
          <cell r="M875">
            <v>6.9843132823432501E-3</v>
          </cell>
          <cell r="N875">
            <v>1.7139156015981701E-2</v>
          </cell>
          <cell r="O875">
            <v>1.7139755355353399E-2</v>
          </cell>
          <cell r="P875">
            <v>1.7140238781796099E-2</v>
          </cell>
        </row>
        <row r="876">
          <cell r="B876" t="str">
            <v>ENUC_AMR_GOE_III</v>
          </cell>
          <cell r="C876" t="str">
            <v>VAR_fout</v>
          </cell>
          <cell r="D876" t="str">
            <v>HTH</v>
          </cell>
          <cell r="M876">
            <v>0.24618368786544725</v>
          </cell>
          <cell r="N876">
            <v>0.63300280169505108</v>
          </cell>
          <cell r="O876">
            <v>0.61175461240586315</v>
          </cell>
          <cell r="P876">
            <v>0.53967669340027646</v>
          </cell>
        </row>
        <row r="877">
          <cell r="B877" t="str">
            <v>ENUC_AMR_GOE_III</v>
          </cell>
          <cell r="C877" t="str">
            <v>VAR_fout</v>
          </cell>
          <cell r="D877" t="str">
            <v>ELC</v>
          </cell>
          <cell r="M877">
            <v>0.78568397127220524</v>
          </cell>
          <cell r="N877">
            <v>1.8577940433913294</v>
          </cell>
          <cell r="O877">
            <v>1.9213638967659639</v>
          </cell>
          <cell r="P877">
            <v>1.903337803778439</v>
          </cell>
        </row>
        <row r="878">
          <cell r="B878" t="str">
            <v>ENUC_AMR_GOE_III</v>
          </cell>
          <cell r="C878" t="str">
            <v>VAR_fin</v>
          </cell>
          <cell r="D878" t="str">
            <v>URN</v>
          </cell>
          <cell r="M878">
            <v>2.007605557654597</v>
          </cell>
          <cell r="N878">
            <v>4.8011826231826245</v>
          </cell>
          <cell r="O878">
            <v>4.9198670758362884</v>
          </cell>
          <cell r="P878">
            <v>4.8031995488981316</v>
          </cell>
        </row>
        <row r="879">
          <cell r="B879" t="str">
            <v>ENUC_AMR_GOE_III</v>
          </cell>
          <cell r="C879" t="str">
            <v>VAR_ncap</v>
          </cell>
          <cell r="D879" t="str">
            <v>-</v>
          </cell>
          <cell r="M879">
            <v>7.9860908544541503E-2</v>
          </cell>
          <cell r="N879">
            <v>3.64986417355987E-7</v>
          </cell>
          <cell r="O879">
            <v>6.7889174841804401E-7</v>
          </cell>
        </row>
        <row r="880">
          <cell r="B880" t="str">
            <v>ENUC_AMR_GOE_III</v>
          </cell>
          <cell r="C880" t="str">
            <v>VAR_cap</v>
          </cell>
          <cell r="D880" t="str">
            <v>-</v>
          </cell>
          <cell r="M880">
            <v>3.2543819763793301E-2</v>
          </cell>
          <cell r="N880">
            <v>7.9860908544541503E-2</v>
          </cell>
          <cell r="O880">
            <v>7.9861488748937406E-2</v>
          </cell>
          <cell r="P880">
            <v>7.98619524227073E-2</v>
          </cell>
        </row>
        <row r="881">
          <cell r="B881" t="str">
            <v>D-EWST</v>
          </cell>
          <cell r="C881" t="str">
            <v>VAR_fout</v>
          </cell>
          <cell r="D881" t="str">
            <v>CO2</v>
          </cell>
          <cell r="E881">
            <v>2266.2744782309801</v>
          </cell>
          <cell r="F881">
            <v>2235.40320359116</v>
          </cell>
          <cell r="G881">
            <v>2268.7798497736298</v>
          </cell>
          <cell r="H881">
            <v>2238.5108433600999</v>
          </cell>
          <cell r="I881">
            <v>2240.4529813753902</v>
          </cell>
          <cell r="J881">
            <v>2288.7580083091302</v>
          </cell>
          <cell r="K881">
            <v>2314.65845348941</v>
          </cell>
          <cell r="L881">
            <v>2340.5633667586899</v>
          </cell>
          <cell r="M881">
            <v>2317.3896646612402</v>
          </cell>
          <cell r="N881">
            <v>2317.3897890423</v>
          </cell>
          <cell r="O881">
            <v>2317.38969340415</v>
          </cell>
          <cell r="P881">
            <v>2317.3898928785302</v>
          </cell>
        </row>
        <row r="882">
          <cell r="B882" t="str">
            <v>D-EWST</v>
          </cell>
          <cell r="C882" t="str">
            <v>VAR_fout</v>
          </cell>
          <cell r="D882" t="str">
            <v>EWST</v>
          </cell>
          <cell r="E882">
            <v>48.842122375667657</v>
          </cell>
          <cell r="F882">
            <v>48.176795168930639</v>
          </cell>
          <cell r="G882">
            <v>48.896118725424827</v>
          </cell>
          <cell r="H882">
            <v>48.243767471748129</v>
          </cell>
          <cell r="I882">
            <v>48.285625340455553</v>
          </cell>
          <cell r="J882">
            <v>49.326681213558828</v>
          </cell>
          <cell r="K882">
            <v>49.884880463133918</v>
          </cell>
          <cell r="L882">
            <v>50.443176007730386</v>
          </cell>
          <cell r="M882">
            <v>49.943742772871545</v>
          </cell>
          <cell r="N882">
            <v>49.943745453497854</v>
          </cell>
          <cell r="O882">
            <v>49.943743392330752</v>
          </cell>
          <cell r="P882">
            <v>49.943747691347575</v>
          </cell>
        </row>
        <row r="883">
          <cell r="B883" t="str">
            <v>D-EWST</v>
          </cell>
          <cell r="C883" t="str">
            <v>VAR_fin</v>
          </cell>
          <cell r="D883" t="str">
            <v>WSTNREN</v>
          </cell>
          <cell r="E883">
            <v>24.421061187833832</v>
          </cell>
          <cell r="F883">
            <v>24.088396590421969</v>
          </cell>
          <cell r="G883">
            <v>24.448058726008902</v>
          </cell>
          <cell r="H883">
            <v>24.121884087932141</v>
          </cell>
          <cell r="I883">
            <v>24.142812299303724</v>
          </cell>
          <cell r="J883">
            <v>24.663340606779411</v>
          </cell>
          <cell r="K883">
            <v>24.942440231566948</v>
          </cell>
          <cell r="L883">
            <v>25.22158800386519</v>
          </cell>
          <cell r="M883">
            <v>24.971871386435776</v>
          </cell>
          <cell r="N883">
            <v>24.97187272674892</v>
          </cell>
          <cell r="O883">
            <v>24.971871696165366</v>
          </cell>
          <cell r="P883">
            <v>24.971873845673795</v>
          </cell>
        </row>
        <row r="884">
          <cell r="B884" t="str">
            <v>D-EWST</v>
          </cell>
          <cell r="C884" t="str">
            <v>VAR_fin</v>
          </cell>
          <cell r="D884" t="str">
            <v>WSTREN</v>
          </cell>
          <cell r="E884">
            <v>24.421061187833832</v>
          </cell>
          <cell r="F884">
            <v>24.088396590421969</v>
          </cell>
          <cell r="G884">
            <v>24.448058726008902</v>
          </cell>
          <cell r="H884">
            <v>24.121884087932141</v>
          </cell>
          <cell r="I884">
            <v>24.142812299303724</v>
          </cell>
          <cell r="J884">
            <v>24.663340606779411</v>
          </cell>
          <cell r="K884">
            <v>24.942440231566948</v>
          </cell>
          <cell r="L884">
            <v>25.22158800386519</v>
          </cell>
          <cell r="M884">
            <v>24.971871386435776</v>
          </cell>
          <cell r="N884">
            <v>24.97187272674892</v>
          </cell>
          <cell r="O884">
            <v>24.971871696165366</v>
          </cell>
          <cell r="P884">
            <v>24.971873845673795</v>
          </cell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2045</v>
          </cell>
          <cell r="F3" t="str">
            <v>2050</v>
          </cell>
          <cell r="G3" t="str">
            <v>2055</v>
          </cell>
          <cell r="H3" t="str">
            <v>2060</v>
          </cell>
          <cell r="I3" t="str">
            <v>2065</v>
          </cell>
          <cell r="J3" t="str">
            <v>2070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20.996011201929893</v>
          </cell>
          <cell r="E4">
            <v>12.092487539588138</v>
          </cell>
          <cell r="F4">
            <v>27.973648227788114</v>
          </cell>
          <cell r="G4">
            <v>76.683482289024539</v>
          </cell>
          <cell r="H4">
            <v>141.57866237468534</v>
          </cell>
          <cell r="I4">
            <v>164.13247547856241</v>
          </cell>
          <cell r="J4">
            <v>164.24406252934955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3.2297811901758872E-2</v>
          </cell>
          <cell r="E5">
            <v>1.4368938819584506E-2</v>
          </cell>
          <cell r="F5">
            <v>2.0575219925096428</v>
          </cell>
          <cell r="G5">
            <v>71.721452293831476</v>
          </cell>
          <cell r="H5">
            <v>133.45514469501518</v>
          </cell>
          <cell r="I5">
            <v>156.72464481643647</v>
          </cell>
          <cell r="J5">
            <v>157.81326171503019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20.686723825180625</v>
          </cell>
          <cell r="E6">
            <v>11.93534188763325</v>
          </cell>
          <cell r="F6">
            <v>25.884668214966066</v>
          </cell>
          <cell r="G6">
            <v>4.9134900345239547</v>
          </cell>
          <cell r="H6">
            <v>8.0270713820588355</v>
          </cell>
          <cell r="I6">
            <v>7.3384924992522933</v>
          </cell>
          <cell r="J6">
            <v>6.2764678618216871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0.27698956484749465</v>
          </cell>
          <cell r="E7">
            <v>0.14277671313530493</v>
          </cell>
          <cell r="F7">
            <v>3.1458020312382935E-2</v>
          </cell>
          <cell r="G7">
            <v>4.8539960669073332E-2</v>
          </cell>
          <cell r="H7">
            <v>9.6446297611249482E-2</v>
          </cell>
          <cell r="I7">
            <v>6.9338162873739034E-2</v>
          </cell>
          <cell r="J7">
            <v>0.15433295249783099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485.9675695005572</v>
          </cell>
          <cell r="E8">
            <v>1107.5962817323123</v>
          </cell>
          <cell r="F8">
            <v>1152.3341509694678</v>
          </cell>
          <cell r="G8">
            <v>1140.9251510619126</v>
          </cell>
          <cell r="H8">
            <v>1140.9250811230443</v>
          </cell>
          <cell r="I8">
            <v>1140.9250007211679</v>
          </cell>
          <cell r="J8">
            <v>1140.925080568451</v>
          </cell>
        </row>
        <row r="9">
          <cell r="A9" t="str">
            <v>CO2_O</v>
          </cell>
          <cell r="B9" t="str">
            <v>VAR_fout</v>
          </cell>
          <cell r="C9" t="str">
            <v>ENGA-CCS</v>
          </cell>
          <cell r="E9">
            <v>2.8418549212220806E-4</v>
          </cell>
          <cell r="F9">
            <v>7.9230558300299823E-3</v>
          </cell>
          <cell r="G9">
            <v>4.4428734557800231</v>
          </cell>
          <cell r="H9">
            <v>4.9456949342713425</v>
          </cell>
          <cell r="I9">
            <v>4.8210114045922303</v>
          </cell>
          <cell r="J9">
            <v>4.8700327355606952</v>
          </cell>
        </row>
        <row r="10">
          <cell r="A10" t="str">
            <v>CO2_O</v>
          </cell>
          <cell r="B10" t="str">
            <v>VAR_fout</v>
          </cell>
          <cell r="C10" t="str">
            <v>CHPWSTCCS</v>
          </cell>
          <cell r="D10">
            <v>542.08489995502964</v>
          </cell>
          <cell r="E10">
            <v>1143.8529487899534</v>
          </cell>
          <cell r="F10">
            <v>1099.4970359774347</v>
          </cell>
          <cell r="G10">
            <v>1088.611033487826</v>
          </cell>
          <cell r="H10">
            <v>1088.6110636611459</v>
          </cell>
          <cell r="I10">
            <v>1088.6109342716366</v>
          </cell>
          <cell r="J10">
            <v>1088.611038158841</v>
          </cell>
        </row>
        <row r="11">
          <cell r="A11" t="str">
            <v>CO2_O</v>
          </cell>
          <cell r="B11" t="str">
            <v>VAR_fout</v>
          </cell>
          <cell r="C11" t="str">
            <v>ITOT-CHPWSTCCS</v>
          </cell>
          <cell r="D11">
            <v>58.352515701655683</v>
          </cell>
          <cell r="E11">
            <v>753.86114883925211</v>
          </cell>
          <cell r="F11">
            <v>715.12262405460888</v>
          </cell>
          <cell r="G11">
            <v>715.06072198667164</v>
          </cell>
          <cell r="H11">
            <v>714.89664186399932</v>
          </cell>
          <cell r="I11">
            <v>715.05472921015144</v>
          </cell>
          <cell r="J11">
            <v>715.17166059681313</v>
          </cell>
        </row>
        <row r="12">
          <cell r="A12" t="str">
            <v>CO2_O</v>
          </cell>
          <cell r="B12" t="str">
            <v>VAR_fout</v>
          </cell>
          <cell r="C12" t="str">
            <v>ITOT-CHPNGACCS</v>
          </cell>
          <cell r="D12">
            <v>0.70307075519273021</v>
          </cell>
          <cell r="E12">
            <v>37.858718360385019</v>
          </cell>
          <cell r="F12">
            <v>37.972353470244727</v>
          </cell>
          <cell r="G12">
            <v>37.949802380163931</v>
          </cell>
          <cell r="H12">
            <v>31.846153246754909</v>
          </cell>
          <cell r="I12">
            <v>37.958992247443611</v>
          </cell>
          <cell r="J12">
            <v>37.983419163188685</v>
          </cell>
        </row>
        <row r="13">
          <cell r="A13" t="str">
            <v>CO2_O</v>
          </cell>
          <cell r="B13" t="str">
            <v>VAR_fout</v>
          </cell>
          <cell r="C13" t="str">
            <v>SUP_WSTHTGBIOCCS</v>
          </cell>
          <cell r="D13">
            <v>4.3433354622501134E-3</v>
          </cell>
          <cell r="E13">
            <v>5.9303765571936864E-3</v>
          </cell>
          <cell r="F13">
            <v>4.285709643532621E-2</v>
          </cell>
          <cell r="G13">
            <v>4.0760678857430524E-2</v>
          </cell>
          <cell r="H13">
            <v>2.7240218056360205E-2</v>
          </cell>
          <cell r="I13">
            <v>3.089511603739193E-2</v>
          </cell>
          <cell r="J13">
            <v>2.9081567623065612E-2</v>
          </cell>
        </row>
        <row r="14">
          <cell r="A14" t="str">
            <v>CO2_O</v>
          </cell>
          <cell r="B14" t="str">
            <v>VAR_fout</v>
          </cell>
          <cell r="C14" t="str">
            <v>ITOT-CHPWODCCS</v>
          </cell>
          <cell r="D14">
            <v>755.6963826981181</v>
          </cell>
          <cell r="E14">
            <v>1069.7403589923388</v>
          </cell>
          <cell r="F14">
            <v>1239.9171715040291</v>
          </cell>
          <cell r="G14">
            <v>1229.6855740591475</v>
          </cell>
          <cell r="H14">
            <v>1239.9172482780323</v>
          </cell>
          <cell r="I14">
            <v>1237.0148901997379</v>
          </cell>
          <cell r="J14">
            <v>1239.9183237934596</v>
          </cell>
        </row>
        <row r="15">
          <cell r="A15" t="str">
            <v>CO2_O</v>
          </cell>
          <cell r="B15" t="str">
            <v>VAR_fout</v>
          </cell>
          <cell r="C15" t="str">
            <v>EWOD-CCS</v>
          </cell>
          <cell r="D15">
            <v>0.1655545844890986</v>
          </cell>
          <cell r="E15">
            <v>10.751668750198432</v>
          </cell>
          <cell r="F15">
            <v>168.53619896210162</v>
          </cell>
          <cell r="G15">
            <v>181.57038057702979</v>
          </cell>
          <cell r="H15">
            <v>181.86926235760106</v>
          </cell>
          <cell r="I15">
            <v>182.00309109385475</v>
          </cell>
          <cell r="J15">
            <v>182.21006656731973</v>
          </cell>
        </row>
        <row r="16">
          <cell r="A16" t="str">
            <v>CO2_O</v>
          </cell>
          <cell r="B16" t="str">
            <v>VAR_fout</v>
          </cell>
          <cell r="C16" t="str">
            <v>ITOT-PROCESSCO2CCS</v>
          </cell>
          <cell r="D16">
            <v>6.756669341155723E-2</v>
          </cell>
          <cell r="E16">
            <v>1035.2511329839008</v>
          </cell>
          <cell r="F16">
            <v>1031.8775711267963</v>
          </cell>
          <cell r="G16">
            <v>1031.8789146349693</v>
          </cell>
          <cell r="H16">
            <v>1031.8801136712805</v>
          </cell>
          <cell r="I16">
            <v>1031.8806322473702</v>
          </cell>
          <cell r="J16">
            <v>1031.8814857693417</v>
          </cell>
        </row>
        <row r="17">
          <cell r="A17" t="str">
            <v>CO2_O</v>
          </cell>
          <cell r="B17" t="str">
            <v>VAR_fout</v>
          </cell>
          <cell r="C17" t="str">
            <v>SUP_WODH2CCS</v>
          </cell>
          <cell r="F17">
            <v>838.57681068000659</v>
          </cell>
          <cell r="G17">
            <v>839.29618472219397</v>
          </cell>
          <cell r="H17">
            <v>930.18459636756393</v>
          </cell>
          <cell r="I17">
            <v>930.20305962815723</v>
          </cell>
          <cell r="J17">
            <v>930.11526600244804</v>
          </cell>
        </row>
        <row r="18">
          <cell r="A18" t="str">
            <v>CO2_O</v>
          </cell>
          <cell r="B18" t="str">
            <v>VAR_fout</v>
          </cell>
          <cell r="C18" t="str">
            <v>SUP_WODBIOCCS</v>
          </cell>
          <cell r="D18">
            <v>2.2035311089550851E-2</v>
          </cell>
          <cell r="E18">
            <v>3.101732106391452E-2</v>
          </cell>
          <cell r="F18">
            <v>6.6614422794923966E-2</v>
          </cell>
          <cell r="G18">
            <v>6.5135919461198524E-2</v>
          </cell>
          <cell r="H18">
            <v>6.0989249856987678E-2</v>
          </cell>
          <cell r="I18">
            <v>6.2251622080272309E-2</v>
          </cell>
          <cell r="J18">
            <v>9.7926750341969376E-2</v>
          </cell>
        </row>
        <row r="19">
          <cell r="A19" t="str">
            <v>CO2_O</v>
          </cell>
          <cell r="B19" t="str">
            <v>VAR_fout</v>
          </cell>
          <cell r="C19" t="str">
            <v>SUP_NGAH2CCS</v>
          </cell>
          <cell r="F19">
            <v>9.3323023535850386E-3</v>
          </cell>
          <cell r="G19">
            <v>9.6214644929333848E-3</v>
          </cell>
          <cell r="H19">
            <v>9.2552242319413735E-3</v>
          </cell>
          <cell r="I19">
            <v>1.2141574890157856E-2</v>
          </cell>
          <cell r="J19">
            <v>1.803920359959749E-2</v>
          </cell>
        </row>
        <row r="20">
          <cell r="A20" t="str">
            <v>CO2_O</v>
          </cell>
          <cell r="B20" t="str">
            <v>VAR_fout</v>
          </cell>
          <cell r="C20" t="str">
            <v>CT_CWODETHCCS</v>
          </cell>
          <cell r="D20">
            <v>1.932090650751922E-3</v>
          </cell>
          <cell r="E20">
            <v>1.6649606032863586E-3</v>
          </cell>
          <cell r="F20">
            <v>1.9401740845663956E-3</v>
          </cell>
          <cell r="G20">
            <v>1.9692729720361315E-3</v>
          </cell>
          <cell r="H20">
            <v>1.4264527637841994E-2</v>
          </cell>
          <cell r="I20">
            <v>3.0989392100065323E-3</v>
          </cell>
          <cell r="J20">
            <v>1.2717103011634812E-2</v>
          </cell>
        </row>
        <row r="21">
          <cell r="A21" t="str">
            <v>CO2_O</v>
          </cell>
          <cell r="B21" t="str">
            <v>VAR_fout</v>
          </cell>
          <cell r="C21" t="str">
            <v>SUP_DAC</v>
          </cell>
          <cell r="D21">
            <v>4.5787766727971579E-3</v>
          </cell>
          <cell r="E21">
            <v>7.5479600779775075E-3</v>
          </cell>
          <cell r="F21">
            <v>105.66361755237882</v>
          </cell>
          <cell r="G21">
            <v>329.3350434470197</v>
          </cell>
          <cell r="H21">
            <v>1505.0228173200264</v>
          </cell>
          <cell r="I21">
            <v>2210.9432139250184</v>
          </cell>
          <cell r="J21">
            <v>2918.414832594935</v>
          </cell>
        </row>
        <row r="22">
          <cell r="A22" t="str">
            <v>CO2_O</v>
          </cell>
          <cell r="B22" t="str">
            <v>VAR_fout</v>
          </cell>
          <cell r="C22" t="str">
            <v>CT_CWODBDSCCS</v>
          </cell>
          <cell r="D22">
            <v>1.5925781768867008E-2</v>
          </cell>
          <cell r="E22">
            <v>2.4031747771170595E-2</v>
          </cell>
          <cell r="F22">
            <v>604.36600845463636</v>
          </cell>
          <cell r="G22">
            <v>688.13682237515809</v>
          </cell>
          <cell r="H22">
            <v>604.36589117880249</v>
          </cell>
          <cell r="I22">
            <v>691.20421125113455</v>
          </cell>
          <cell r="J22">
            <v>706.09471700090705</v>
          </cell>
        </row>
        <row r="23">
          <cell r="A23" t="str">
            <v>CO2_O</v>
          </cell>
          <cell r="B23" t="str">
            <v>VAR_fin</v>
          </cell>
          <cell r="C23" t="str">
            <v>D-CO2_O</v>
          </cell>
          <cell r="D23">
            <v>1843.0754691374145</v>
          </cell>
          <cell r="E23">
            <v>5158.9700694993253</v>
          </cell>
          <cell r="F23">
            <v>6993.9780973531224</v>
          </cell>
          <cell r="G23">
            <v>7286.9998658439772</v>
          </cell>
          <cell r="H23">
            <v>8474.5619199099565</v>
          </cell>
          <cell r="I23">
            <v>9270.7166862561808</v>
          </cell>
          <cell r="J23">
            <v>9996.3395955283468</v>
          </cell>
        </row>
        <row r="24">
          <cell r="A24" t="str">
            <v>CO2_Q</v>
          </cell>
          <cell r="B24" t="str">
            <v>VAR_fout</v>
          </cell>
          <cell r="C24" t="str">
            <v>D-CO2_O</v>
          </cell>
          <cell r="D24">
            <v>833.33183175048759</v>
          </cell>
          <cell r="E24">
            <v>343.4962982623436</v>
          </cell>
          <cell r="F24">
            <v>658.807688332167</v>
          </cell>
          <cell r="G24">
            <v>903.11782224240676</v>
          </cell>
          <cell r="H24">
            <v>2025.7846723133641</v>
          </cell>
          <cell r="I24">
            <v>2799.3845259214509</v>
          </cell>
          <cell r="J24">
            <v>3524.8961179298694</v>
          </cell>
        </row>
        <row r="25">
          <cell r="A25" t="str">
            <v>CO2_Q</v>
          </cell>
          <cell r="B25" t="str">
            <v>VAR_fin</v>
          </cell>
          <cell r="C25" t="str">
            <v>CO2SINK</v>
          </cell>
          <cell r="D25">
            <v>833.33183175048759</v>
          </cell>
          <cell r="E25">
            <v>343.4962982623436</v>
          </cell>
          <cell r="F25">
            <v>658.807688332167</v>
          </cell>
          <cell r="G25">
            <v>903.11782224240676</v>
          </cell>
          <cell r="H25">
            <v>2025.7846723133641</v>
          </cell>
          <cell r="I25">
            <v>2799.3845259214509</v>
          </cell>
          <cell r="J25">
            <v>3524.8961179298694</v>
          </cell>
        </row>
        <row r="26">
          <cell r="A26" t="str">
            <v>CO2_X</v>
          </cell>
          <cell r="B26" t="str">
            <v>VAR_fout</v>
          </cell>
          <cell r="C26" t="str">
            <v>D-CO2_O</v>
          </cell>
          <cell r="D26">
            <v>988.74762618499813</v>
          </cell>
          <cell r="E26">
            <v>4803.3812836974048</v>
          </cell>
          <cell r="F26">
            <v>6307.196760793172</v>
          </cell>
          <cell r="G26">
            <v>6307.1985613125325</v>
          </cell>
          <cell r="H26">
            <v>6307.1985852219532</v>
          </cell>
          <cell r="I26">
            <v>6307.1996848561712</v>
          </cell>
          <cell r="J26">
            <v>6307.1994150691062</v>
          </cell>
        </row>
        <row r="27">
          <cell r="A27" t="str">
            <v>CO2_X</v>
          </cell>
          <cell r="B27" t="str">
            <v>VAR_fin</v>
          </cell>
          <cell r="C27" t="str">
            <v>CO2EXP</v>
          </cell>
          <cell r="D27">
            <v>988.74762618499813</v>
          </cell>
          <cell r="E27">
            <v>4803.3812836974048</v>
          </cell>
          <cell r="F27">
            <v>6307.196760793172</v>
          </cell>
          <cell r="G27">
            <v>6307.1985613125325</v>
          </cell>
          <cell r="H27">
            <v>6307.1985852219532</v>
          </cell>
          <cell r="I27">
            <v>6307.1996848561712</v>
          </cell>
          <cell r="J27">
            <v>6307.1994150691062</v>
          </cell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IMPBDS1</v>
          </cell>
          <cell r="C4" t="str">
            <v>BDS1</v>
          </cell>
          <cell r="G4">
            <v>5.2999195223040996</v>
          </cell>
          <cell r="H4">
            <v>18.511786166520402</v>
          </cell>
          <cell r="I4">
            <v>38.847115281717102</v>
          </cell>
          <cell r="J4">
            <v>68.659109762583398</v>
          </cell>
          <cell r="K4">
            <v>93.853201502470498</v>
          </cell>
          <cell r="L4">
            <v>93.853205917719293</v>
          </cell>
          <cell r="M4">
            <v>94.908951943099595</v>
          </cell>
          <cell r="N4">
            <v>96.620373173771</v>
          </cell>
          <cell r="O4">
            <v>98.328930298749896</v>
          </cell>
        </row>
        <row r="5">
          <cell r="A5" t="str">
            <v>EXPELC_DE</v>
          </cell>
          <cell r="C5" t="str">
            <v>ELC_E-DE</v>
          </cell>
          <cell r="D5">
            <v>26.492980027562634</v>
          </cell>
          <cell r="E5">
            <v>2.8537975639579251E-4</v>
          </cell>
          <cell r="F5">
            <v>3.2335649985986196E-4</v>
          </cell>
          <cell r="G5">
            <v>5.427897043750031E-4</v>
          </cell>
          <cell r="H5">
            <v>6.4861520254409831E-4</v>
          </cell>
          <cell r="I5">
            <v>3.8145112045540573E-4</v>
          </cell>
          <cell r="J5">
            <v>2.7053619071649212E-4</v>
          </cell>
          <cell r="K5">
            <v>2.1973009144588931E-4</v>
          </cell>
          <cell r="L5">
            <v>1.5810332893785857E-4</v>
          </cell>
          <cell r="M5">
            <v>2.9966313140944055E-4</v>
          </cell>
          <cell r="N5">
            <v>2.9752853764822626E-4</v>
          </cell>
          <cell r="O5">
            <v>6.1355706226076288E-4</v>
          </cell>
        </row>
        <row r="6">
          <cell r="A6" t="str">
            <v>IMPDSL</v>
          </cell>
          <cell r="C6" t="str">
            <v>DSL</v>
          </cell>
          <cell r="D6">
            <v>118.53390760086451</v>
          </cell>
          <cell r="E6">
            <v>111.81587508608686</v>
          </cell>
          <cell r="F6">
            <v>95.73980481423574</v>
          </cell>
          <cell r="G6">
            <v>63.245509274896143</v>
          </cell>
          <cell r="H6">
            <v>36.636936839181963</v>
          </cell>
          <cell r="I6">
            <v>24.316064026972345</v>
          </cell>
          <cell r="J6">
            <v>10.621971587694455</v>
          </cell>
          <cell r="L6">
            <v>2.332142752202416E-4</v>
          </cell>
          <cell r="M6">
            <v>3.9788845819311181E-4</v>
          </cell>
          <cell r="N6">
            <v>2.5573949183386037E-4</v>
          </cell>
          <cell r="O6">
            <v>4.7551146308547266E-4</v>
          </cell>
        </row>
        <row r="7">
          <cell r="A7" t="str">
            <v>IMPH2</v>
          </cell>
          <cell r="C7" t="str">
            <v>H2</v>
          </cell>
          <cell r="I7">
            <v>5.4832120619479729</v>
          </cell>
          <cell r="J7">
            <v>9.2130894171516964</v>
          </cell>
          <cell r="K7">
            <v>9.983166329304618</v>
          </cell>
          <cell r="L7">
            <v>6.7781602497908251</v>
          </cell>
          <cell r="M7">
            <v>5.0933526685761707</v>
          </cell>
          <cell r="N7">
            <v>5.1804148504070104</v>
          </cell>
          <cell r="O7">
            <v>5.0701936112871593</v>
          </cell>
        </row>
        <row r="8">
          <cell r="A8" t="str">
            <v>IMPELC_AT</v>
          </cell>
          <cell r="C8" t="str">
            <v>ELC_I-AT</v>
          </cell>
          <cell r="D8">
            <v>15.013806362503384</v>
          </cell>
          <cell r="E8">
            <v>1.6843048401183881E-2</v>
          </cell>
          <cell r="F8">
            <v>9.7143289720811304E-3</v>
          </cell>
          <cell r="G8">
            <v>1.4992718360131139E-2</v>
          </cell>
          <cell r="H8">
            <v>4.037904235502641E-3</v>
          </cell>
          <cell r="I8">
            <v>6.2991157495742153E-3</v>
          </cell>
          <cell r="J8">
            <v>1.0666043405760479E-2</v>
          </cell>
          <cell r="K8">
            <v>1.0521332451056294E-2</v>
          </cell>
          <cell r="L8">
            <v>1.777890069908876</v>
          </cell>
          <cell r="M8">
            <v>8.8778644615239326</v>
          </cell>
          <cell r="N8">
            <v>9.2010164753305368</v>
          </cell>
          <cell r="O8">
            <v>8.2404986013922592</v>
          </cell>
        </row>
        <row r="9">
          <cell r="A9" t="str">
            <v>IMPELC_AT</v>
          </cell>
          <cell r="C9" t="str">
            <v>ELCS</v>
          </cell>
          <cell r="D9">
            <v>15.013806362503384</v>
          </cell>
          <cell r="E9">
            <v>1.6843048401183881E-2</v>
          </cell>
          <cell r="F9">
            <v>9.7143289720811304E-3</v>
          </cell>
          <cell r="G9">
            <v>1.4992718360131139E-2</v>
          </cell>
          <cell r="H9">
            <v>4.037904235502641E-3</v>
          </cell>
          <cell r="I9">
            <v>6.2991157495742153E-3</v>
          </cell>
          <cell r="J9">
            <v>1.0666043405760479E-2</v>
          </cell>
          <cell r="K9">
            <v>1.0521332451056294E-2</v>
          </cell>
          <cell r="L9">
            <v>1.777890069908876</v>
          </cell>
          <cell r="M9">
            <v>8.8778644615239326</v>
          </cell>
          <cell r="N9">
            <v>9.2010164753305368</v>
          </cell>
          <cell r="O9">
            <v>8.2404986013922592</v>
          </cell>
        </row>
        <row r="10">
          <cell r="A10" t="str">
            <v>IMPELC_FR</v>
          </cell>
          <cell r="C10" t="str">
            <v>ELC_I-FR</v>
          </cell>
          <cell r="D10">
            <v>28.948621866347789</v>
          </cell>
          <cell r="E10">
            <v>21.31304504423159</v>
          </cell>
          <cell r="F10">
            <v>26.506195347079775</v>
          </cell>
          <cell r="G10">
            <v>15.516188633606582</v>
          </cell>
          <cell r="H10">
            <v>23.906982859771272</v>
          </cell>
          <cell r="I10">
            <v>30.096243590167081</v>
          </cell>
          <cell r="J10">
            <v>38.588206615034615</v>
          </cell>
          <cell r="K10">
            <v>50.548370994261781</v>
          </cell>
          <cell r="L10">
            <v>49.655671029404324</v>
          </cell>
          <cell r="M10">
            <v>47.248198634714392</v>
          </cell>
          <cell r="N10">
            <v>46.672101736545997</v>
          </cell>
          <cell r="O10">
            <v>45.243379037105584</v>
          </cell>
        </row>
        <row r="11">
          <cell r="A11" t="str">
            <v>IMPELC_FR</v>
          </cell>
          <cell r="C11" t="str">
            <v>ELCS</v>
          </cell>
          <cell r="D11">
            <v>28.948621866347789</v>
          </cell>
          <cell r="E11">
            <v>21.31304504423159</v>
          </cell>
          <cell r="F11">
            <v>26.506195347079775</v>
          </cell>
          <cell r="G11">
            <v>15.516188633606582</v>
          </cell>
          <cell r="H11">
            <v>23.906982859771272</v>
          </cell>
          <cell r="I11">
            <v>30.096243590167081</v>
          </cell>
          <cell r="J11">
            <v>38.588206615034615</v>
          </cell>
          <cell r="K11">
            <v>50.548370994261781</v>
          </cell>
          <cell r="L11">
            <v>49.655671029404324</v>
          </cell>
          <cell r="M11">
            <v>47.248198634714392</v>
          </cell>
          <cell r="N11">
            <v>46.672101736545997</v>
          </cell>
          <cell r="O11">
            <v>45.243379037105584</v>
          </cell>
        </row>
        <row r="12">
          <cell r="A12" t="str">
            <v>RNWHYDR1</v>
          </cell>
          <cell r="C12" t="str">
            <v>HYDR</v>
          </cell>
          <cell r="D12">
            <v>66.632400805689116</v>
          </cell>
          <cell r="E12">
            <v>55.76399964739511</v>
          </cell>
          <cell r="F12">
            <v>65.553185207249157</v>
          </cell>
          <cell r="G12">
            <v>64.716636921875619</v>
          </cell>
          <cell r="H12">
            <v>63.735226441582611</v>
          </cell>
          <cell r="I12">
            <v>62.65122813057647</v>
          </cell>
          <cell r="J12">
            <v>61.565521947291614</v>
          </cell>
          <cell r="K12">
            <v>60.48137777226615</v>
          </cell>
          <cell r="L12">
            <v>60.481350320315194</v>
          </cell>
          <cell r="M12">
            <v>60.481543206155607</v>
          </cell>
          <cell r="N12">
            <v>60.481578029869787</v>
          </cell>
          <cell r="O12">
            <v>60.481139186772879</v>
          </cell>
        </row>
        <row r="13">
          <cell r="A13" t="str">
            <v>EXPELC_IT</v>
          </cell>
          <cell r="C13" t="str">
            <v>ELC_E-IT</v>
          </cell>
          <cell r="D13">
            <v>71.694108123845666</v>
          </cell>
          <cell r="E13">
            <v>35.631866775938853</v>
          </cell>
          <cell r="F13">
            <v>64.429189230000745</v>
          </cell>
          <cell r="G13">
            <v>69.843027265260972</v>
          </cell>
          <cell r="H13">
            <v>50.634318719575298</v>
          </cell>
          <cell r="I13">
            <v>36.222829480289754</v>
          </cell>
          <cell r="J13">
            <v>19.052251657639349</v>
          </cell>
          <cell r="K13">
            <v>14.0152362642544</v>
          </cell>
          <cell r="L13">
            <v>23.702220415099944</v>
          </cell>
          <cell r="M13">
            <v>37.848557534808243</v>
          </cell>
          <cell r="N13">
            <v>37.585728459494781</v>
          </cell>
          <cell r="O13">
            <v>37.894462949808961</v>
          </cell>
        </row>
        <row r="14">
          <cell r="A14" t="str">
            <v>IMPLNG</v>
          </cell>
          <cell r="C14" t="str">
            <v>LBIO</v>
          </cell>
          <cell r="G14">
            <v>2.1353444708116354</v>
          </cell>
          <cell r="H14">
            <v>2.1343225180736289</v>
          </cell>
          <cell r="I14">
            <v>2.1348315840257723</v>
          </cell>
          <cell r="J14">
            <v>2.1350974260516304</v>
          </cell>
          <cell r="K14">
            <v>2.1352120034159556</v>
          </cell>
          <cell r="L14">
            <v>2.1350207577709366</v>
          </cell>
          <cell r="M14">
            <v>3.3710374555111443E-3</v>
          </cell>
          <cell r="N14">
            <v>2.5286044106028181E-3</v>
          </cell>
          <cell r="O14">
            <v>5.1057286034517932E-3</v>
          </cell>
        </row>
        <row r="15">
          <cell r="A15" t="str">
            <v>IMPLNG</v>
          </cell>
          <cell r="C15" t="str">
            <v>LNGA</v>
          </cell>
          <cell r="G15">
            <v>3.5521158228773514E-4</v>
          </cell>
          <cell r="H15">
            <v>1.3694198911072901E-3</v>
          </cell>
          <cell r="I15">
            <v>8.6684351627615741E-4</v>
          </cell>
          <cell r="J15">
            <v>6.0209371500042643E-4</v>
          </cell>
          <cell r="K15">
            <v>4.8893816535909216E-4</v>
          </cell>
          <cell r="L15">
            <v>6.7830198562312746E-4</v>
          </cell>
          <cell r="M15">
            <v>3.5296147663317909E-3</v>
          </cell>
          <cell r="N15">
            <v>2.6023640496144894E-3</v>
          </cell>
          <cell r="O15">
            <v>3.4802260737406489E-3</v>
          </cell>
        </row>
        <row r="16">
          <cell r="A16" t="str">
            <v>IMPURN1</v>
          </cell>
          <cell r="C16" t="str">
            <v>URN</v>
          </cell>
          <cell r="D16">
            <v>250.94818047858206</v>
          </cell>
          <cell r="E16">
            <v>254.39245084282283</v>
          </cell>
          <cell r="F16">
            <v>224.18651727165297</v>
          </cell>
          <cell r="G16">
            <v>221.53741709702854</v>
          </cell>
          <cell r="H16">
            <v>190.48232501039533</v>
          </cell>
          <cell r="I16">
            <v>100.03205193756989</v>
          </cell>
          <cell r="L16">
            <v>50.720508217805836</v>
          </cell>
          <cell r="M16">
            <v>111.87545287452093</v>
          </cell>
          <cell r="N16">
            <v>112.12350870515093</v>
          </cell>
          <cell r="O16">
            <v>112.18734343512277</v>
          </cell>
        </row>
        <row r="17">
          <cell r="A17" t="str">
            <v>EXPELC_AT</v>
          </cell>
          <cell r="C17" t="str">
            <v>ELC_E-AT</v>
          </cell>
          <cell r="D17">
            <v>6.2295561852677572</v>
          </cell>
          <cell r="E17">
            <v>5.1680798113074586E-4</v>
          </cell>
          <cell r="F17">
            <v>6.6061671306732691E-4</v>
          </cell>
          <cell r="G17">
            <v>1.6475798015434611E-4</v>
          </cell>
          <cell r="H17">
            <v>2.4052570758595297E-4</v>
          </cell>
          <cell r="I17">
            <v>2.1499219052170535E-4</v>
          </cell>
          <cell r="J17">
            <v>1.6942554318527658E-4</v>
          </cell>
          <cell r="K17">
            <v>1.5336443891983824E-4</v>
          </cell>
          <cell r="L17">
            <v>8.8925420043909316E-5</v>
          </cell>
          <cell r="M17">
            <v>1.123932610713685E-4</v>
          </cell>
          <cell r="N17">
            <v>1.0602078086032926E-4</v>
          </cell>
          <cell r="O17">
            <v>1.7964122028944673E-4</v>
          </cell>
        </row>
        <row r="18">
          <cell r="A18" t="str">
            <v>EXPELC_FR</v>
          </cell>
          <cell r="C18" t="str">
            <v>ELC_E-FR</v>
          </cell>
          <cell r="D18">
            <v>12.753359335635624</v>
          </cell>
          <cell r="E18">
            <v>3.8092872286710227E-4</v>
          </cell>
          <cell r="F18">
            <v>3.8611674132682815E-4</v>
          </cell>
          <cell r="G18">
            <v>3.3085825821208383E-4</v>
          </cell>
          <cell r="H18">
            <v>4.8050022933375779E-4</v>
          </cell>
          <cell r="I18">
            <v>2.7246111996884621E-4</v>
          </cell>
          <cell r="J18">
            <v>2.1328123702337077E-4</v>
          </cell>
          <cell r="K18">
            <v>2.7068711674010487E-4</v>
          </cell>
          <cell r="L18">
            <v>2.6715901539482359E-4</v>
          </cell>
          <cell r="M18">
            <v>3.9291538262841216E-4</v>
          </cell>
          <cell r="N18">
            <v>3.7766044922678716E-4</v>
          </cell>
          <cell r="O18">
            <v>7.9636940975393185E-4</v>
          </cell>
        </row>
        <row r="19">
          <cell r="A19" t="str">
            <v>RNWWND1</v>
          </cell>
          <cell r="C19" t="str">
            <v>WND</v>
          </cell>
          <cell r="D19">
            <v>0.52119440552826646</v>
          </cell>
          <cell r="E19">
            <v>0.54247514521596418</v>
          </cell>
          <cell r="F19">
            <v>0.5003287347398141</v>
          </cell>
          <cell r="G19">
            <v>0.8751218896967653</v>
          </cell>
          <cell r="H19">
            <v>0.87512246455946308</v>
          </cell>
          <cell r="I19">
            <v>0.87512282696297483</v>
          </cell>
          <cell r="J19">
            <v>0.87512282084736714</v>
          </cell>
          <cell r="K19">
            <v>0.87512266372413516</v>
          </cell>
          <cell r="L19">
            <v>0.8751238387826249</v>
          </cell>
          <cell r="M19">
            <v>0.87512280546108656</v>
          </cell>
          <cell r="N19">
            <v>0.87512343209083898</v>
          </cell>
          <cell r="O19">
            <v>0.8751209926895932</v>
          </cell>
        </row>
        <row r="20">
          <cell r="A20" t="str">
            <v>RNWWND2</v>
          </cell>
          <cell r="C20" t="str">
            <v>WND</v>
          </cell>
          <cell r="D20">
            <v>8.9226625835041968E-4</v>
          </cell>
          <cell r="E20">
            <v>8.943458479545622E-4</v>
          </cell>
          <cell r="F20">
            <v>9.00842089682694E-4</v>
          </cell>
          <cell r="G20">
            <v>0.11147233999942274</v>
          </cell>
          <cell r="H20">
            <v>0.20429341026964276</v>
          </cell>
          <cell r="I20">
            <v>0.20503114610740969</v>
          </cell>
          <cell r="J20">
            <v>0.33984062947769783</v>
          </cell>
          <cell r="K20">
            <v>0.33623573036389592</v>
          </cell>
          <cell r="L20">
            <v>0.33875837078210952</v>
          </cell>
          <cell r="M20">
            <v>0.33489017917980418</v>
          </cell>
          <cell r="N20">
            <v>0.33588254377467003</v>
          </cell>
          <cell r="O20">
            <v>0.32617811601658908</v>
          </cell>
        </row>
        <row r="21">
          <cell r="A21" t="str">
            <v>RNWMNR1</v>
          </cell>
          <cell r="C21" t="str">
            <v>MNR</v>
          </cell>
          <cell r="D21">
            <v>3.7980817084229987</v>
          </cell>
          <cell r="E21">
            <v>9.9241542890025212</v>
          </cell>
          <cell r="F21">
            <v>12.539522667193761</v>
          </cell>
          <cell r="G21">
            <v>12.540425683308156</v>
          </cell>
          <cell r="H21">
            <v>12.540427059556002</v>
          </cell>
          <cell r="I21">
            <v>12.540420943922026</v>
          </cell>
          <cell r="J21">
            <v>12.540422583543332</v>
          </cell>
          <cell r="K21">
            <v>12.540423278472094</v>
          </cell>
          <cell r="L21">
            <v>12.540424976110929</v>
          </cell>
          <cell r="M21">
            <v>12.540423205630264</v>
          </cell>
          <cell r="N21">
            <v>12.540423991917308</v>
          </cell>
          <cell r="O21">
            <v>12.540419886109945</v>
          </cell>
        </row>
        <row r="22">
          <cell r="A22" t="str">
            <v>RNWWND3</v>
          </cell>
          <cell r="C22" t="str">
            <v>WND</v>
          </cell>
          <cell r="D22">
            <v>7.3624316749861397E-4</v>
          </cell>
          <cell r="E22">
            <v>7.377828864252652E-4</v>
          </cell>
          <cell r="F22">
            <v>7.4294357842341803E-4</v>
          </cell>
          <cell r="G22">
            <v>1.5219691392224567E-3</v>
          </cell>
          <cell r="H22">
            <v>3.1979605178842109E-3</v>
          </cell>
          <cell r="I22">
            <v>2.967953399527237E-3</v>
          </cell>
          <cell r="J22">
            <v>3.0273538391519402E-3</v>
          </cell>
          <cell r="K22">
            <v>4.7025085467921864E-3</v>
          </cell>
          <cell r="L22">
            <v>3.5634080283631171E-3</v>
          </cell>
          <cell r="M22">
            <v>5.3630829574025886E-3</v>
          </cell>
          <cell r="N22">
            <v>4.928181131229295E-3</v>
          </cell>
          <cell r="O22">
            <v>9.4054596545076283E-3</v>
          </cell>
        </row>
        <row r="23">
          <cell r="A23" t="str">
            <v>RNWMNR2</v>
          </cell>
          <cell r="C23" t="str">
            <v>MNR</v>
          </cell>
          <cell r="I23">
            <v>2.0197685423949899E-3</v>
          </cell>
          <cell r="J23">
            <v>5.8324474240568212E-2</v>
          </cell>
          <cell r="K23">
            <v>6.2701965179569612</v>
          </cell>
          <cell r="L23">
            <v>6.2702098373099338</v>
          </cell>
          <cell r="M23">
            <v>6.2701956641231069</v>
          </cell>
          <cell r="N23">
            <v>6.2702039206063942</v>
          </cell>
          <cell r="O23">
            <v>6.2701239580395809</v>
          </cell>
        </row>
        <row r="24">
          <cell r="A24" t="str">
            <v>RNWWND4</v>
          </cell>
          <cell r="C24" t="str">
            <v>WND</v>
          </cell>
          <cell r="D24">
            <v>7.0504474665477386E-4</v>
          </cell>
          <cell r="E24">
            <v>7.0644974253101774E-4</v>
          </cell>
          <cell r="F24">
            <v>7.1138699363258555E-4</v>
          </cell>
          <cell r="G24">
            <v>1.2322809679047905E-3</v>
          </cell>
          <cell r="H24">
            <v>2.6109151983200992E-3</v>
          </cell>
          <cell r="I24">
            <v>2.379945405615902E-3</v>
          </cell>
          <cell r="J24">
            <v>2.4270862014931999E-3</v>
          </cell>
          <cell r="K24">
            <v>3.8134135097765277E-3</v>
          </cell>
          <cell r="L24">
            <v>2.8681900692705989E-3</v>
          </cell>
          <cell r="M24">
            <v>4.3655899198043382E-3</v>
          </cell>
          <cell r="N24">
            <v>3.9909730541721582E-3</v>
          </cell>
          <cell r="O24">
            <v>7.6883187313804332E-3</v>
          </cell>
        </row>
        <row r="25">
          <cell r="A25" t="str">
            <v>RNWMNR3</v>
          </cell>
          <cell r="C25" t="str">
            <v>MNR</v>
          </cell>
          <cell r="I25">
            <v>5.4634587726973955E-4</v>
          </cell>
          <cell r="J25">
            <v>6.611168329152112E-4</v>
          </cell>
          <cell r="K25">
            <v>2.2985002251324185E-3</v>
          </cell>
          <cell r="L25">
            <v>2.284202924196906E-3</v>
          </cell>
          <cell r="M25">
            <v>2.3154745486300057E-3</v>
          </cell>
          <cell r="N25">
            <v>2.3169254548457102E-3</v>
          </cell>
          <cell r="O25">
            <v>3.8586534460475926E-3</v>
          </cell>
        </row>
        <row r="26">
          <cell r="A26" t="str">
            <v>IMPLFO1</v>
          </cell>
          <cell r="C26" t="str">
            <v>LFO</v>
          </cell>
          <cell r="D26">
            <v>101.73655244227777</v>
          </cell>
          <cell r="E26">
            <v>88.455417199977688</v>
          </cell>
          <cell r="F26">
            <v>84.508406872127878</v>
          </cell>
          <cell r="G26">
            <v>67.849966955814452</v>
          </cell>
          <cell r="H26">
            <v>40.497032310428899</v>
          </cell>
          <cell r="I26">
            <v>23.932082317681289</v>
          </cell>
          <cell r="J26">
            <v>13.880652516504817</v>
          </cell>
          <cell r="L26">
            <v>7.7704923714973662E-3</v>
          </cell>
          <cell r="M26">
            <v>1.0988240493283501E-2</v>
          </cell>
          <cell r="N26">
            <v>7.0692674962051644E-3</v>
          </cell>
          <cell r="O26">
            <v>1.3892112820182293E-2</v>
          </cell>
        </row>
        <row r="27">
          <cell r="A27" t="str">
            <v>RNWWND5</v>
          </cell>
          <cell r="C27" t="str">
            <v>WND</v>
          </cell>
          <cell r="D27">
            <v>4.7831977626776713E-4</v>
          </cell>
          <cell r="E27">
            <v>4.7897437724353639E-4</v>
          </cell>
          <cell r="F27">
            <v>4.814167932791027E-4</v>
          </cell>
          <cell r="G27">
            <v>4.9907967480409339E-4</v>
          </cell>
          <cell r="H27">
            <v>9.7208900468425741E-4</v>
          </cell>
          <cell r="I27">
            <v>8.1638225538267133E-4</v>
          </cell>
          <cell r="J27">
            <v>8.3142251543384443E-4</v>
          </cell>
          <cell r="K27">
            <v>1.3960554224212995E-3</v>
          </cell>
          <cell r="L27">
            <v>1.0717042375480935E-3</v>
          </cell>
          <cell r="M27">
            <v>1.8044120879725555E-3</v>
          </cell>
          <cell r="N27">
            <v>1.6242757224974233E-3</v>
          </cell>
          <cell r="O27">
            <v>3.171669278267183E-3</v>
          </cell>
        </row>
        <row r="28">
          <cell r="A28" t="str">
            <v>IMPBNGA</v>
          </cell>
          <cell r="C28" t="str">
            <v>BIO</v>
          </cell>
          <cell r="E28">
            <v>0.51650023022125924</v>
          </cell>
          <cell r="F28">
            <v>1.1671414507003803</v>
          </cell>
          <cell r="G28">
            <v>2.2314135027020927</v>
          </cell>
          <cell r="H28">
            <v>3.7951786123018807</v>
          </cell>
          <cell r="I28">
            <v>6.0928621515957868</v>
          </cell>
          <cell r="J28">
            <v>9.4689129632388145</v>
          </cell>
          <cell r="K28">
            <v>14.429439463939742</v>
          </cell>
          <cell r="L28">
            <v>21.718078605717544</v>
          </cell>
          <cell r="M28">
            <v>32.382440706007792</v>
          </cell>
          <cell r="N28">
            <v>37.553832226987375</v>
          </cell>
          <cell r="O28">
            <v>41.162204738779799</v>
          </cell>
        </row>
        <row r="29">
          <cell r="A29" t="str">
            <v>RNWGEO1</v>
          </cell>
          <cell r="C29" t="str">
            <v>GEO</v>
          </cell>
          <cell r="I29">
            <v>7.8193616188948622E-5</v>
          </cell>
          <cell r="J29">
            <v>0.11127344010070601</v>
          </cell>
          <cell r="K29">
            <v>0.10932768203053787</v>
          </cell>
          <cell r="L29">
            <v>0.10923339752984626</v>
          </cell>
          <cell r="M29">
            <v>9.6236510138622514E-2</v>
          </cell>
          <cell r="N29">
            <v>9.8169609104020922E-2</v>
          </cell>
          <cell r="O29">
            <v>8.548319062475547E-2</v>
          </cell>
        </row>
        <row r="30">
          <cell r="A30" t="str">
            <v>RNWGEO2</v>
          </cell>
          <cell r="C30" t="str">
            <v>GEO</v>
          </cell>
          <cell r="I30">
            <v>7.6502223119644593E-5</v>
          </cell>
          <cell r="J30">
            <v>4.4978645500799788E-3</v>
          </cell>
          <cell r="K30">
            <v>5.1014514862579149E-3</v>
          </cell>
          <cell r="L30">
            <v>5.1182835040466694E-3</v>
          </cell>
          <cell r="M30">
            <v>6.019579704505766E-3</v>
          </cell>
          <cell r="N30">
            <v>5.8646083278056996E-3</v>
          </cell>
          <cell r="O30">
            <v>1.1420406749680376E-2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83.523172971238395</v>
          </cell>
          <cell r="G31">
            <v>83.032072517342897</v>
          </cell>
          <cell r="H31">
            <v>74.047144671811793</v>
          </cell>
          <cell r="I31">
            <v>52.508889637390098</v>
          </cell>
          <cell r="J31">
            <v>26.2544351096114</v>
          </cell>
        </row>
        <row r="32">
          <cell r="A32" t="str">
            <v>RNWGEO3</v>
          </cell>
          <cell r="C32" t="str">
            <v>GEO</v>
          </cell>
          <cell r="I32">
            <v>7.5836055808120288E-5</v>
          </cell>
          <cell r="J32">
            <v>2.9374351827106972E-3</v>
          </cell>
          <cell r="K32">
            <v>3.561129807612248E-3</v>
          </cell>
          <cell r="L32">
            <v>3.5944790785752577E-3</v>
          </cell>
          <cell r="M32">
            <v>4.3374332030436573E-3</v>
          </cell>
          <cell r="N32">
            <v>4.2111392643386916E-3</v>
          </cell>
          <cell r="O32">
            <v>8.2607357624865877E-3</v>
          </cell>
        </row>
        <row r="33">
          <cell r="A33" t="str">
            <v>RNWGEO4</v>
          </cell>
          <cell r="C33" t="str">
            <v>GEO</v>
          </cell>
          <cell r="I33">
            <v>7.5182001274092105E-5</v>
          </cell>
          <cell r="J33">
            <v>2.1865445201524835E-3</v>
          </cell>
          <cell r="K33">
            <v>2.7494445473039376E-3</v>
          </cell>
          <cell r="L33">
            <v>2.7845512998426638E-3</v>
          </cell>
          <cell r="M33">
            <v>3.4133781627288654E-3</v>
          </cell>
          <cell r="N33">
            <v>3.3122875538682374E-3</v>
          </cell>
          <cell r="O33">
            <v>6.5473993548097152E-3</v>
          </cell>
        </row>
        <row r="34">
          <cell r="A34" t="str">
            <v>RNWGEO5</v>
          </cell>
          <cell r="C34" t="str">
            <v>GEO</v>
          </cell>
          <cell r="I34">
            <v>6.662365193267797E-5</v>
          </cell>
          <cell r="J34">
            <v>4.5326369354927164E-4</v>
          </cell>
          <cell r="K34">
            <v>6.3824488724502945E-4</v>
          </cell>
          <cell r="L34">
            <v>6.4259202420524045E-4</v>
          </cell>
          <cell r="M34">
            <v>8.2760949833545719E-4</v>
          </cell>
          <cell r="N34">
            <v>7.9718509633823042E-4</v>
          </cell>
          <cell r="O34">
            <v>1.5790698635476477E-3</v>
          </cell>
        </row>
        <row r="35">
          <cell r="A35" t="str">
            <v>IMPGSL</v>
          </cell>
          <cell r="C35" t="str">
            <v>GSL</v>
          </cell>
          <cell r="D35">
            <v>79.762172764830567</v>
          </cell>
          <cell r="E35">
            <v>75.956147389792022</v>
          </cell>
          <cell r="F35">
            <v>79.168575635032596</v>
          </cell>
          <cell r="G35">
            <v>48.356349849880637</v>
          </cell>
          <cell r="H35">
            <v>21.788365177934992</v>
          </cell>
          <cell r="I35">
            <v>9.787963946469274</v>
          </cell>
          <cell r="J35">
            <v>2.8662214057505868</v>
          </cell>
          <cell r="L35">
            <v>0.16355277730256582</v>
          </cell>
          <cell r="M35">
            <v>9.8966937191031307E-2</v>
          </cell>
          <cell r="N35">
            <v>9.0045123906408606E-2</v>
          </cell>
          <cell r="O35">
            <v>7.6459051173442247E-2</v>
          </cell>
        </row>
        <row r="36">
          <cell r="A36" t="str">
            <v>RNWWOD1</v>
          </cell>
          <cell r="C36" t="str">
            <v>WOD</v>
          </cell>
          <cell r="D36">
            <v>11.111876918233083</v>
          </cell>
          <cell r="E36">
            <v>11.95288331854082</v>
          </cell>
          <cell r="F36">
            <v>13.21439310009206</v>
          </cell>
          <cell r="G36">
            <v>15.316910298980533</v>
          </cell>
          <cell r="H36">
            <v>15.849139453469814</v>
          </cell>
          <cell r="I36">
            <v>16.266396780148984</v>
          </cell>
          <cell r="J36">
            <v>16.611696291498475</v>
          </cell>
          <cell r="K36">
            <v>16.956995230791847</v>
          </cell>
          <cell r="L36">
            <v>17.015762226591296</v>
          </cell>
          <cell r="M36">
            <v>17.074528723796391</v>
          </cell>
          <cell r="N36">
            <v>17.133296885001741</v>
          </cell>
          <cell r="O36">
            <v>17.192063460627846</v>
          </cell>
        </row>
        <row r="37">
          <cell r="A37" t="str">
            <v>RNWWOD2</v>
          </cell>
          <cell r="C37" t="str">
            <v>WOD</v>
          </cell>
          <cell r="D37">
            <v>7.5116699479985565</v>
          </cell>
          <cell r="E37">
            <v>7.5431410656438675</v>
          </cell>
          <cell r="F37">
            <v>7.5903479099885791</v>
          </cell>
          <cell r="G37">
            <v>7.6690268999086397</v>
          </cell>
          <cell r="H37">
            <v>7.6690264885684378</v>
          </cell>
          <cell r="I37">
            <v>7.6690268988915795</v>
          </cell>
          <cell r="J37">
            <v>7.6690266591637117</v>
          </cell>
          <cell r="K37">
            <v>7.6690278864046384</v>
          </cell>
          <cell r="L37">
            <v>7.6690273318066291</v>
          </cell>
          <cell r="M37">
            <v>7.6690264943643873</v>
          </cell>
          <cell r="N37">
            <v>7.6690272388553646</v>
          </cell>
          <cell r="O37">
            <v>7.6690263582655973</v>
          </cell>
        </row>
        <row r="38">
          <cell r="A38" t="str">
            <v>RNWWOD3</v>
          </cell>
          <cell r="C38" t="str">
            <v>WOD</v>
          </cell>
          <cell r="D38">
            <v>3.1682437064137372</v>
          </cell>
          <cell r="E38">
            <v>3.4956714609878996</v>
          </cell>
          <cell r="F38">
            <v>3.9868138229494146</v>
          </cell>
          <cell r="G38">
            <v>4.8053858884244045</v>
          </cell>
          <cell r="H38">
            <v>4.8053848756073005</v>
          </cell>
          <cell r="I38">
            <v>4.8053853100090391</v>
          </cell>
          <cell r="J38">
            <v>4.8053857899805399</v>
          </cell>
          <cell r="K38">
            <v>4.8053872373697644</v>
          </cell>
          <cell r="L38">
            <v>4.8053860925152279</v>
          </cell>
          <cell r="M38">
            <v>4.8053855310420728</v>
          </cell>
          <cell r="N38">
            <v>4.8053859402587902</v>
          </cell>
          <cell r="O38">
            <v>4.8053851663702405</v>
          </cell>
        </row>
        <row r="39">
          <cell r="A39" t="str">
            <v>RNWWOD4</v>
          </cell>
          <cell r="C39" t="str">
            <v>WOD</v>
          </cell>
          <cell r="D39">
            <v>13.656492218004132</v>
          </cell>
          <cell r="E39">
            <v>14.89904553908641</v>
          </cell>
          <cell r="F39">
            <v>16.762872396792041</v>
          </cell>
          <cell r="G39">
            <v>19.869255935572369</v>
          </cell>
          <cell r="H39">
            <v>19.865898292571529</v>
          </cell>
          <cell r="I39">
            <v>19.448873613776886</v>
          </cell>
          <cell r="J39">
            <v>19.869244720229833</v>
          </cell>
          <cell r="K39">
            <v>19.869257864494035</v>
          </cell>
          <cell r="L39">
            <v>19.869256926482333</v>
          </cell>
          <cell r="M39">
            <v>19.869253779736916</v>
          </cell>
          <cell r="N39">
            <v>19.869256964929772</v>
          </cell>
          <cell r="O39">
            <v>19.869249890394396</v>
          </cell>
        </row>
        <row r="40">
          <cell r="A40" t="str">
            <v>RNWWOD5</v>
          </cell>
          <cell r="C40" t="str">
            <v>WOD</v>
          </cell>
          <cell r="D40">
            <v>9.5241458440576885</v>
          </cell>
          <cell r="E40">
            <v>10.299726136671499</v>
          </cell>
          <cell r="F40">
            <v>6.6360417576167867</v>
          </cell>
          <cell r="G40">
            <v>0.52989019247499447</v>
          </cell>
          <cell r="H40">
            <v>1.0395514973507184E-3</v>
          </cell>
          <cell r="I40">
            <v>8.0911485859674578E-4</v>
          </cell>
          <cell r="J40">
            <v>1.4527327800523456E-3</v>
          </cell>
          <cell r="K40">
            <v>13.402046670405019</v>
          </cell>
          <cell r="L40">
            <v>13.402042347982544</v>
          </cell>
          <cell r="M40">
            <v>13.343290607121476</v>
          </cell>
          <cell r="N40">
            <v>13.402045502344659</v>
          </cell>
          <cell r="O40">
            <v>13.343312202286137</v>
          </cell>
        </row>
        <row r="41">
          <cell r="A41" t="str">
            <v>RNNWWST1</v>
          </cell>
          <cell r="C41" t="str">
            <v>WSTNREN</v>
          </cell>
          <cell r="D41">
            <v>35.931064846854035</v>
          </cell>
          <cell r="E41">
            <v>35.882383624060537</v>
          </cell>
          <cell r="F41">
            <v>35.489451563379681</v>
          </cell>
          <cell r="G41">
            <v>35.039964616419226</v>
          </cell>
          <cell r="H41">
            <v>34.937584156791537</v>
          </cell>
          <cell r="I41">
            <v>35.403624679143952</v>
          </cell>
          <cell r="J41">
            <v>35.628235504643129</v>
          </cell>
          <cell r="K41">
            <v>35.852894550171989</v>
          </cell>
          <cell r="L41">
            <v>35.603177260832958</v>
          </cell>
          <cell r="M41">
            <v>35.603179340189634</v>
          </cell>
          <cell r="N41">
            <v>35.603177835720018</v>
          </cell>
          <cell r="O41">
            <v>35.603180934919195</v>
          </cell>
        </row>
        <row r="42">
          <cell r="A42" t="str">
            <v>RNWSOL1</v>
          </cell>
          <cell r="C42" t="str">
            <v>SOL</v>
          </cell>
          <cell r="D42">
            <v>12.556451522001414</v>
          </cell>
          <cell r="E42">
            <v>16.522160308467942</v>
          </cell>
          <cell r="F42">
            <v>32.459497614153612</v>
          </cell>
          <cell r="G42">
            <v>58.008282994598936</v>
          </cell>
          <cell r="H42">
            <v>84.476863635955326</v>
          </cell>
          <cell r="I42">
            <v>91.163749627728635</v>
          </cell>
          <cell r="J42">
            <v>98.898120747358988</v>
          </cell>
          <cell r="K42">
            <v>109.6687142863663</v>
          </cell>
          <cell r="L42">
            <v>113.29179774449683</v>
          </cell>
          <cell r="M42">
            <v>116.16314580312928</v>
          </cell>
          <cell r="N42">
            <v>118.388819018733</v>
          </cell>
          <cell r="O42">
            <v>119.09762403275175</v>
          </cell>
        </row>
        <row r="43">
          <cell r="A43" t="str">
            <v>IMPHFO1</v>
          </cell>
          <cell r="C43" t="str">
            <v>HFO</v>
          </cell>
          <cell r="D43">
            <v>2.7763699946423981</v>
          </cell>
          <cell r="E43">
            <v>2.522527871134792</v>
          </cell>
          <cell r="F43">
            <v>2.4169855818180091E-3</v>
          </cell>
          <cell r="G43">
            <v>3.4695751623979018E-4</v>
          </cell>
          <cell r="H43">
            <v>2.3015924845910766E-4</v>
          </cell>
          <cell r="I43">
            <v>1.2394428300672551E-3</v>
          </cell>
          <cell r="J43">
            <v>8.6837864979455134E-4</v>
          </cell>
        </row>
        <row r="44">
          <cell r="A44" t="str">
            <v>RNWHYDD1</v>
          </cell>
          <cell r="C44" t="str">
            <v>HYDD</v>
          </cell>
          <cell r="D44">
            <v>66.745680087465431</v>
          </cell>
          <cell r="E44">
            <v>49.798799106154803</v>
          </cell>
          <cell r="F44">
            <v>68.756548342148534</v>
          </cell>
          <cell r="G44">
            <v>70.431431991876849</v>
          </cell>
          <cell r="H44">
            <v>71.413370097589123</v>
          </cell>
          <cell r="I44">
            <v>72.497374580585259</v>
          </cell>
          <cell r="J44">
            <v>73.751646859582692</v>
          </cell>
          <cell r="K44">
            <v>74.835796597747844</v>
          </cell>
          <cell r="L44">
            <v>74.835824674890489</v>
          </cell>
          <cell r="M44">
            <v>74.835633381733004</v>
          </cell>
          <cell r="N44">
            <v>74.835599397676688</v>
          </cell>
          <cell r="O44">
            <v>74.836042706184486</v>
          </cell>
        </row>
        <row r="45">
          <cell r="A45" t="str">
            <v>IMPKER</v>
          </cell>
          <cell r="C45" t="str">
            <v>KER</v>
          </cell>
          <cell r="D45">
            <v>1.1085205784738776</v>
          </cell>
          <cell r="E45">
            <v>1.4051993612156162</v>
          </cell>
          <cell r="F45">
            <v>1.8478561328350978</v>
          </cell>
          <cell r="G45">
            <v>2.5573278226937446</v>
          </cell>
          <cell r="H45">
            <v>2.3686727242820136</v>
          </cell>
          <cell r="I45">
            <v>2.1515902578114594</v>
          </cell>
          <cell r="J45">
            <v>1.9256296297517981</v>
          </cell>
          <cell r="L45">
            <v>2.0225641511119932E-4</v>
          </cell>
          <cell r="M45">
            <v>3.5540871626767406E-4</v>
          </cell>
          <cell r="N45">
            <v>2.3237669561147986E-4</v>
          </cell>
          <cell r="O45">
            <v>4.4457798981007302E-4</v>
          </cell>
        </row>
        <row r="46">
          <cell r="A46" t="str">
            <v>IMPBDS</v>
          </cell>
          <cell r="C46" t="str">
            <v>BDS</v>
          </cell>
          <cell r="D46">
            <v>2.2863020568171315</v>
          </cell>
          <cell r="E46">
            <v>2.3780126939724493</v>
          </cell>
          <cell r="F46">
            <v>4.0207874854278263</v>
          </cell>
          <cell r="G46">
            <v>4.5544657756359239</v>
          </cell>
          <cell r="H46">
            <v>4.466422577045174</v>
          </cell>
          <cell r="I46">
            <v>4.4632033884602444</v>
          </cell>
          <cell r="J46">
            <v>5.382128722744743</v>
          </cell>
          <cell r="K46">
            <v>15.583821321550889</v>
          </cell>
          <cell r="L46">
            <v>8.978909977192874</v>
          </cell>
          <cell r="M46">
            <v>6.736405954743363</v>
          </cell>
          <cell r="N46">
            <v>6.0225008998708924</v>
          </cell>
          <cell r="O46">
            <v>2.9672514345542966</v>
          </cell>
        </row>
        <row r="47">
          <cell r="A47" t="str">
            <v>IMPCOA1</v>
          </cell>
          <cell r="C47" t="str">
            <v>COA</v>
          </cell>
          <cell r="D47">
            <v>3.6600033878802685</v>
          </cell>
          <cell r="E47">
            <v>3.5647172168169501</v>
          </cell>
          <cell r="F47">
            <v>0.54152635032022467</v>
          </cell>
          <cell r="G47">
            <v>1.1974174969418469E-3</v>
          </cell>
          <cell r="H47">
            <v>5.2709137972134924E-4</v>
          </cell>
          <cell r="I47">
            <v>1.0140654488555371E-3</v>
          </cell>
          <cell r="J47">
            <v>6.2856077447267849E-4</v>
          </cell>
          <cell r="K47">
            <v>3.7613076015022593E-4</v>
          </cell>
          <cell r="L47">
            <v>2.8935843068367116E-4</v>
          </cell>
          <cell r="M47">
            <v>6.2114297043794483E-4</v>
          </cell>
          <cell r="N47">
            <v>3.275712252769094E-4</v>
          </cell>
          <cell r="O47">
            <v>1.3090628940185694E-4</v>
          </cell>
        </row>
        <row r="48">
          <cell r="A48" t="str">
            <v>IMPETH</v>
          </cell>
          <cell r="C48" t="str">
            <v>ETH</v>
          </cell>
          <cell r="D48">
            <v>4.4341500926398894</v>
          </cell>
          <cell r="E48">
            <v>4.3986149800311409</v>
          </cell>
          <cell r="F48">
            <v>4.3997883678972567</v>
          </cell>
          <cell r="G48">
            <v>2.8018386412727039</v>
          </cell>
          <cell r="H48">
            <v>1.3261204282284802</v>
          </cell>
          <cell r="I48">
            <v>0.58401069422617224</v>
          </cell>
          <cell r="J48">
            <v>4.5570798108299488</v>
          </cell>
          <cell r="K48">
            <v>1.9864887614102926</v>
          </cell>
          <cell r="L48">
            <v>1.3027683352127579</v>
          </cell>
          <cell r="M48">
            <v>1.1739764653971603</v>
          </cell>
          <cell r="N48">
            <v>1.0719830904542269</v>
          </cell>
          <cell r="O48">
            <v>0.91102408939170598</v>
          </cell>
        </row>
        <row r="49">
          <cell r="A49" t="str">
            <v>IMPELC_DE</v>
          </cell>
          <cell r="C49" t="str">
            <v>ELC_I-DE</v>
          </cell>
          <cell r="D49">
            <v>46.398476296235636</v>
          </cell>
          <cell r="E49">
            <v>28.943969240112633</v>
          </cell>
          <cell r="F49">
            <v>23.935571352214847</v>
          </cell>
          <cell r="G49">
            <v>30.446421884846163</v>
          </cell>
          <cell r="H49">
            <v>18.29214094634213</v>
          </cell>
          <cell r="I49">
            <v>25.595077148884414</v>
          </cell>
          <cell r="J49">
            <v>26.944676526101755</v>
          </cell>
          <cell r="K49">
            <v>18.656397826821586</v>
          </cell>
          <cell r="L49">
            <v>17.771069792529804</v>
          </cell>
          <cell r="M49">
            <v>4.0042178471440852</v>
          </cell>
          <cell r="N49">
            <v>1.8254606981216426</v>
          </cell>
          <cell r="O49">
            <v>1.715075502174054</v>
          </cell>
        </row>
        <row r="50">
          <cell r="A50" t="str">
            <v>IMPELC_DE</v>
          </cell>
          <cell r="C50" t="str">
            <v>ELCS</v>
          </cell>
          <cell r="D50">
            <v>46.398476296235636</v>
          </cell>
          <cell r="E50">
            <v>28.943969240112633</v>
          </cell>
          <cell r="F50">
            <v>23.935571352214847</v>
          </cell>
          <cell r="G50">
            <v>30.446421884846163</v>
          </cell>
          <cell r="H50">
            <v>18.29214094634213</v>
          </cell>
          <cell r="I50">
            <v>25.595077148884414</v>
          </cell>
          <cell r="J50">
            <v>26.944676526101755</v>
          </cell>
          <cell r="K50">
            <v>18.656397826821586</v>
          </cell>
          <cell r="L50">
            <v>17.771069792529804</v>
          </cell>
          <cell r="M50">
            <v>4.0042178471440852</v>
          </cell>
          <cell r="N50">
            <v>1.8254606981216426</v>
          </cell>
          <cell r="O50">
            <v>1.715075502174054</v>
          </cell>
        </row>
        <row r="51">
          <cell r="A51" t="str">
            <v>RNWWST1</v>
          </cell>
          <cell r="C51" t="str">
            <v>WSTREN</v>
          </cell>
          <cell r="D51">
            <v>34.100433237326037</v>
          </cell>
          <cell r="E51">
            <v>34.692890657190667</v>
          </cell>
          <cell r="F51">
            <v>34.692893721230696</v>
          </cell>
          <cell r="G51">
            <v>34.692900756810658</v>
          </cell>
          <cell r="H51">
            <v>34.692908070051438</v>
          </cell>
          <cell r="I51">
            <v>34.692921209173697</v>
          </cell>
          <cell r="J51">
            <v>40.791484895377685</v>
          </cell>
          <cell r="K51">
            <v>42.153707123740318</v>
          </cell>
          <cell r="L51">
            <v>42.69577068540881</v>
          </cell>
          <cell r="M51">
            <v>42.696082973216335</v>
          </cell>
          <cell r="N51">
            <v>42.696785641385773</v>
          </cell>
          <cell r="O51">
            <v>42.697874321311843</v>
          </cell>
        </row>
        <row r="52">
          <cell r="A52" t="str">
            <v>IMPNGA1</v>
          </cell>
          <cell r="C52" t="str">
            <v>NGA</v>
          </cell>
          <cell r="D52">
            <v>117.02214309978052</v>
          </cell>
          <cell r="E52">
            <v>106.72000036986759</v>
          </cell>
          <cell r="F52">
            <v>112.03555507471447</v>
          </cell>
          <cell r="G52">
            <v>105.62715434040136</v>
          </cell>
          <cell r="H52">
            <v>92.040410439736192</v>
          </cell>
          <cell r="I52">
            <v>91.118716356175369</v>
          </cell>
          <cell r="J52">
            <v>74.206848820937779</v>
          </cell>
          <cell r="K52">
            <v>27.775405035098963</v>
          </cell>
          <cell r="L52">
            <v>7.5665043891983572</v>
          </cell>
          <cell r="M52">
            <v>2.8274550878010878</v>
          </cell>
          <cell r="N52">
            <v>1.7961803982808688</v>
          </cell>
          <cell r="O52">
            <v>3.1654035029804154E-3</v>
          </cell>
        </row>
        <row r="53">
          <cell r="A53" t="str">
            <v>IMPELC_IT</v>
          </cell>
          <cell r="C53" t="str">
            <v>ELC_I-IT</v>
          </cell>
          <cell r="D53">
            <v>6.7990982882914626</v>
          </cell>
          <cell r="E53">
            <v>3.474111008020381E-4</v>
          </cell>
          <cell r="F53">
            <v>3.1014682166350332E-4</v>
          </cell>
          <cell r="G53">
            <v>1.4300434604661304E-4</v>
          </cell>
          <cell r="H53">
            <v>1.9493786517779297E-4</v>
          </cell>
          <cell r="I53">
            <v>2.2275934030754449E-4</v>
          </cell>
          <cell r="J53">
            <v>2.3987145834649079E-4</v>
          </cell>
          <cell r="K53">
            <v>2.4067858176497964E-4</v>
          </cell>
          <cell r="L53">
            <v>1.8987305811119751E-4</v>
          </cell>
          <cell r="M53">
            <v>2.1500995538750937E-4</v>
          </cell>
          <cell r="N53">
            <v>2.0792168238955558E-4</v>
          </cell>
          <cell r="O53">
            <v>3.5177998367068184E-4</v>
          </cell>
        </row>
        <row r="54">
          <cell r="A54" t="str">
            <v>IMPELC_IT</v>
          </cell>
          <cell r="C54" t="str">
            <v>ELCS</v>
          </cell>
          <cell r="D54">
            <v>6.7990982882914626</v>
          </cell>
          <cell r="E54">
            <v>3.474111008020381E-4</v>
          </cell>
          <cell r="F54">
            <v>3.1014682166350332E-4</v>
          </cell>
          <cell r="G54">
            <v>1.4300434604661304E-4</v>
          </cell>
          <cell r="H54">
            <v>1.9493786517779297E-4</v>
          </cell>
          <cell r="I54">
            <v>2.2275934030754449E-4</v>
          </cell>
          <cell r="J54">
            <v>2.3987145834649079E-4</v>
          </cell>
          <cell r="K54">
            <v>2.4067858176497964E-4</v>
          </cell>
          <cell r="L54">
            <v>1.8987305811119751E-4</v>
          </cell>
          <cell r="M54">
            <v>2.1500995538750937E-4</v>
          </cell>
          <cell r="N54">
            <v>2.0792168238955558E-4</v>
          </cell>
          <cell r="O54">
            <v>3.5177998367068184E-4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3.2682087032691127</v>
          </cell>
          <cell r="E4">
            <v>3.8319839468679704</v>
          </cell>
          <cell r="F4">
            <v>3.7300912274921778</v>
          </cell>
          <cell r="G4">
            <v>3.8838281901602056</v>
          </cell>
          <cell r="H4">
            <v>4.0221926541642308</v>
          </cell>
          <cell r="I4">
            <v>4.1349462042296556</v>
          </cell>
          <cell r="J4">
            <v>4.2268024060054783</v>
          </cell>
          <cell r="K4">
            <v>4.3149863949958593</v>
          </cell>
          <cell r="L4">
            <v>4.3776695274172832</v>
          </cell>
          <cell r="M4">
            <v>4.4490382277723679</v>
          </cell>
          <cell r="N4">
            <v>4.4491101396872734</v>
          </cell>
          <cell r="O4">
            <v>4.4491278382053734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3.2682087032691127</v>
          </cell>
          <cell r="E5">
            <v>3.8319839468679704</v>
          </cell>
          <cell r="F5">
            <v>3.7300912274921778</v>
          </cell>
          <cell r="G5">
            <v>3.8838281901602056</v>
          </cell>
          <cell r="H5">
            <v>4.0221926541642308</v>
          </cell>
          <cell r="I5">
            <v>4.1349462042296556</v>
          </cell>
          <cell r="J5">
            <v>4.2268024060054783</v>
          </cell>
          <cell r="K5">
            <v>4.3149863949958593</v>
          </cell>
          <cell r="L5">
            <v>4.3776695274172832</v>
          </cell>
          <cell r="M5">
            <v>4.4490382277723679</v>
          </cell>
          <cell r="N5">
            <v>4.4491101396872734</v>
          </cell>
          <cell r="O5">
            <v>4.4491278382053734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8.5820695893933351E-6</v>
          </cell>
          <cell r="F6">
            <v>2.2654093148859657E-3</v>
          </cell>
          <cell r="G6">
            <v>2.279533402278381E-3</v>
          </cell>
          <cell r="H6">
            <v>2.7091807929358956E-3</v>
          </cell>
          <cell r="I6">
            <v>2.956687076715642E-3</v>
          </cell>
          <cell r="J6">
            <v>2.4250538175133894E-3</v>
          </cell>
          <cell r="K6">
            <v>2.6712875053506576E-3</v>
          </cell>
          <cell r="L6">
            <v>1.0926363202808183E-3</v>
          </cell>
          <cell r="M6">
            <v>3.9706887451323991E-4</v>
          </cell>
          <cell r="N6">
            <v>1.6297262278092484E-4</v>
          </cell>
          <cell r="O6">
            <v>4.8174909141003737E-4</v>
          </cell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4.4388390875448228E-7</v>
          </cell>
          <cell r="F7">
            <v>2.2585225357144335E-3</v>
          </cell>
          <cell r="G7">
            <v>2.2719859458371116E-3</v>
          </cell>
          <cell r="H7">
            <v>2.7045007952381165E-3</v>
          </cell>
          <cell r="I7">
            <v>2.9531065535505635E-3</v>
          </cell>
          <cell r="J7">
            <v>2.4166580406722159E-3</v>
          </cell>
          <cell r="K7">
            <v>2.6628749848935035E-3</v>
          </cell>
          <cell r="L7">
            <v>1.0895874846786162E-3</v>
          </cell>
          <cell r="M7">
            <v>3.8717144719450285E-4</v>
          </cell>
          <cell r="N7">
            <v>1.5700096381985508E-4</v>
          </cell>
          <cell r="O7">
            <v>4.7061522543034715E-4</v>
          </cell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2.1781511252832701E-6</v>
          </cell>
          <cell r="E8">
            <v>3.4924711376474698E-4</v>
          </cell>
          <cell r="F8">
            <v>5.61618235446684E-5</v>
          </cell>
          <cell r="G8">
            <v>2.4216208459251901E-5</v>
          </cell>
          <cell r="H8">
            <v>1.65576567225224E-4</v>
          </cell>
          <cell r="I8">
            <v>2.5588571776546102E-4</v>
          </cell>
          <cell r="J8">
            <v>1.8975043536021299E-5</v>
          </cell>
          <cell r="K8">
            <v>1.3862594154555099E-4</v>
          </cell>
          <cell r="L8">
            <v>2.5931168083889402E-4</v>
          </cell>
          <cell r="M8">
            <v>1.1005841468490999E-6</v>
          </cell>
          <cell r="N8">
            <v>2.0422608010151299E-4</v>
          </cell>
          <cell r="O8">
            <v>3.2917661652127801E-6</v>
          </cell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2.1781511252832701E-6</v>
          </cell>
          <cell r="E9">
            <v>3.5142526489002999E-4</v>
          </cell>
          <cell r="F9">
            <v>4.0758708843469799E-4</v>
          </cell>
          <cell r="G9">
            <v>4.3180329689394999E-4</v>
          </cell>
          <cell r="H9">
            <v>4.2545406199642202E-4</v>
          </cell>
          <cell r="I9">
            <v>4.5286524681366499E-4</v>
          </cell>
          <cell r="J9">
            <v>4.4043732852670601E-4</v>
          </cell>
          <cell r="K9">
            <v>4.1348670284703298E-4</v>
          </cell>
          <cell r="L9">
            <v>4.5371644340790599E-4</v>
          </cell>
          <cell r="M9">
            <v>3.9903820653129402E-4</v>
          </cell>
          <cell r="N9">
            <v>4.0698668557557799E-4</v>
          </cell>
          <cell r="O9">
            <v>2.0861843041357499E-4</v>
          </cell>
        </row>
        <row r="10">
          <cell r="A10" t="str">
            <v>RHNS-SHNGAHP</v>
          </cell>
          <cell r="B10" t="str">
            <v>VAR_fout</v>
          </cell>
          <cell r="C10" t="str">
            <v>CO2_R</v>
          </cell>
          <cell r="D10"/>
          <cell r="E10"/>
          <cell r="F10">
            <v>6.0845764135438303E-2</v>
          </cell>
          <cell r="G10">
            <v>5.4003063673570301E-2</v>
          </cell>
          <cell r="H10">
            <v>0.56641924639886998</v>
          </cell>
          <cell r="I10">
            <v>20.145383377215101</v>
          </cell>
          <cell r="J10">
            <v>19.339963104614</v>
          </cell>
          <cell r="K10">
            <v>18.659928724638402</v>
          </cell>
          <cell r="L10">
            <v>1.87695896893657</v>
          </cell>
          <cell r="M10">
            <v>6.1560828936162E-2</v>
          </cell>
          <cell r="N10">
            <v>6.0706268672948802E-2</v>
          </cell>
          <cell r="O10">
            <v>6.04374495721509E-2</v>
          </cell>
        </row>
        <row r="11">
          <cell r="A11" t="str">
            <v>RHNS-SHNGAHP</v>
          </cell>
          <cell r="B11" t="str">
            <v>VAR_fout</v>
          </cell>
          <cell r="C11" t="str">
            <v>RHNS-SHANGAH</v>
          </cell>
          <cell r="D11"/>
          <cell r="E11"/>
          <cell r="F11">
            <v>2.1576512104765373E-3</v>
          </cell>
          <cell r="G11">
            <v>1.9916023482451474E-3</v>
          </cell>
          <cell r="H11">
            <v>2.1592223045347005E-2</v>
          </cell>
          <cell r="I11">
            <v>0.79295657974144806</v>
          </cell>
          <cell r="J11">
            <v>0.78182829571843993</v>
          </cell>
          <cell r="K11">
            <v>0.77418853219244343</v>
          </cell>
          <cell r="L11">
            <v>7.7873829562261909E-2</v>
          </cell>
          <cell r="M11">
            <v>2.5541194984152328E-3</v>
          </cell>
          <cell r="N11">
            <v>2.5186643385585127E-3</v>
          </cell>
          <cell r="O11">
            <v>2.507511205653071E-3</v>
          </cell>
        </row>
        <row r="12">
          <cell r="A12" t="str">
            <v>RHNS-SHNGAHP</v>
          </cell>
          <cell r="B12" t="str">
            <v>VAR_fin</v>
          </cell>
          <cell r="C12" t="str">
            <v>RNGA</v>
          </cell>
          <cell r="D12"/>
          <cell r="E12"/>
          <cell r="F12">
            <v>1.0788256052382686E-3</v>
          </cell>
          <cell r="G12">
            <v>9.5750112896401225E-4</v>
          </cell>
          <cell r="H12">
            <v>1.0042894439696271E-2</v>
          </cell>
          <cell r="I12">
            <v>0.35718764853218343</v>
          </cell>
          <cell r="J12">
            <v>0.34290714724492977</v>
          </cell>
          <cell r="K12">
            <v>0.33084980008224085</v>
          </cell>
          <cell r="L12">
            <v>3.3279414342846952E-2</v>
          </cell>
          <cell r="M12">
            <v>1.0915040591518098E-3</v>
          </cell>
          <cell r="N12">
            <v>1.0763522814352612E-3</v>
          </cell>
          <cell r="O12">
            <v>1.0715859853218236E-3</v>
          </cell>
        </row>
        <row r="13">
          <cell r="A13" t="str">
            <v>RHNS-SHNGAHP</v>
          </cell>
          <cell r="B13" t="str">
            <v>VAR_fin</v>
          </cell>
          <cell r="C13" t="str">
            <v>RHNSELCHPC</v>
          </cell>
          <cell r="D13"/>
          <cell r="E13"/>
          <cell r="F13">
            <v>2.1576512104765373E-3</v>
          </cell>
          <cell r="G13">
            <v>1.9916023482451474E-3</v>
          </cell>
          <cell r="H13">
            <v>2.1592223045347005E-2</v>
          </cell>
          <cell r="I13">
            <v>0.79295657974144806</v>
          </cell>
          <cell r="J13">
            <v>0.78182829571843993</v>
          </cell>
          <cell r="K13">
            <v>0.77418853219244343</v>
          </cell>
          <cell r="L13">
            <v>7.7873829562261909E-2</v>
          </cell>
          <cell r="M13">
            <v>2.5541194984152328E-3</v>
          </cell>
          <cell r="N13">
            <v>2.5186643385585127E-3</v>
          </cell>
          <cell r="O13">
            <v>2.507511205653071E-3</v>
          </cell>
        </row>
        <row r="14">
          <cell r="A14" t="str">
            <v>RHNS-SHNGAHP</v>
          </cell>
          <cell r="B14" t="str">
            <v>VAR_ncap</v>
          </cell>
          <cell r="C14" t="str">
            <v>-</v>
          </cell>
          <cell r="D14"/>
          <cell r="E14">
            <v>2.4819407651023398E-7</v>
          </cell>
          <cell r="F14">
            <v>1.6827111420205401E-4</v>
          </cell>
          <cell r="G14">
            <v>3.0279038795150599E-7</v>
          </cell>
          <cell r="H14">
            <v>1.4177185305735301E-3</v>
          </cell>
          <cell r="I14">
            <v>5.6414678749589497E-2</v>
          </cell>
          <cell r="J14">
            <v>5.6701851533158096E-7</v>
          </cell>
          <cell r="K14">
            <v>6.7065511986033404E-6</v>
          </cell>
          <cell r="L14">
            <v>4.4614694074990598E-7</v>
          </cell>
          <cell r="M14">
            <v>2.2986224339021299E-4</v>
          </cell>
          <cell r="N14">
            <v>5.7851109534535803E-6</v>
          </cell>
          <cell r="O14">
            <v>5.8748128808778897E-5</v>
          </cell>
        </row>
        <row r="15">
          <cell r="A15" t="str">
            <v>RHNS-SHNGAHP</v>
          </cell>
          <cell r="B15" t="str">
            <v>VAR_cap</v>
          </cell>
          <cell r="C15" t="str">
            <v>-</v>
          </cell>
          <cell r="D15"/>
          <cell r="E15">
            <v>2.4819407651023398E-7</v>
          </cell>
          <cell r="F15">
            <v>1.684875618298607E-4</v>
          </cell>
          <cell r="G15">
            <v>1.6871529956233357E-4</v>
          </cell>
          <cell r="H15">
            <v>1.586259685724778E-3</v>
          </cell>
          <cell r="I15">
            <v>5.7867663591857618E-2</v>
          </cell>
          <cell r="J15">
            <v>5.7832655752590063E-2</v>
          </cell>
          <cell r="K15">
            <v>5.6421800007765664E-2</v>
          </cell>
          <cell r="L15">
            <v>8.6580905355773813E-3</v>
          </cell>
          <cell r="M15">
            <v>2.3670536991213654E-4</v>
          </cell>
          <cell r="N15">
            <v>2.3675247491291996E-4</v>
          </cell>
          <cell r="O15">
            <v>2.9406918955670924E-4</v>
          </cell>
        </row>
        <row r="16">
          <cell r="A16" t="str">
            <v>ITOT-SWHPLTBR</v>
          </cell>
          <cell r="B16" t="str">
            <v>VAR_fout</v>
          </cell>
          <cell r="C16" t="str">
            <v>ITOT-SWH</v>
          </cell>
          <cell r="D16">
            <v>0.46151863680100241</v>
          </cell>
          <cell r="E16">
            <v>0.54457513533472446</v>
          </cell>
          <cell r="F16">
            <v>0.54457592959851875</v>
          </cell>
          <cell r="G16">
            <v>0.5445818646999675</v>
          </cell>
          <cell r="H16">
            <v>0.54458716362674131</v>
          </cell>
          <cell r="I16">
            <v>0.54459164471045551</v>
          </cell>
          <cell r="J16">
            <v>0.54459914469367321</v>
          </cell>
          <cell r="K16">
            <v>0.54461776517907656</v>
          </cell>
          <cell r="L16">
            <v>0.54462033104686169</v>
          </cell>
          <cell r="M16">
            <v>0.54463126152717889</v>
          </cell>
          <cell r="N16">
            <v>0.54463660498682842</v>
          </cell>
          <cell r="O16">
            <v>0.54464922521259895</v>
          </cell>
        </row>
        <row r="17">
          <cell r="A17" t="str">
            <v>ITOT-SWHPLTBR</v>
          </cell>
          <cell r="B17" t="str">
            <v>VAR_fin</v>
          </cell>
          <cell r="C17" t="str">
            <v>ITOTPLTBRC</v>
          </cell>
          <cell r="D17">
            <v>0.46151863680100241</v>
          </cell>
          <cell r="E17">
            <v>0.54457513533472446</v>
          </cell>
          <cell r="F17">
            <v>0.54457592959851875</v>
          </cell>
          <cell r="G17">
            <v>0.5445818646999675</v>
          </cell>
          <cell r="H17">
            <v>0.54458716362674131</v>
          </cell>
          <cell r="I17">
            <v>0.54459164471045551</v>
          </cell>
          <cell r="J17">
            <v>0.54459914469367321</v>
          </cell>
          <cell r="K17">
            <v>0.54461776517907656</v>
          </cell>
          <cell r="L17">
            <v>0.54462033104686169</v>
          </cell>
          <cell r="M17">
            <v>0.54463126152717889</v>
          </cell>
          <cell r="N17">
            <v>0.54463660498682842</v>
          </cell>
          <cell r="O17">
            <v>0.54464922521259895</v>
          </cell>
        </row>
        <row r="18">
          <cell r="A18" t="str">
            <v>ITOT-SWHPLTBR</v>
          </cell>
          <cell r="B18" t="str">
            <v>VAR_fin</v>
          </cell>
          <cell r="C18" t="str">
            <v>IPLT</v>
          </cell>
          <cell r="D18">
            <v>0.6257879821030542</v>
          </cell>
          <cell r="E18">
            <v>0.73757354672874675</v>
          </cell>
          <cell r="F18">
            <v>0.73632801748532106</v>
          </cell>
          <cell r="G18">
            <v>0.73426768274152909</v>
          </cell>
          <cell r="H18">
            <v>0.73221803512839168</v>
          </cell>
          <cell r="I18">
            <v>0.73017874151122597</v>
          </cell>
          <cell r="J18">
            <v>0.72815484527287844</v>
          </cell>
          <cell r="K18">
            <v>0.72615702023876794</v>
          </cell>
          <cell r="L18">
            <v>0.7261604413958147</v>
          </cell>
          <cell r="M18">
            <v>0.72617501536957185</v>
          </cell>
          <cell r="N18">
            <v>0.7261821399824383</v>
          </cell>
          <cell r="O18">
            <v>0.72619896695013231</v>
          </cell>
        </row>
        <row r="19">
          <cell r="A19" t="str">
            <v>ITOT-SWHPLTBR</v>
          </cell>
          <cell r="B19" t="str">
            <v>VAR_ncap</v>
          </cell>
          <cell r="C19" t="str">
            <v>-</v>
          </cell>
          <cell r="D19"/>
          <cell r="E19">
            <v>8.0704378336764401E-3</v>
          </cell>
          <cell r="F19">
            <v>1.9305564334968302E-5</v>
          </cell>
          <cell r="G19">
            <v>3.6917207588735902E-3</v>
          </cell>
          <cell r="H19">
            <v>2.6154369520039598E-2</v>
          </cell>
          <cell r="I19">
            <v>8.9295714182923095E-3</v>
          </cell>
          <cell r="J19">
            <v>9.0653100465428096E-3</v>
          </cell>
          <cell r="K19">
            <v>2.2066663694269201E-2</v>
          </cell>
          <cell r="L19">
            <v>1.22367476442461E-2</v>
          </cell>
          <cell r="M19">
            <v>6.6080605952400099E-3</v>
          </cell>
          <cell r="N19">
            <v>2.4532177266851501E-2</v>
          </cell>
          <cell r="O19">
            <v>2.4769753616990199E-3</v>
          </cell>
        </row>
        <row r="20">
          <cell r="A20" t="str">
            <v>ITOT-SWHPLTBR</v>
          </cell>
          <cell r="B20" t="str">
            <v>VAR_cap</v>
          </cell>
          <cell r="C20" t="str">
            <v>-</v>
          </cell>
          <cell r="D20">
            <v>2.9860759506449799E-2</v>
          </cell>
          <cell r="E20">
            <v>3.7930427075675864E-2</v>
          </cell>
          <cell r="F20">
            <v>3.7946511619316177E-2</v>
          </cell>
          <cell r="G20">
            <v>4.1634652768170563E-2</v>
          </cell>
          <cell r="H20">
            <v>4.1730611204569203E-2</v>
          </cell>
          <cell r="I20">
            <v>3.8069141805760966E-2</v>
          </cell>
          <cell r="J20">
            <v>4.4142627611518166E-2</v>
          </cell>
          <cell r="K20">
            <v>4.0052335876316847E-2</v>
          </cell>
          <cell r="L20">
            <v>4.3527798438252503E-2</v>
          </cell>
          <cell r="M20">
            <v>4.0898856045805503E-2</v>
          </cell>
          <cell r="N20">
            <v>4.3390283586549588E-2</v>
          </cell>
          <cell r="O20">
            <v>3.3587492938584658E-2</v>
          </cell>
        </row>
        <row r="21">
          <cell r="A21" t="str">
            <v>D-RHNS_KEV_WOD_ELC_CHP</v>
          </cell>
          <cell r="B21" t="str">
            <v>VAR_fout</v>
          </cell>
          <cell r="C21" t="str">
            <v>RHNS_ELC</v>
          </cell>
          <cell r="D21"/>
          <cell r="E21"/>
          <cell r="F21"/>
          <cell r="G21">
            <v>1.5633679250016692E-4</v>
          </cell>
          <cell r="H21">
            <v>2.4590491303542572E-4</v>
          </cell>
          <cell r="I21">
            <v>9.5528647204991301E-4</v>
          </cell>
          <cell r="J21">
            <v>8.356984100877119E-4</v>
          </cell>
          <cell r="K21">
            <v>1.466831633386969E-3</v>
          </cell>
          <cell r="L21">
            <v>6.8961515315915385E-4</v>
          </cell>
          <cell r="M21">
            <v>7.2660166839575791E-4</v>
          </cell>
          <cell r="N21">
            <v>3.6666084217922343E-4</v>
          </cell>
          <cell r="O21">
            <v>9.0841094853182731E-4</v>
          </cell>
        </row>
        <row r="22">
          <cell r="A22" t="str">
            <v>D-RHNS_KEV_WOD_ELC_CHP</v>
          </cell>
          <cell r="B22" t="str">
            <v>VAR_fout</v>
          </cell>
          <cell r="C22" t="str">
            <v>ELC5</v>
          </cell>
          <cell r="D22"/>
          <cell r="E22"/>
          <cell r="F22"/>
          <cell r="G22">
            <v>1.5644253519457929E-4</v>
          </cell>
          <cell r="H22">
            <v>2.4610636971104596E-4</v>
          </cell>
          <cell r="I22">
            <v>9.5569015464848719E-4</v>
          </cell>
          <cell r="J22">
            <v>8.3594011220076286E-4</v>
          </cell>
          <cell r="K22">
            <v>1.4668500189382939E-3</v>
          </cell>
          <cell r="L22">
            <v>6.895232849691681E-4</v>
          </cell>
          <cell r="M22">
            <v>7.2333849579601765E-4</v>
          </cell>
          <cell r="N22">
            <v>3.6572097810165223E-4</v>
          </cell>
          <cell r="O22">
            <v>9.0698829942283544E-4</v>
          </cell>
        </row>
        <row r="23">
          <cell r="A23" t="str">
            <v>D-RHNS_KEV_WOD_ELC_CHP</v>
          </cell>
          <cell r="B23" t="str">
            <v>VAR_fin</v>
          </cell>
          <cell r="C23" t="str">
            <v>RHNS_KEV_WOD_ELC_CHP</v>
          </cell>
          <cell r="D23"/>
          <cell r="E23"/>
          <cell r="F23"/>
          <cell r="G23">
            <v>3.1190081832656606E-4</v>
          </cell>
          <cell r="H23">
            <v>4.9084880598934514E-4</v>
          </cell>
          <cell r="I23">
            <v>1.9091949027878728E-3</v>
          </cell>
          <cell r="J23">
            <v>1.6690970319601561E-3</v>
          </cell>
          <cell r="K23">
            <v>2.9301093663830526E-3</v>
          </cell>
          <cell r="L23">
            <v>1.3775817640080735E-3</v>
          </cell>
          <cell r="M23">
            <v>1.4467060933380132E-3</v>
          </cell>
          <cell r="N23">
            <v>7.3022782704783718E-4</v>
          </cell>
          <cell r="O23">
            <v>1.8119153221320373E-3</v>
          </cell>
        </row>
        <row r="24">
          <cell r="A24" t="str">
            <v>RHSA-WHWODBR</v>
          </cell>
          <cell r="B24" t="str">
            <v>VAR_fout</v>
          </cell>
          <cell r="C24" t="str">
            <v>RHSA-WHWOD</v>
          </cell>
          <cell r="D24">
            <v>0.52047128378135221</v>
          </cell>
          <cell r="E24">
            <v>0.59724099142414444</v>
          </cell>
          <cell r="F24">
            <v>0.33358628597938417</v>
          </cell>
          <cell r="G24">
            <v>0.28147632554469632</v>
          </cell>
          <cell r="H24">
            <v>0.24919853502936054</v>
          </cell>
          <cell r="I24">
            <v>0.19251547226661239</v>
          </cell>
          <cell r="J24">
            <v>0.16737808613010738</v>
          </cell>
          <cell r="K24">
            <v>0.15083509187594349</v>
          </cell>
          <cell r="L24">
            <v>0.13357768931074673</v>
          </cell>
          <cell r="M24">
            <v>0.12988227283860604</v>
          </cell>
          <cell r="N24">
            <v>0.1258772781005911</v>
          </cell>
          <cell r="O24">
            <v>9.5881580967962801E-2</v>
          </cell>
        </row>
        <row r="25">
          <cell r="A25" t="str">
            <v>RHSA-WHWODBR</v>
          </cell>
          <cell r="B25" t="str">
            <v>VAR_fin</v>
          </cell>
          <cell r="C25" t="str">
            <v>RWOD</v>
          </cell>
          <cell r="D25">
            <v>1.040942567562704</v>
          </cell>
          <cell r="E25">
            <v>1.1944819828482891</v>
          </cell>
          <cell r="F25">
            <v>0.66717257195876833</v>
          </cell>
          <cell r="G25">
            <v>0.56295265108939252</v>
          </cell>
          <cell r="H25">
            <v>0.49839707005872097</v>
          </cell>
          <cell r="I25">
            <v>0.38503094453322467</v>
          </cell>
          <cell r="J25">
            <v>0.33475617226021476</v>
          </cell>
          <cell r="K25">
            <v>0.30167018375188698</v>
          </cell>
          <cell r="L25">
            <v>0.26715537862149358</v>
          </cell>
          <cell r="M25">
            <v>0.25976454567721197</v>
          </cell>
          <cell r="N25">
            <v>0.2517545562011822</v>
          </cell>
          <cell r="O25">
            <v>0.19176316193592566</v>
          </cell>
        </row>
        <row r="26">
          <cell r="A26" t="str">
            <v>RHSA-WHWODBR</v>
          </cell>
          <cell r="B26" t="str">
            <v>VAR_ncap</v>
          </cell>
          <cell r="C26" t="str">
            <v>-</v>
          </cell>
          <cell r="D26"/>
          <cell r="E26">
            <v>5.1142165461429698E-3</v>
          </cell>
          <cell r="F26">
            <v>1.5811178198891899E-7</v>
          </cell>
          <cell r="G26">
            <v>4.2897770395048902E-7</v>
          </cell>
          <cell r="H26">
            <v>6.5177767628374099E-3</v>
          </cell>
          <cell r="I26">
            <v>6.6472290019791002E-3</v>
          </cell>
          <cell r="J26">
            <v>4.8161477746383196E-7</v>
          </cell>
          <cell r="K26">
            <v>3.6981099498324499E-3</v>
          </cell>
          <cell r="L26">
            <v>4.6994313665256002E-3</v>
          </cell>
          <cell r="M26">
            <v>5.1002419850485999E-4</v>
          </cell>
          <cell r="N26">
            <v>4.2578782469477796E-3</v>
          </cell>
          <cell r="O26">
            <v>1.83082955477183E-3</v>
          </cell>
        </row>
        <row r="27">
          <cell r="A27" t="str">
            <v>RHSA-WHWODBR</v>
          </cell>
          <cell r="B27" t="str">
            <v>VAR_cap</v>
          </cell>
          <cell r="C27" t="str">
            <v>-</v>
          </cell>
          <cell r="D27">
            <v>3.5322010722483803E-2</v>
          </cell>
          <cell r="E27">
            <v>4.0436190741869008E-2</v>
          </cell>
          <cell r="F27">
            <v>4.0397383499967111E-2</v>
          </cell>
          <cell r="G27">
            <v>4.0375499047287849E-2</v>
          </cell>
          <cell r="H27">
            <v>1.8281953084734386E-2</v>
          </cell>
          <cell r="I27">
            <v>1.3165179362928223E-2</v>
          </cell>
          <cell r="J27">
            <v>1.3164843915677597E-2</v>
          </cell>
          <cell r="K27">
            <v>1.0345268731261762E-2</v>
          </cell>
          <cell r="L27">
            <v>9.4188473206572258E-3</v>
          </cell>
          <cell r="M27">
            <v>8.9069717548850465E-3</v>
          </cell>
          <cell r="N27">
            <v>8.6317230429597738E-3</v>
          </cell>
          <cell r="O27">
            <v>6.5981520265292392E-3</v>
          </cell>
        </row>
        <row r="28">
          <cell r="A28" t="str">
            <v>RHES-SHWODBR</v>
          </cell>
          <cell r="B28" t="str">
            <v>VAR_fout</v>
          </cell>
          <cell r="C28" t="str">
            <v>RHES-SHWOD</v>
          </cell>
          <cell r="D28">
            <v>4.3871565648961255</v>
          </cell>
          <cell r="E28">
            <v>4.3870439319089689</v>
          </cell>
          <cell r="F28">
            <v>4.3384426566742844</v>
          </cell>
          <cell r="G28">
            <v>4.3095595981809742</v>
          </cell>
          <cell r="H28">
            <v>3.6604019595012947</v>
          </cell>
          <cell r="I28">
            <v>2.7904204431301407</v>
          </cell>
          <cell r="J28">
            <v>2.4252552302020365</v>
          </cell>
          <cell r="K28">
            <v>2.1469441127821169</v>
          </cell>
          <cell r="L28">
            <v>1.9118817980401124</v>
          </cell>
          <cell r="M28">
            <v>1.8692066315527571</v>
          </cell>
          <cell r="N28">
            <v>1.8273678918580669</v>
          </cell>
          <cell r="O28">
            <v>1.506271787680016</v>
          </cell>
        </row>
        <row r="29">
          <cell r="A29" t="str">
            <v>RHES-SHWODBR</v>
          </cell>
          <cell r="B29" t="str">
            <v>VAR_fin</v>
          </cell>
          <cell r="C29" t="str">
            <v>RWOD</v>
          </cell>
          <cell r="D29">
            <v>6.0932730068001728</v>
          </cell>
          <cell r="E29">
            <v>6.0931165720957905</v>
          </cell>
          <cell r="F29">
            <v>6.0256148009365047</v>
          </cell>
          <cell r="G29">
            <v>5.9854994419180132</v>
          </cell>
          <cell r="H29">
            <v>5.0838916104184673</v>
          </cell>
          <cell r="I29">
            <v>3.8755839487918573</v>
          </cell>
          <cell r="J29">
            <v>3.3684100419472744</v>
          </cell>
          <cell r="K29">
            <v>2.9818668233084957</v>
          </cell>
          <cell r="L29">
            <v>2.6553913861668232</v>
          </cell>
          <cell r="M29">
            <v>2.5961203216010507</v>
          </cell>
          <cell r="N29">
            <v>2.5380109609139807</v>
          </cell>
          <cell r="O29">
            <v>2.0920441495555777</v>
          </cell>
        </row>
        <row r="30">
          <cell r="A30" t="str">
            <v>RHES-SHWODBR</v>
          </cell>
          <cell r="B30" t="str">
            <v>VAR_ncap</v>
          </cell>
          <cell r="C30" t="str">
            <v>-</v>
          </cell>
          <cell r="D30"/>
          <cell r="E30">
            <v>3.2738470672540699E-7</v>
          </cell>
          <cell r="F30">
            <v>1.2203570364236401E-7</v>
          </cell>
          <cell r="G30">
            <v>2.7109290570770501E-2</v>
          </cell>
          <cell r="H30">
            <v>0.180889398763071</v>
          </cell>
          <cell r="I30">
            <v>2.2609140742681399E-2</v>
          </cell>
          <cell r="J30">
            <v>1.8331133807862801E-7</v>
          </cell>
          <cell r="K30">
            <v>0.15232992606815801</v>
          </cell>
          <cell r="L30">
            <v>1.2638478172971999E-6</v>
          </cell>
          <cell r="M30">
            <v>1.87696716551567E-6</v>
          </cell>
          <cell r="N30">
            <v>0.12272320643598</v>
          </cell>
          <cell r="O30">
            <v>2.9646567342649101E-5</v>
          </cell>
        </row>
        <row r="31">
          <cell r="A31" t="str">
            <v>RHES-SHWODBR</v>
          </cell>
          <cell r="B31" t="str">
            <v>VAR_cap</v>
          </cell>
          <cell r="C31" t="str">
            <v>-</v>
          </cell>
          <cell r="D31">
            <v>0.354428052062076</v>
          </cell>
          <cell r="E31">
            <v>0.35442834582113897</v>
          </cell>
          <cell r="F31">
            <v>0.35442776282641303</v>
          </cell>
          <cell r="G31">
            <v>0.38153650399077305</v>
          </cell>
          <cell r="H31">
            <v>0.29991381232160369</v>
          </cell>
          <cell r="I31">
            <v>0.22545024217730686</v>
          </cell>
          <cell r="J31">
            <v>0.2034038016553382</v>
          </cell>
          <cell r="K31">
            <v>0.17493902118205043</v>
          </cell>
          <cell r="L31">
            <v>0.15580501870324381</v>
          </cell>
          <cell r="M31">
            <v>0.15233261377553611</v>
          </cell>
          <cell r="N31">
            <v>0.14970647787043959</v>
          </cell>
          <cell r="O31">
            <v>0.12275440270978516</v>
          </cell>
        </row>
        <row r="32">
          <cell r="A32" t="str">
            <v>D-EH2</v>
          </cell>
          <cell r="B32" t="str">
            <v>VAR_fout</v>
          </cell>
          <cell r="C32" t="str">
            <v>EH2</v>
          </cell>
          <cell r="D32"/>
          <cell r="E32"/>
          <cell r="F32"/>
          <cell r="G32"/>
          <cell r="H32"/>
          <cell r="I32">
            <v>0.54720912643056374</v>
          </cell>
          <cell r="J32">
            <v>1.4072751632597762</v>
          </cell>
          <cell r="K32">
            <v>2.0929558268707602</v>
          </cell>
          <cell r="L32">
            <v>2.4790276885427991</v>
          </cell>
          <cell r="M32">
            <v>2.5529326120761016</v>
          </cell>
          <cell r="N32">
            <v>2.554317851149202</v>
          </cell>
          <cell r="O32">
            <v>2.545820002392134</v>
          </cell>
        </row>
        <row r="33">
          <cell r="A33" t="str">
            <v>D-EH2</v>
          </cell>
          <cell r="B33" t="str">
            <v>VAR_fin</v>
          </cell>
          <cell r="C33" t="str">
            <v>H2</v>
          </cell>
          <cell r="D33"/>
          <cell r="E33"/>
          <cell r="F33"/>
          <cell r="G33"/>
          <cell r="H33"/>
          <cell r="I33">
            <v>0.55273649134400415</v>
          </cell>
          <cell r="J33">
            <v>1.421490063898764</v>
          </cell>
          <cell r="K33">
            <v>2.1140967948189489</v>
          </cell>
          <cell r="L33">
            <v>2.5040683722654573</v>
          </cell>
          <cell r="M33">
            <v>2.5787198101778817</v>
          </cell>
          <cell r="N33">
            <v>2.5801190415648483</v>
          </cell>
          <cell r="O33">
            <v>2.5715353559516507</v>
          </cell>
        </row>
        <row r="34">
          <cell r="A34" t="str">
            <v>D-EH2</v>
          </cell>
          <cell r="B34" t="str">
            <v>VAR_ncap</v>
          </cell>
          <cell r="C34" t="str">
            <v>-</v>
          </cell>
          <cell r="D34"/>
          <cell r="E34"/>
          <cell r="F34"/>
          <cell r="G34">
            <v>4.5728024968712099E-7</v>
          </cell>
          <cell r="H34">
            <v>1.2372560147032001E-6</v>
          </cell>
          <cell r="I34">
            <v>3.9086125018196298E-2</v>
          </cell>
          <cell r="J34">
            <v>9.7504947938318404E-2</v>
          </cell>
          <cell r="K34">
            <v>2.05221121538481E-2</v>
          </cell>
          <cell r="L34">
            <v>8.7752484462834505E-3</v>
          </cell>
          <cell r="M34">
            <v>4.4116899524062198E-3</v>
          </cell>
          <cell r="N34">
            <v>1.14237276160538E-2</v>
          </cell>
          <cell r="O34">
            <v>4.1409269543703902E-5</v>
          </cell>
        </row>
        <row r="35">
          <cell r="A35" t="str">
            <v>D-EH2</v>
          </cell>
          <cell r="B35" t="str">
            <v>VAR_cap</v>
          </cell>
          <cell r="C35" t="str">
            <v>-</v>
          </cell>
          <cell r="D35"/>
          <cell r="E35"/>
          <cell r="F35"/>
          <cell r="G35">
            <v>4.5728024968712099E-7</v>
          </cell>
          <cell r="H35">
            <v>1.69453626439033E-6</v>
          </cell>
          <cell r="I35">
            <v>3.9087819554460702E-2</v>
          </cell>
          <cell r="J35">
            <v>0.13659276749277899</v>
          </cell>
          <cell r="K35">
            <v>0.15711487964662699</v>
          </cell>
          <cell r="L35">
            <v>0.16589012809291101</v>
          </cell>
          <cell r="M35">
            <v>0.17030181804531699</v>
          </cell>
          <cell r="N35">
            <v>0.181725400697271</v>
          </cell>
          <cell r="O35">
            <v>0.18176649765066499</v>
          </cell>
        </row>
        <row r="36">
          <cell r="A36" t="str">
            <v>SCOM-SHWODBR</v>
          </cell>
          <cell r="B36" t="str">
            <v>VAR_fout</v>
          </cell>
          <cell r="C36" t="str">
            <v>SCOM-SHWOD</v>
          </cell>
          <cell r="D36">
            <v>6.1735454102717702</v>
          </cell>
          <cell r="E36">
            <v>7.0511013972414442</v>
          </cell>
          <cell r="F36">
            <v>6.8853125828103607</v>
          </cell>
          <cell r="G36">
            <v>5.6154364191703818</v>
          </cell>
          <cell r="H36">
            <v>5.6130606246860255</v>
          </cell>
          <cell r="I36">
            <v>4.4356734775018518</v>
          </cell>
          <cell r="J36">
            <v>3.7771716365943595</v>
          </cell>
          <cell r="K36">
            <v>0.38670400870501576</v>
          </cell>
          <cell r="L36">
            <v>0.38095337312882316</v>
          </cell>
          <cell r="M36">
            <v>0.38368687316176958</v>
          </cell>
          <cell r="N36">
            <v>0.38372307817937484</v>
          </cell>
          <cell r="O36">
            <v>1.1526410999796075</v>
          </cell>
        </row>
        <row r="37">
          <cell r="A37" t="str">
            <v>SCOM-SHWODBR</v>
          </cell>
          <cell r="B37" t="str">
            <v>VAR_fin</v>
          </cell>
          <cell r="C37" t="str">
            <v>SWOD</v>
          </cell>
          <cell r="D37">
            <v>8.5743686253774527</v>
          </cell>
          <cell r="E37">
            <v>9.7931963850575663</v>
          </cell>
          <cell r="F37">
            <v>9.5629341427921659</v>
          </cell>
          <cell r="G37">
            <v>7.7992172488477527</v>
          </cell>
          <cell r="H37">
            <v>7.7959175342861533</v>
          </cell>
          <cell r="I37">
            <v>6.1606576076414594</v>
          </cell>
          <cell r="J37">
            <v>5.2460717174921649</v>
          </cell>
          <cell r="K37">
            <v>0.53708890097918838</v>
          </cell>
          <cell r="L37">
            <v>0.52910190712336569</v>
          </cell>
          <cell r="M37">
            <v>0.53289843494690203</v>
          </cell>
          <cell r="N37">
            <v>0.53294871969357627</v>
          </cell>
          <cell r="O37">
            <v>1.6008904166383455</v>
          </cell>
        </row>
        <row r="38">
          <cell r="A38" t="str">
            <v>SCOM-SHWODBR</v>
          </cell>
          <cell r="B38" t="str">
            <v>VAR_ncap</v>
          </cell>
          <cell r="C38" t="str">
            <v>-</v>
          </cell>
          <cell r="D38">
            <v>1.30726640716762E-5</v>
          </cell>
          <cell r="E38">
            <v>6.6621305872781894E-2</v>
          </cell>
          <cell r="F38">
            <v>8.8964789030682498E-7</v>
          </cell>
          <cell r="G38">
            <v>4.9301259972603396E-6</v>
          </cell>
          <cell r="H38">
            <v>0.30852411883498099</v>
          </cell>
          <cell r="I38">
            <v>3.5844052188156401E-2</v>
          </cell>
          <cell r="J38">
            <v>1.56540313324208E-6</v>
          </cell>
          <cell r="K38">
            <v>4.2262836118218003E-6</v>
          </cell>
          <cell r="L38">
            <v>2.87996085954998E-2</v>
          </cell>
          <cell r="M38">
            <v>1.3480472020747599E-3</v>
          </cell>
          <cell r="N38">
            <v>9.6496421712136404E-3</v>
          </cell>
          <cell r="O38">
            <v>0.18411740179067501</v>
          </cell>
        </row>
        <row r="39">
          <cell r="A39" t="str">
            <v>SCOM-SHWODBR</v>
          </cell>
          <cell r="B39" t="str">
            <v>VAR_cap</v>
          </cell>
          <cell r="C39" t="str">
            <v>-</v>
          </cell>
          <cell r="D39">
            <v>0.47843335048118368</v>
          </cell>
          <cell r="E39">
            <v>0.54505457771894972</v>
          </cell>
          <cell r="F39">
            <v>0.5370188371861272</v>
          </cell>
          <cell r="G39">
            <v>0.44564576843492643</v>
          </cell>
          <cell r="H39">
            <v>0.44095084112300187</v>
          </cell>
          <cell r="I39">
            <v>0.34437175124171077</v>
          </cell>
          <cell r="J39">
            <v>0.31821045670988862</v>
          </cell>
          <cell r="K39">
            <v>3.5845275365268471E-2</v>
          </cell>
          <cell r="L39">
            <v>3.4309636866332031E-2</v>
          </cell>
          <cell r="M39">
            <v>3.0149065139725456E-2</v>
          </cell>
          <cell r="N39">
            <v>3.0664723911476916E-2</v>
          </cell>
          <cell r="O39">
            <v>0.19510390224456856</v>
          </cell>
        </row>
        <row r="40">
          <cell r="A40" t="str">
            <v>ITOT-SWHLTHCHP</v>
          </cell>
          <cell r="B40" t="str">
            <v>VAR_fout</v>
          </cell>
          <cell r="C40" t="str">
            <v>ITOT-SWH</v>
          </cell>
          <cell r="D40">
            <v>5.1850568343212844</v>
          </cell>
          <cell r="E40">
            <v>5.5675589791082221</v>
          </cell>
          <cell r="F40">
            <v>5.6974180022359118</v>
          </cell>
          <cell r="G40">
            <v>7.1973662453274585</v>
          </cell>
          <cell r="H40">
            <v>6.5504218699944037</v>
          </cell>
          <cell r="I40">
            <v>10.240588131610693</v>
          </cell>
          <cell r="J40">
            <v>12.881212441095022</v>
          </cell>
          <cell r="K40">
            <v>13.225334372778903</v>
          </cell>
          <cell r="L40">
            <v>13.388553002412044</v>
          </cell>
          <cell r="M40">
            <v>13.34136696338035</v>
          </cell>
          <cell r="N40">
            <v>13.53567630767548</v>
          </cell>
          <cell r="O40">
            <v>13.533368662048108</v>
          </cell>
        </row>
        <row r="41">
          <cell r="A41" t="str">
            <v>ITOT-SWHLTHCHP</v>
          </cell>
          <cell r="B41" t="str">
            <v>VAR_fin</v>
          </cell>
          <cell r="C41" t="str">
            <v>ITOTLTHCHPC</v>
          </cell>
          <cell r="D41">
            <v>5.1850568343212844</v>
          </cell>
          <cell r="E41">
            <v>5.5675589791082221</v>
          </cell>
          <cell r="F41">
            <v>5.6974180022359118</v>
          </cell>
          <cell r="G41">
            <v>7.1973662453274585</v>
          </cell>
          <cell r="H41">
            <v>6.5504218699944037</v>
          </cell>
          <cell r="I41">
            <v>10.240588131610693</v>
          </cell>
          <cell r="J41">
            <v>12.881212441095022</v>
          </cell>
          <cell r="K41">
            <v>13.225334372778903</v>
          </cell>
          <cell r="L41">
            <v>13.388553002412044</v>
          </cell>
          <cell r="M41">
            <v>13.34136696338035</v>
          </cell>
          <cell r="N41">
            <v>13.53567630767548</v>
          </cell>
          <cell r="O41">
            <v>13.533368662048108</v>
          </cell>
        </row>
        <row r="42">
          <cell r="A42" t="str">
            <v>ITOT-SWHLTHCHP</v>
          </cell>
          <cell r="B42" t="str">
            <v>VAR_fin</v>
          </cell>
          <cell r="C42" t="str">
            <v>ITOT_LTH_CHP_ON</v>
          </cell>
          <cell r="D42">
            <v>5.6086424772580266</v>
          </cell>
          <cell r="E42">
            <v>6.0095210035573388</v>
          </cell>
          <cell r="F42">
            <v>6.1300359946941665</v>
          </cell>
          <cell r="G42">
            <v>7.7028522832933151</v>
          </cell>
          <cell r="H42">
            <v>6.9735264626472864</v>
          </cell>
          <cell r="I42">
            <v>10.8448951897992</v>
          </cell>
          <cell r="J42">
            <v>13.600134021727232</v>
          </cell>
          <cell r="K42">
            <v>13.921404602925147</v>
          </cell>
          <cell r="L42">
            <v>14.093213686749536</v>
          </cell>
          <cell r="M42">
            <v>14.043544171979322</v>
          </cell>
          <cell r="N42">
            <v>14.248080323868923</v>
          </cell>
          <cell r="O42">
            <v>14.245651223208535</v>
          </cell>
        </row>
        <row r="43">
          <cell r="A43" t="str">
            <v>ITOT-SWHLTHCHP</v>
          </cell>
          <cell r="B43" t="str">
            <v>VAR_ncap</v>
          </cell>
          <cell r="C43" t="str">
            <v>-</v>
          </cell>
          <cell r="D43"/>
          <cell r="E43">
            <v>3.0075551868229099E-2</v>
          </cell>
          <cell r="F43">
            <v>9.2033066120383797E-2</v>
          </cell>
          <cell r="G43">
            <v>3.5374398446334297E-2</v>
          </cell>
          <cell r="H43">
            <v>0.25726879804005198</v>
          </cell>
          <cell r="I43">
            <v>0.400333947695523</v>
          </cell>
          <cell r="J43">
            <v>0.32136918087820399</v>
          </cell>
          <cell r="K43">
            <v>0.33634033696966298</v>
          </cell>
          <cell r="L43">
            <v>0.42562726633821202</v>
          </cell>
          <cell r="M43">
            <v>0.33788293551253001</v>
          </cell>
          <cell r="N43">
            <v>0.452064421435456</v>
          </cell>
          <cell r="O43">
            <v>0.32926763203746801</v>
          </cell>
        </row>
        <row r="44">
          <cell r="A44" t="str">
            <v>ITOT-SWHLTHCHP</v>
          </cell>
          <cell r="B44" t="str">
            <v>VAR_cap</v>
          </cell>
          <cell r="C44" t="str">
            <v>-</v>
          </cell>
          <cell r="D44">
            <v>0.62661755442165901</v>
          </cell>
          <cell r="E44">
            <v>0.41109586227747907</v>
          </cell>
          <cell r="F44">
            <v>0.48124456515293706</v>
          </cell>
          <cell r="G44">
            <v>0.42129603519627501</v>
          </cell>
          <cell r="H44">
            <v>0.390777905689428</v>
          </cell>
          <cell r="I44">
            <v>0.66468044462651077</v>
          </cell>
          <cell r="J44">
            <v>0.93004352442005145</v>
          </cell>
          <cell r="K44">
            <v>0.94996126478589094</v>
          </cell>
          <cell r="L44">
            <v>1.0035910640754369</v>
          </cell>
          <cell r="M44">
            <v>1.0054769532915595</v>
          </cell>
          <cell r="N44">
            <v>1.0193575820055731</v>
          </cell>
          <cell r="O44">
            <v>1.011053563800143</v>
          </cell>
        </row>
        <row r="45">
          <cell r="A45" t="str">
            <v>RHSA-WHSTG-NGAHP</v>
          </cell>
          <cell r="B45" t="str">
            <v>VAR_fout</v>
          </cell>
          <cell r="C45" t="str">
            <v>RHSA-WHANGAH</v>
          </cell>
          <cell r="D45"/>
          <cell r="E45"/>
          <cell r="F45">
            <v>1.3846567460415753E-4</v>
          </cell>
          <cell r="G45">
            <v>1.6784005019438822E-4</v>
          </cell>
          <cell r="H45">
            <v>0.18479069184583993</v>
          </cell>
          <cell r="I45">
            <v>0.38770217012993569</v>
          </cell>
          <cell r="J45">
            <v>0.35881593743678369</v>
          </cell>
          <cell r="K45">
            <v>0.22771285910573555</v>
          </cell>
          <cell r="L45">
            <v>0.10918513946237589</v>
          </cell>
          <cell r="M45">
            <v>8.2752676467031105E-2</v>
          </cell>
          <cell r="N45">
            <v>8.5824679014003438E-2</v>
          </cell>
          <cell r="O45">
            <v>7.5122294499701023E-2</v>
          </cell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1.3806841764940763E-4</v>
          </cell>
          <cell r="G46">
            <v>1.6681179109076901E-4</v>
          </cell>
          <cell r="H46">
            <v>0.18480277934725059</v>
          </cell>
          <cell r="I46">
            <v>0.38772570015840702</v>
          </cell>
          <cell r="J46">
            <v>0.35884024332091702</v>
          </cell>
          <cell r="K46">
            <v>0.22772715108652106</v>
          </cell>
          <cell r="L46">
            <v>0.10919169177384563</v>
          </cell>
          <cell r="M46">
            <v>8.2759490180931691E-2</v>
          </cell>
          <cell r="N46">
            <v>8.5830815938832461E-2</v>
          </cell>
          <cell r="O46">
            <v>7.5129183221813209E-2</v>
          </cell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8.9703018189285894E-6</v>
          </cell>
          <cell r="E47">
            <v>2.52943425693096E-6</v>
          </cell>
          <cell r="F47">
            <v>4.1046434680414601E-5</v>
          </cell>
          <cell r="G47">
            <v>1.6142302475369301E-5</v>
          </cell>
          <cell r="H47">
            <v>2.8766182513050801E-2</v>
          </cell>
          <cell r="I47">
            <v>2.6419455963537199E-2</v>
          </cell>
          <cell r="J47">
            <v>6.2462266524040697E-3</v>
          </cell>
          <cell r="K47">
            <v>2.62603116010572E-4</v>
          </cell>
          <cell r="L47">
            <v>5.66261272538429E-3</v>
          </cell>
          <cell r="M47">
            <v>7.9422848516438899E-3</v>
          </cell>
          <cell r="N47">
            <v>2.0594778922000899E-3</v>
          </cell>
          <cell r="O47">
            <v>3.9368961084391297E-3</v>
          </cell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8.9746416589890928E-6</v>
          </cell>
          <cell r="E48">
            <v>2.1327828666890228E-7</v>
          </cell>
          <cell r="F48">
            <v>3.9742125233977004E-5</v>
          </cell>
          <cell r="G48">
            <v>4.1731512724318105E-5</v>
          </cell>
          <cell r="H48">
            <v>2.8795336485223016E-2</v>
          </cell>
          <cell r="I48">
            <v>5.5182714395027907E-2</v>
          </cell>
          <cell r="J48">
            <v>6.1390843053818749E-2</v>
          </cell>
          <cell r="K48">
            <v>3.2636858607790378E-2</v>
          </cell>
          <cell r="L48">
            <v>1.5169193171440998E-2</v>
          </cell>
          <cell r="M48">
            <v>1.3717780068010773E-2</v>
          </cell>
          <cell r="N48">
            <v>1.3716352629011195E-2</v>
          </cell>
          <cell r="O48">
            <v>1.3721220605123922E-2</v>
          </cell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5.4452950548679477E-2</v>
          </cell>
          <cell r="F49">
            <v>7.0591298735340091E-2</v>
          </cell>
          <cell r="G49">
            <v>0.11352441519015605</v>
          </cell>
          <cell r="H49">
            <v>0.17684564348560725</v>
          </cell>
          <cell r="I49">
            <v>0.25171186216802338</v>
          </cell>
          <cell r="J49">
            <v>0.34417523837714459</v>
          </cell>
          <cell r="K49">
            <v>0.4563528310379103</v>
          </cell>
          <cell r="L49">
            <v>0.47963251195515055</v>
          </cell>
          <cell r="M49">
            <v>0.50409971220571992</v>
          </cell>
          <cell r="N49">
            <v>0.52981558070469414</v>
          </cell>
          <cell r="O49">
            <v>0.55684605805402743</v>
          </cell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2.0593118571327524</v>
          </cell>
          <cell r="E50">
            <v>3.8269937798009956</v>
          </cell>
          <cell r="F50">
            <v>4.0807988130988351</v>
          </cell>
          <cell r="G50">
            <v>3.1974943807889198</v>
          </cell>
          <cell r="H50">
            <v>3.137650368840831</v>
          </cell>
          <cell r="I50">
            <v>3.6675652971105595</v>
          </cell>
          <cell r="J50">
            <v>3.0807316653539125</v>
          </cell>
          <cell r="K50">
            <v>3.7299816060798991</v>
          </cell>
          <cell r="L50">
            <v>3.5947519015511427</v>
          </cell>
          <cell r="M50">
            <v>3.456818444171502</v>
          </cell>
          <cell r="N50">
            <v>3.4581641624281918</v>
          </cell>
          <cell r="O50">
            <v>2.3348782907264232</v>
          </cell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1.9108561957559411</v>
          </cell>
          <cell r="E51">
            <v>3.5391862912596723</v>
          </cell>
          <cell r="F51">
            <v>3.5268517930733649</v>
          </cell>
          <cell r="G51">
            <v>1.755855569162788</v>
          </cell>
          <cell r="H51">
            <v>1.8164587593480133</v>
          </cell>
          <cell r="I51">
            <v>2.6705970584938816</v>
          </cell>
          <cell r="J51">
            <v>1.8026808172623188</v>
          </cell>
          <cell r="K51">
            <v>2.5793335965206805</v>
          </cell>
          <cell r="L51">
            <v>2.4124739846461019</v>
          </cell>
          <cell r="M51">
            <v>2.2792934381425245</v>
          </cell>
          <cell r="N51">
            <v>2.2801731526415057</v>
          </cell>
          <cell r="O51">
            <v>2.1245766152901355</v>
          </cell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4.3698337086883337</v>
          </cell>
          <cell r="E52">
            <v>1.8303279616802648</v>
          </cell>
          <cell r="F52">
            <v>1.8303280753634681</v>
          </cell>
          <cell r="G52">
            <v>1.8303281871991439</v>
          </cell>
          <cell r="H52">
            <v>1.8303283398092705</v>
          </cell>
          <cell r="I52">
            <v>1.8303285813103611</v>
          </cell>
          <cell r="J52">
            <v>1.8303285284631488</v>
          </cell>
          <cell r="K52">
            <v>1.8303286193661605</v>
          </cell>
          <cell r="L52">
            <v>1.8303306927507472</v>
          </cell>
          <cell r="M52">
            <v>1.8303325083975222</v>
          </cell>
          <cell r="N52">
            <v>1.8303343591013042</v>
          </cell>
          <cell r="O52">
            <v>1.8303399504034943</v>
          </cell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0.35008163374405321</v>
          </cell>
          <cell r="F53">
            <v>0.38254370054586456</v>
          </cell>
          <cell r="G53">
            <v>0.44347276514057049</v>
          </cell>
          <cell r="H53">
            <v>0.51410663521849431</v>
          </cell>
          <cell r="I53">
            <v>0.59599077249746368</v>
          </cell>
          <cell r="J53">
            <v>0.69091592670208557</v>
          </cell>
          <cell r="K53">
            <v>0.80095971862924664</v>
          </cell>
          <cell r="L53">
            <v>0.9285312463831632</v>
          </cell>
          <cell r="M53">
            <v>1.0764229995760504</v>
          </cell>
          <cell r="N53">
            <v>1.2478696343199691</v>
          </cell>
          <cell r="O53">
            <v>1.4466265588260085</v>
          </cell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9.2187299965414784</v>
          </cell>
          <cell r="E54">
            <v>10.612637994813193</v>
          </cell>
          <cell r="F54">
            <v>10.908977876122147</v>
          </cell>
          <cell r="G54">
            <v>8.0662095693827709</v>
          </cell>
          <cell r="H54">
            <v>8.1840421448766421</v>
          </cell>
          <cell r="I54">
            <v>9.8347572243751618</v>
          </cell>
          <cell r="J54">
            <v>8.4214892297268644</v>
          </cell>
          <cell r="K54">
            <v>10.175549300117579</v>
          </cell>
          <cell r="L54">
            <v>10.011782473647726</v>
          </cell>
          <cell r="M54">
            <v>9.9048469543751843</v>
          </cell>
          <cell r="N54">
            <v>10.120757353901373</v>
          </cell>
          <cell r="O54">
            <v>8.9804133057769544</v>
          </cell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0.62767238806667702</v>
          </cell>
          <cell r="E55">
            <v>3.3066667115806303E-2</v>
          </cell>
          <cell r="F55">
            <v>3.3519917648190201E-3</v>
          </cell>
          <cell r="G55">
            <v>6.0698062946092698E-3</v>
          </cell>
          <cell r="H55">
            <v>1.4126739474622001E-2</v>
          </cell>
          <cell r="I55">
            <v>1.2395437251383101E-2</v>
          </cell>
          <cell r="J55">
            <v>1.2224433761491999E-2</v>
          </cell>
          <cell r="K55">
            <v>2.0812109516103901E-2</v>
          </cell>
          <cell r="L55">
            <v>6.5292561677515104E-3</v>
          </cell>
          <cell r="M55">
            <v>1.16926243293389E-2</v>
          </cell>
          <cell r="N55">
            <v>1.55449879552824E-2</v>
          </cell>
          <cell r="O55">
            <v>1.55363755034709E-2</v>
          </cell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0.62767238806667702</v>
          </cell>
          <cell r="E56">
            <v>0.66073905518248399</v>
          </cell>
          <cell r="F56">
            <v>0.66409104694730303</v>
          </cell>
          <cell r="G56">
            <v>0.67016085324191199</v>
          </cell>
          <cell r="H56">
            <v>0.68428759271653405</v>
          </cell>
          <cell r="I56">
            <v>0.69668302996791698</v>
          </cell>
          <cell r="J56">
            <v>0.70890746372940905</v>
          </cell>
          <cell r="K56">
            <v>0.72971957324551295</v>
          </cell>
          <cell r="L56">
            <v>0.73624882941326497</v>
          </cell>
          <cell r="M56">
            <v>0.74794145374260301</v>
          </cell>
          <cell r="N56">
            <v>0.76348644169788604</v>
          </cell>
          <cell r="O56">
            <v>0.77902281720135702</v>
          </cell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1.3778967060249978E-2</v>
          </cell>
          <cell r="E57">
            <v>1.3829802882333609E-2</v>
          </cell>
          <cell r="F57">
            <v>5.6417504250167942E-2</v>
          </cell>
          <cell r="G57">
            <v>5.643664143099178E-2</v>
          </cell>
          <cell r="H57">
            <v>5.6367460730755645E-2</v>
          </cell>
          <cell r="I57">
            <v>2.3371783811372799E-2</v>
          </cell>
          <cell r="J57"/>
          <cell r="K57"/>
          <cell r="L57">
            <v>1.117049091131205E-3</v>
          </cell>
          <cell r="M57">
            <v>2.0916833069688306E-3</v>
          </cell>
          <cell r="N57">
            <v>2.1027927443387088E-3</v>
          </cell>
          <cell r="O57">
            <v>5.4104559844779321E-3</v>
          </cell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1.4075769731084894E-2</v>
          </cell>
          <cell r="E58">
            <v>1.3816678617408587E-2</v>
          </cell>
          <cell r="F58">
            <v>5.6205903544286659E-2</v>
          </cell>
          <cell r="G58">
            <v>5.6180760629316533E-2</v>
          </cell>
          <cell r="H58">
            <v>5.6205825386416497E-2</v>
          </cell>
          <cell r="I58">
            <v>2.3335662214134214E-2</v>
          </cell>
          <cell r="J58"/>
          <cell r="K58"/>
          <cell r="L58">
            <v>1.1178026055802892E-3</v>
          </cell>
          <cell r="M58">
            <v>2.1118096685570084E-3</v>
          </cell>
          <cell r="N58">
            <v>2.1271269324259798E-3</v>
          </cell>
          <cell r="O58">
            <v>5.4527004940729358E-3</v>
          </cell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2.7854736791334878E-2</v>
          </cell>
          <cell r="E59">
            <v>2.7646481499742213E-2</v>
          </cell>
          <cell r="F59">
            <v>0.11262158273202275</v>
          </cell>
          <cell r="G59">
            <v>0.11261613212681038</v>
          </cell>
          <cell r="H59">
            <v>0.11257127591070928</v>
          </cell>
          <cell r="I59">
            <v>4.6705078528560956E-2</v>
          </cell>
          <cell r="J59"/>
          <cell r="K59"/>
          <cell r="L59">
            <v>2.2348516967114914E-3</v>
          </cell>
          <cell r="M59">
            <v>4.2034929755258394E-3</v>
          </cell>
          <cell r="N59">
            <v>4.2299196767646872E-3</v>
          </cell>
          <cell r="O59">
            <v>1.0863156478550861E-2</v>
          </cell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73.238324102119307</v>
          </cell>
          <cell r="E60">
            <v>78.63293287779706</v>
          </cell>
          <cell r="F60">
            <v>79.101661970866033</v>
          </cell>
          <cell r="G60">
            <v>77.693212115544767</v>
          </cell>
          <cell r="H60">
            <v>75.421735200889756</v>
          </cell>
          <cell r="I60">
            <v>74.600847695982111</v>
          </cell>
          <cell r="J60">
            <v>71.82207491595662</v>
          </cell>
          <cell r="K60">
            <v>69.914162985667446</v>
          </cell>
          <cell r="L60">
            <v>69.186490746742464</v>
          </cell>
          <cell r="M60">
            <v>69.523746303938083</v>
          </cell>
          <cell r="N60">
            <v>69.536807290818146</v>
          </cell>
          <cell r="O60">
            <v>69.542286483706931</v>
          </cell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6.9642754136004372</v>
          </cell>
          <cell r="F61">
            <v>6.9635004540328795</v>
          </cell>
          <cell r="G61">
            <v>12.416180253245059</v>
          </cell>
          <cell r="H61">
            <v>12.416503568032741</v>
          </cell>
          <cell r="I61">
            <v>12.416533195838143</v>
          </cell>
          <cell r="J61">
            <v>13.586130724577444</v>
          </cell>
          <cell r="K61">
            <v>21.071575455674875</v>
          </cell>
          <cell r="L61">
            <v>21.07145478125722</v>
          </cell>
          <cell r="M61">
            <v>21.071305466564446</v>
          </cell>
          <cell r="N61">
            <v>21.071242362702609</v>
          </cell>
          <cell r="O61">
            <v>21.070753250377809</v>
          </cell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6.1735454102717702</v>
          </cell>
          <cell r="E62">
            <v>7.0511013972414442</v>
          </cell>
          <cell r="F62">
            <v>6.8853125828103607</v>
          </cell>
          <cell r="G62">
            <v>5.6154364191703818</v>
          </cell>
          <cell r="H62">
            <v>5.6130606246860255</v>
          </cell>
          <cell r="I62">
            <v>4.4356734775018518</v>
          </cell>
          <cell r="J62">
            <v>3.7771716365943595</v>
          </cell>
          <cell r="K62">
            <v>0.38670400870501576</v>
          </cell>
          <cell r="L62">
            <v>0.38095337312882316</v>
          </cell>
          <cell r="M62">
            <v>0.38368687316176958</v>
          </cell>
          <cell r="N62">
            <v>0.38372307817937484</v>
          </cell>
          <cell r="O62">
            <v>1.1526410999796075</v>
          </cell>
        </row>
        <row r="63">
          <cell r="A63" t="str">
            <v>SCOM-SHDEM</v>
          </cell>
          <cell r="B63" t="str">
            <v>VAR_fin</v>
          </cell>
          <cell r="C63" t="str">
            <v>SCOM-SHH2B</v>
          </cell>
          <cell r="D63"/>
          <cell r="E63"/>
          <cell r="F63"/>
          <cell r="G63">
            <v>5.9652538034198174E-4</v>
          </cell>
          <cell r="H63">
            <v>9.4874172030432122E-2</v>
          </cell>
          <cell r="I63">
            <v>0.60814409197510633</v>
          </cell>
          <cell r="J63">
            <v>1.5437425524679707</v>
          </cell>
          <cell r="K63">
            <v>1.6185490763675439</v>
          </cell>
          <cell r="L63">
            <v>1.5944321845095519</v>
          </cell>
          <cell r="M63">
            <v>0.43606535828671872</v>
          </cell>
          <cell r="N63">
            <v>0.1922716869054866</v>
          </cell>
          <cell r="O63">
            <v>0.10276712399594316</v>
          </cell>
        </row>
        <row r="64">
          <cell r="A64" t="str">
            <v>SCOM-SHDEM</v>
          </cell>
          <cell r="B64" t="str">
            <v>VAR_fin</v>
          </cell>
          <cell r="C64" t="str">
            <v>SCOM-SHLTHD</v>
          </cell>
          <cell r="D64">
            <v>5.553901597872172</v>
          </cell>
          <cell r="E64">
            <v>6.0159361906841058</v>
          </cell>
          <cell r="F64">
            <v>6.0159364959576527</v>
          </cell>
          <cell r="G64">
            <v>6.0159365291574174</v>
          </cell>
          <cell r="H64">
            <v>6.0159363605575225</v>
          </cell>
          <cell r="I64">
            <v>6.015938739915609</v>
          </cell>
          <cell r="J64">
            <v>6.3624104312409013</v>
          </cell>
          <cell r="K64">
            <v>6.3624287942595954</v>
          </cell>
          <cell r="L64">
            <v>8.3261191192226232</v>
          </cell>
          <cell r="M64">
            <v>8.3261240947984447</v>
          </cell>
          <cell r="N64">
            <v>8.3261278738419708</v>
          </cell>
          <cell r="O64">
            <v>8.3261363202577012</v>
          </cell>
        </row>
        <row r="65">
          <cell r="A65" t="str">
            <v>SCOM-SHDEM</v>
          </cell>
          <cell r="B65" t="str">
            <v>VAR_fin</v>
          </cell>
          <cell r="C65" t="str">
            <v>SCOM-SHELCB</v>
          </cell>
          <cell r="D65">
            <v>2.3940354886056441</v>
          </cell>
          <cell r="E65">
            <v>0.28305686436665223</v>
          </cell>
          <cell r="F65">
            <v>2.2743701228801796</v>
          </cell>
          <cell r="G65">
            <v>1.819983224475999</v>
          </cell>
          <cell r="H65">
            <v>1.243879314756863</v>
          </cell>
          <cell r="I65">
            <v>1.0505944167385073</v>
          </cell>
          <cell r="J65">
            <v>0.81551446388433324</v>
          </cell>
          <cell r="K65">
            <v>1.571842683632005</v>
          </cell>
          <cell r="L65">
            <v>1.5861554681313326</v>
          </cell>
          <cell r="M65">
            <v>0.67957901420202826</v>
          </cell>
          <cell r="N65">
            <v>0.66800320626004828</v>
          </cell>
          <cell r="O65">
            <v>0.65600239713707242</v>
          </cell>
        </row>
        <row r="66">
          <cell r="A66" t="str">
            <v>SCOM-SHDEM</v>
          </cell>
          <cell r="B66" t="str">
            <v>VAR_fin</v>
          </cell>
          <cell r="C66" t="str">
            <v>SCOM-SHBIO</v>
          </cell>
          <cell r="D66">
            <v>1.2230667913964</v>
          </cell>
          <cell r="E66">
            <v>1.340766540852586</v>
          </cell>
          <cell r="F66">
            <v>1.3568850157383832</v>
          </cell>
          <cell r="G66">
            <v>1.3227683328987132</v>
          </cell>
          <cell r="H66">
            <v>1.9088908709973098</v>
          </cell>
          <cell r="I66">
            <v>3.4740975577531157</v>
          </cell>
          <cell r="J66">
            <v>5.408217717982903</v>
          </cell>
          <cell r="K66">
            <v>9.435461327083047</v>
          </cell>
          <cell r="L66">
            <v>11.363451339549821</v>
          </cell>
          <cell r="M66">
            <v>14.633757585717001</v>
          </cell>
          <cell r="N66">
            <v>15.142319460170146</v>
          </cell>
          <cell r="O66">
            <v>15.142558373709306</v>
          </cell>
        </row>
        <row r="67">
          <cell r="A67" t="str">
            <v>SCOM-SHDEM</v>
          </cell>
          <cell r="B67" t="str">
            <v>VAR_fin</v>
          </cell>
          <cell r="C67" t="str">
            <v>SCOM-SHELCH</v>
          </cell>
          <cell r="D67">
            <v>4.2612060761276078</v>
          </cell>
          <cell r="E67">
            <v>4.6176491248270013</v>
          </cell>
          <cell r="F67">
            <v>4.8259183513221888</v>
          </cell>
          <cell r="G67">
            <v>5.1972809086437408</v>
          </cell>
          <cell r="H67">
            <v>5.1679702705150827</v>
          </cell>
          <cell r="I67">
            <v>5.1746493381992513</v>
          </cell>
          <cell r="J67">
            <v>5.0804052334316445</v>
          </cell>
          <cell r="K67">
            <v>10.37644235835948</v>
          </cell>
          <cell r="L67">
            <v>10.385898156641714</v>
          </cell>
          <cell r="M67">
            <v>10.352956265909514</v>
          </cell>
          <cell r="N67">
            <v>10.339854381015819</v>
          </cell>
          <cell r="O67">
            <v>10.532587584596937</v>
          </cell>
        </row>
        <row r="68">
          <cell r="A68" t="str">
            <v>SCOM-SHDEM</v>
          </cell>
          <cell r="B68" t="str">
            <v>VAR_fin</v>
          </cell>
          <cell r="C68" t="str">
            <v>SCOM-SHPLT</v>
          </cell>
          <cell r="D68">
            <v>1.8770710196056706</v>
          </cell>
          <cell r="E68">
            <v>2.1600823367351905</v>
          </cell>
          <cell r="F68">
            <v>2.1233104765720321</v>
          </cell>
          <cell r="G68">
            <v>2.1356304492671243</v>
          </cell>
          <cell r="H68">
            <v>2.2681211504301602</v>
          </cell>
          <cell r="I68">
            <v>2.512708196348457</v>
          </cell>
          <cell r="J68">
            <v>2.4787451943987269</v>
          </cell>
          <cell r="K68">
            <v>2.2392633434766234</v>
          </cell>
          <cell r="L68">
            <v>2.2058969741373442</v>
          </cell>
          <cell r="M68">
            <v>2.2213672749007984</v>
          </cell>
          <cell r="N68">
            <v>2.2219687052514492</v>
          </cell>
          <cell r="O68">
            <v>2.2222387949333275</v>
          </cell>
        </row>
        <row r="69">
          <cell r="A69" t="str">
            <v>SCOM-SHDEM</v>
          </cell>
          <cell r="B69" t="str">
            <v>VAR_fin</v>
          </cell>
          <cell r="C69" t="str">
            <v>SCOM-SHLTHC-NGA</v>
          </cell>
          <cell r="D69">
            <v>0.68565024398575236</v>
          </cell>
          <cell r="E69">
            <v>0.74269036790797494</v>
          </cell>
          <cell r="F69">
            <v>1.4630466178434984</v>
          </cell>
          <cell r="G69">
            <v>1.6904817039328117</v>
          </cell>
          <cell r="H69">
            <v>1.6201714410410983</v>
          </cell>
          <cell r="I69">
            <v>1.0383948002459376</v>
          </cell>
          <cell r="J69"/>
          <cell r="L69">
            <v>2.9248979832916812E-3</v>
          </cell>
          <cell r="M69">
            <v>2.781611979635674E-3</v>
          </cell>
          <cell r="N69">
            <v>2.1144152795585956E-3</v>
          </cell>
          <cell r="O69">
            <v>4.9484718225918786E-3</v>
          </cell>
        </row>
        <row r="70">
          <cell r="A70" t="str">
            <v>SCOM-SHDEM</v>
          </cell>
          <cell r="B70" t="str">
            <v>VAR_fin</v>
          </cell>
          <cell r="C70" t="str">
            <v>SCOM-SHSOL</v>
          </cell>
          <cell r="D70">
            <v>0.62699586439936961</v>
          </cell>
          <cell r="E70">
            <v>0.68733315513655868</v>
          </cell>
          <cell r="F70">
            <v>0.68620242660645925</v>
          </cell>
          <cell r="G70">
            <v>0.68821014657605117</v>
          </cell>
          <cell r="H70">
            <v>1.625918754924607</v>
          </cell>
          <cell r="I70">
            <v>3.3711505576135536</v>
          </cell>
          <cell r="J70">
            <v>2.8408497236722532</v>
          </cell>
          <cell r="K70">
            <v>3.5060308417345385</v>
          </cell>
          <cell r="L70">
            <v>3.5214992316179496</v>
          </cell>
          <cell r="M70">
            <v>3.4902312550650656</v>
          </cell>
          <cell r="N70">
            <v>3.4971915386247372</v>
          </cell>
          <cell r="O70">
            <v>3.021947246207271</v>
          </cell>
        </row>
        <row r="71">
          <cell r="A71" t="str">
            <v>SCOM-SHDEM</v>
          </cell>
          <cell r="B71" t="str">
            <v>VAR_fin</v>
          </cell>
          <cell r="C71" t="str">
            <v>SCOM-SHLTHC-WOD</v>
          </cell>
          <cell r="D71"/>
          <cell r="E71"/>
          <cell r="F71"/>
          <cell r="G71">
            <v>7.9440532137340302E-4</v>
          </cell>
          <cell r="H71">
            <v>8.3266642805272708E-4</v>
          </cell>
          <cell r="I71">
            <v>8.2883847151763116E-3</v>
          </cell>
          <cell r="J71">
            <v>7.1689514057321621E-3</v>
          </cell>
          <cell r="K71">
            <v>3.3142874893300591E-3</v>
          </cell>
          <cell r="L71">
            <v>4.2660671421186928E-3</v>
          </cell>
          <cell r="M71">
            <v>2.7350630462808362E-3</v>
          </cell>
          <cell r="N71">
            <v>2.2500723020361453E-3</v>
          </cell>
          <cell r="O71">
            <v>4.201125765636738E-3</v>
          </cell>
        </row>
        <row r="72">
          <cell r="A72" t="str">
            <v>SCOM-SHDEM</v>
          </cell>
          <cell r="B72" t="str">
            <v>VAR_fin</v>
          </cell>
          <cell r="C72" t="str">
            <v>SCOM-SHNGA</v>
          </cell>
          <cell r="D72">
            <v>24.189714995476411</v>
          </cell>
          <cell r="E72">
            <v>25.326920269612991</v>
          </cell>
          <cell r="F72">
            <v>24.58002929175187</v>
          </cell>
          <cell r="G72">
            <v>23.457618594567212</v>
          </cell>
          <cell r="H72">
            <v>23.412420395960375</v>
          </cell>
          <cell r="I72">
            <v>23.827003755228553</v>
          </cell>
          <cell r="J72">
            <v>21.445446470516103</v>
          </cell>
          <cell r="K72">
            <v>7.4682994740466535</v>
          </cell>
          <cell r="L72">
            <v>3.9650661371205698</v>
          </cell>
          <cell r="M72">
            <v>2.044753907149031</v>
          </cell>
          <cell r="N72">
            <v>1.0339989866141137</v>
          </cell>
          <cell r="O72">
            <v>0.29677013055380924</v>
          </cell>
        </row>
        <row r="73">
          <cell r="A73" t="str">
            <v>SCOM-SHDEM</v>
          </cell>
          <cell r="B73" t="str">
            <v>VAR_fin</v>
          </cell>
          <cell r="C73" t="str">
            <v>SCOM-SHNGAH</v>
          </cell>
          <cell r="D73"/>
          <cell r="E73"/>
          <cell r="F73">
            <v>1.1057810741565404E-3</v>
          </cell>
          <cell r="G73">
            <v>1.2353947054779804E-3</v>
          </cell>
          <cell r="H73">
            <v>0.40107103286340412</v>
          </cell>
          <cell r="I73">
            <v>0.83524726281619965</v>
          </cell>
          <cell r="J73">
            <v>1.2637794984559518</v>
          </cell>
          <cell r="K73">
            <v>0.89175734040711863</v>
          </cell>
          <cell r="L73">
            <v>1.7677864619368564</v>
          </cell>
          <cell r="M73">
            <v>2.7033093061838156</v>
          </cell>
          <cell r="N73">
            <v>3.7171798955931021</v>
          </cell>
          <cell r="O73">
            <v>4.3689369199722972</v>
          </cell>
        </row>
        <row r="74">
          <cell r="A74" t="str">
            <v>SCOM-SHDEM</v>
          </cell>
          <cell r="B74" t="str">
            <v>VAR_fin</v>
          </cell>
          <cell r="C74" t="str">
            <v>SCOM-SHLTHC-BIO</v>
          </cell>
          <cell r="D74">
            <v>1.4100660466199539</v>
          </cell>
          <cell r="E74">
            <v>1.5273703628933584</v>
          </cell>
          <cell r="F74">
            <v>1.3748085464522459</v>
          </cell>
          <cell r="G74">
            <v>1.1461231893690018</v>
          </cell>
          <cell r="H74">
            <v>1.2204372305523019</v>
          </cell>
          <cell r="I74">
            <v>0.97388929881155584</v>
          </cell>
          <cell r="J74">
            <v>1.9932200048721078</v>
          </cell>
          <cell r="K74">
            <v>1.9339696454962347</v>
          </cell>
          <cell r="L74">
            <v>2.2458110993509477</v>
          </cell>
          <cell r="M74">
            <v>2.4314602224777082</v>
          </cell>
          <cell r="N74">
            <v>2.2054084309366191</v>
          </cell>
          <cell r="O74">
            <v>1.8987353605935173</v>
          </cell>
        </row>
        <row r="75">
          <cell r="A75" t="str">
            <v>SCOM-SHDEM</v>
          </cell>
          <cell r="B75" t="str">
            <v>VAR_fin</v>
          </cell>
          <cell r="C75" t="str">
            <v>SCOM-SHLTHC-HFC</v>
          </cell>
          <cell r="D75"/>
          <cell r="E75"/>
          <cell r="F75"/>
          <cell r="G75">
            <v>6.1631127880567367E-4</v>
          </cell>
          <cell r="H75">
            <v>1.4763470455956367E-3</v>
          </cell>
          <cell r="I75">
            <v>7.3568911016038191E-3</v>
          </cell>
          <cell r="J75">
            <v>2.7206187657672021E-2</v>
          </cell>
          <cell r="K75">
            <v>4.8650373292824463E-2</v>
          </cell>
          <cell r="L75">
            <v>4.1364694058183625E-2</v>
          </cell>
          <cell r="M75">
            <v>1.5242161192135959E-2</v>
          </cell>
          <cell r="N75">
            <v>4.5072515176057416E-3</v>
          </cell>
          <cell r="O75">
            <v>1.2386624632851883E-2</v>
          </cell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D76">
            <v>24.843070567758563</v>
          </cell>
          <cell r="E76">
            <v>21.915802113645906</v>
          </cell>
          <cell r="F76">
            <v>20.551276898128293</v>
          </cell>
          <cell r="G76">
            <v>16.184349393009683</v>
          </cell>
          <cell r="H76">
            <v>12.410197191515476</v>
          </cell>
          <cell r="I76">
            <v>8.8512409176064324</v>
          </cell>
          <cell r="J76">
            <v>5.1921437288958234</v>
          </cell>
          <cell r="K76">
            <v>2.9999702747827257</v>
          </cell>
          <cell r="L76">
            <v>0.72344118608725883</v>
          </cell>
          <cell r="M76">
            <v>0.72847605959468698</v>
          </cell>
          <cell r="N76">
            <v>0.72867068340237773</v>
          </cell>
          <cell r="O76">
            <v>0.72876598908457257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D77">
            <v>4.6678591275170328E-5</v>
          </cell>
          <cell r="E77">
            <v>9.1656016536637109E-5</v>
          </cell>
          <cell r="F77">
            <v>6.9718103394685689E-4</v>
          </cell>
          <cell r="G77">
            <v>2.7052533996577887E-4</v>
          </cell>
          <cell r="H77">
            <v>2.9440480050707627E-4</v>
          </cell>
          <cell r="I77">
            <v>1.0760790862141666E-2</v>
          </cell>
          <cell r="J77">
            <v>2.2875485747214805E-2</v>
          </cell>
          <cell r="K77">
            <v>1.4763766246376393E-3</v>
          </cell>
          <cell r="L77">
            <v>2.901856519785423E-3</v>
          </cell>
          <cell r="M77">
            <v>3.3135053443755836E-3</v>
          </cell>
          <cell r="N77">
            <v>4.727185219949602E-3</v>
          </cell>
          <cell r="O77">
            <v>6.2513499631159982E-3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D78">
            <v>4.6678591275170328E-5</v>
          </cell>
          <cell r="E78">
            <v>9.1656016536637109E-5</v>
          </cell>
          <cell r="F78">
            <v>8.9950139075718944E-4</v>
          </cell>
          <cell r="G78">
            <v>3.3072842334335432E-4</v>
          </cell>
          <cell r="H78">
            <v>3.4879844460121423E-4</v>
          </cell>
          <cell r="I78">
            <v>1.267052360806355E-2</v>
          </cell>
          <cell r="J78">
            <v>2.6153754271562191E-2</v>
          </cell>
          <cell r="K78">
            <v>1.6409332494728207E-3</v>
          </cell>
          <cell r="L78">
            <v>3.2245569270975614E-3</v>
          </cell>
          <cell r="M78">
            <v>3.6819566861279168E-3</v>
          </cell>
          <cell r="N78">
            <v>5.2527114630146797E-3</v>
          </cell>
          <cell r="O78">
            <v>6.9462659935930829E-3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D79">
            <v>1.4346362342798299E-3</v>
          </cell>
          <cell r="E79">
            <v>3.6360539416713002E-6</v>
          </cell>
          <cell r="F79">
            <v>5.2828380476922303E-5</v>
          </cell>
          <cell r="G79">
            <v>1.19203660687707E-5</v>
          </cell>
          <cell r="H79">
            <v>6.5175825598278204E-5</v>
          </cell>
          <cell r="I79">
            <v>2.5066635677695601E-2</v>
          </cell>
          <cell r="J79">
            <v>5.8527041792813105E-4</v>
          </cell>
          <cell r="K79">
            <v>7.7817795732327405E-5</v>
          </cell>
          <cell r="L79">
            <v>2.3008419837964699E-4</v>
          </cell>
          <cell r="M79">
            <v>4.7624837852979098E-4</v>
          </cell>
          <cell r="N79">
            <v>1.8929738333959401E-4</v>
          </cell>
          <cell r="O79">
            <v>2.9384904655366701E-4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D80">
            <v>1.4346362342798299E-3</v>
          </cell>
          <cell r="E80">
            <v>3.6227227290050066E-5</v>
          </cell>
          <cell r="F80">
            <v>9.2393166169599857E-5</v>
          </cell>
          <cell r="G80">
            <v>6.6882571536930075E-5</v>
          </cell>
          <cell r="H80">
            <v>6.5370339509042007E-5</v>
          </cell>
          <cell r="I80">
            <v>2.5119948270006253E-2</v>
          </cell>
          <cell r="J80">
            <v>2.5680524169237013E-2</v>
          </cell>
          <cell r="K80">
            <v>1.1400690501920004E-3</v>
          </cell>
          <cell r="L80">
            <v>5.9919672503033934E-4</v>
          </cell>
          <cell r="M80">
            <v>6.1542180351734804E-4</v>
          </cell>
          <cell r="N80">
            <v>6.2196114074682693E-4</v>
          </cell>
          <cell r="O80">
            <v>6.9749323711088712E-4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D81"/>
          <cell r="E81">
            <v>1.6308237206495213E-2</v>
          </cell>
          <cell r="F81">
            <v>1.6894558744101357E-2</v>
          </cell>
          <cell r="G81">
            <v>1.7382215840244027E-2</v>
          </cell>
          <cell r="H81">
            <v>3.4734130666526683E-2</v>
          </cell>
          <cell r="I81">
            <v>0.18685311463022064</v>
          </cell>
          <cell r="J81">
            <v>0.19445898432680447</v>
          </cell>
          <cell r="K81">
            <v>0.19781968958936674</v>
          </cell>
          <cell r="L81">
            <v>0.2562747036952493</v>
          </cell>
          <cell r="M81">
            <v>0.25588399638739667</v>
          </cell>
          <cell r="N81">
            <v>0.25835248268458488</v>
          </cell>
          <cell r="O81">
            <v>0.2782960382794139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D82"/>
          <cell r="E82">
            <v>1.6308484569724717E-2</v>
          </cell>
          <cell r="F82">
            <v>1.6894818632051341E-2</v>
          </cell>
          <cell r="G82">
            <v>1.7382397698615611E-2</v>
          </cell>
          <cell r="H82">
            <v>3.4734430978066631E-2</v>
          </cell>
          <cell r="I82">
            <v>0.18685342071569622</v>
          </cell>
          <cell r="J82">
            <v>0.19445924307390414</v>
          </cell>
          <cell r="K82">
            <v>0.19782029614767552</v>
          </cell>
          <cell r="L82">
            <v>0.25627500900448164</v>
          </cell>
          <cell r="M82">
            <v>0.25588520761253924</v>
          </cell>
          <cell r="N82">
            <v>0.25835330646269994</v>
          </cell>
          <cell r="O82">
            <v>0.27829804623180443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D83"/>
          <cell r="E83">
            <v>6.1043945958238295E-4</v>
          </cell>
          <cell r="F83">
            <v>1.9021526621818601E-5</v>
          </cell>
          <cell r="G83">
            <v>4.87828251221055E-6</v>
          </cell>
          <cell r="H83">
            <v>6.1060400649415899E-4</v>
          </cell>
          <cell r="I83">
            <v>5.6040665231159303E-3</v>
          </cell>
          <cell r="J83">
            <v>6.2445713838481405E-4</v>
          </cell>
          <cell r="K83">
            <v>2.9469931261566902E-4</v>
          </cell>
          <cell r="L83">
            <v>3.2963424731322099E-3</v>
          </cell>
          <cell r="M83">
            <v>5.0534032051780401E-3</v>
          </cell>
          <cell r="N83">
            <v>6.5006900637247598E-4</v>
          </cell>
          <cell r="O83">
            <v>1.12273849991881E-3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D84"/>
          <cell r="E84">
            <v>6.1043945958238295E-4</v>
          </cell>
          <cell r="F84">
            <v>6.2914512955036578E-4</v>
          </cell>
          <cell r="G84">
            <v>6.3336758449240133E-4</v>
          </cell>
          <cell r="H84">
            <v>1.2423838946097514E-3</v>
          </cell>
          <cell r="I84">
            <v>6.6101536936394069E-3</v>
          </cell>
          <cell r="J84">
            <v>6.8433573265520697E-3</v>
          </cell>
          <cell r="K84">
            <v>7.130750276696558E-3</v>
          </cell>
          <cell r="L84">
            <v>9.2583744917125298E-3</v>
          </cell>
          <cell r="M84">
            <v>9.2646613621856326E-3</v>
          </cell>
          <cell r="N84">
            <v>9.2904089661472768E-3</v>
          </cell>
          <cell r="O84">
            <v>1.0117014947526688E-2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D85">
            <v>6.4887901297894842E-4</v>
          </cell>
          <cell r="E85">
            <v>7.8482492801502105E-5</v>
          </cell>
          <cell r="F85">
            <v>1.5222220440966317E-3</v>
          </cell>
          <cell r="G85">
            <v>6.6863079834478061E-4</v>
          </cell>
          <cell r="H85">
            <v>2.7081766123063813E-4</v>
          </cell>
          <cell r="I85">
            <v>1.9214497003034969E-5</v>
          </cell>
          <cell r="J85">
            <v>7.6597827033505568E-6</v>
          </cell>
          <cell r="K85">
            <v>9.3308377182000678E-6</v>
          </cell>
          <cell r="L85">
            <v>6.2180687299858605E-5</v>
          </cell>
          <cell r="M85">
            <v>2.944617559031306E-4</v>
          </cell>
          <cell r="N85">
            <v>2.8963923848271623E-5</v>
          </cell>
          <cell r="O85">
            <v>4.9642699990810856E-5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D86"/>
          <cell r="E86"/>
          <cell r="F86">
            <v>3.7996423156559875E-6</v>
          </cell>
          <cell r="G86">
            <v>6.1455139659202035E-6</v>
          </cell>
          <cell r="H86">
            <v>9.5491481120805035E-6</v>
          </cell>
          <cell r="I86">
            <v>4.5874992726540996E-6</v>
          </cell>
          <cell r="J86">
            <v>6.5215462228711043E-6</v>
          </cell>
          <cell r="K86">
            <v>7.394654550561268E-6</v>
          </cell>
          <cell r="L86">
            <v>7.9059763449751432E-6</v>
          </cell>
          <cell r="M86">
            <v>1.1663718816374809E-5</v>
          </cell>
          <cell r="N86">
            <v>1.7665484480900267E-5</v>
          </cell>
          <cell r="O86">
            <v>2.4676997537331863E-5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D87">
            <v>3.1043182028557922E-2</v>
          </cell>
          <cell r="E87">
            <v>4.2959849472811841E-3</v>
          </cell>
          <cell r="F87">
            <v>1.2478188728029334E-2</v>
          </cell>
          <cell r="G87">
            <v>8.8950326765562856E-3</v>
          </cell>
          <cell r="H87">
            <v>8.6012840759429627E-3</v>
          </cell>
          <cell r="I87">
            <v>3.723040782035053E-3</v>
          </cell>
          <cell r="J87">
            <v>3.4121237531511848E-6</v>
          </cell>
          <cell r="K87">
            <v>2.435348331156122E-6</v>
          </cell>
          <cell r="L87">
            <v>4.1659954482222983E-3</v>
          </cell>
          <cell r="M87">
            <v>4.5394829195664265E-3</v>
          </cell>
          <cell r="N87">
            <v>7.7639887397783778E-3</v>
          </cell>
          <cell r="O87">
            <v>8.0804654227366254E-3</v>
          </cell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D88">
            <v>3.1692061041536858E-2</v>
          </cell>
          <cell r="E88">
            <v>4.375036521948086E-3</v>
          </cell>
          <cell r="F88">
            <v>1.4004832923260456E-2</v>
          </cell>
          <cell r="G88">
            <v>9.5702610084448837E-3</v>
          </cell>
          <cell r="H88">
            <v>8.8820363725493311E-3</v>
          </cell>
          <cell r="I88">
            <v>3.7475249539160645E-3</v>
          </cell>
          <cell r="J88">
            <v>1.7593452679372854E-5</v>
          </cell>
          <cell r="K88">
            <v>1.9160840599917459E-5</v>
          </cell>
          <cell r="L88">
            <v>4.2364718040051163E-3</v>
          </cell>
          <cell r="M88">
            <v>4.8460029422270528E-3</v>
          </cell>
          <cell r="N88">
            <v>7.8108880647001387E-3</v>
          </cell>
          <cell r="O88">
            <v>8.1547851202647664E-3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D89">
            <v>3.5600028325641038</v>
          </cell>
          <cell r="E89">
            <v>3.4647171086466249</v>
          </cell>
          <cell r="F89">
            <v>0.54004899139227924</v>
          </cell>
          <cell r="G89">
            <v>2.6735405715085325E-4</v>
          </cell>
          <cell r="H89">
            <v>1.6295852648125556E-4</v>
          </cell>
          <cell r="I89">
            <v>1.0140654488555371E-3</v>
          </cell>
          <cell r="J89">
            <v>6.2856077447267849E-4</v>
          </cell>
          <cell r="K89">
            <v>3.7613076015022593E-4</v>
          </cell>
          <cell r="L89">
            <v>2.8935843068367116E-4</v>
          </cell>
          <cell r="M89">
            <v>6.2114297043794483E-4</v>
          </cell>
          <cell r="N89">
            <v>3.275712252769094E-4</v>
          </cell>
          <cell r="O89">
            <v>1.3090628940185694E-4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D90">
            <v>330.012262578692</v>
          </cell>
          <cell r="E90">
            <v>321.17927597154198</v>
          </cell>
          <cell r="F90">
            <v>50.062541502064299</v>
          </cell>
          <cell r="G90">
            <v>2.4783721097884098E-2</v>
          </cell>
          <cell r="H90">
            <v>1.51062554048124E-2</v>
          </cell>
          <cell r="I90">
            <v>9.4003867108908207E-2</v>
          </cell>
          <cell r="J90">
            <v>5.8267583793617198E-2</v>
          </cell>
          <cell r="K90">
            <v>3.4867321465925902E-2</v>
          </cell>
          <cell r="L90">
            <v>2.68235265243763E-2</v>
          </cell>
          <cell r="M90">
            <v>5.7579953359597501E-2</v>
          </cell>
          <cell r="N90">
            <v>3.0365852583169501E-2</v>
          </cell>
          <cell r="O90">
            <v>1.21350130275521E-2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D91">
            <v>3.5600028325641038</v>
          </cell>
          <cell r="E91">
            <v>3.4647171086466249</v>
          </cell>
          <cell r="F91">
            <v>0.54004899139227924</v>
          </cell>
          <cell r="G91">
            <v>2.6735405715085325E-4</v>
          </cell>
          <cell r="H91">
            <v>1.6295852648125556E-4</v>
          </cell>
          <cell r="I91">
            <v>1.0140654488555371E-3</v>
          </cell>
          <cell r="J91">
            <v>6.2856077447267849E-4</v>
          </cell>
          <cell r="K91">
            <v>3.7613076015022593E-4</v>
          </cell>
          <cell r="L91">
            <v>2.8935843068367116E-4</v>
          </cell>
          <cell r="M91">
            <v>6.2114297043794483E-4</v>
          </cell>
          <cell r="N91">
            <v>3.275712252769094E-4</v>
          </cell>
          <cell r="O91">
            <v>1.3090628940185694E-4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D92">
            <v>0.38989018565325362</v>
          </cell>
          <cell r="E92">
            <v>0.78036230903377368</v>
          </cell>
          <cell r="F92">
            <v>0.78024302035930315</v>
          </cell>
          <cell r="G92">
            <v>0.78038812283372261</v>
          </cell>
          <cell r="H92">
            <v>1.0775885649824697</v>
          </cell>
          <cell r="I92">
            <v>2.5037486482945948</v>
          </cell>
          <cell r="J92">
            <v>2.5037071502799395</v>
          </cell>
          <cell r="K92">
            <v>3.7498926135058959</v>
          </cell>
          <cell r="L92">
            <v>4.2470095303444921</v>
          </cell>
          <cell r="M92">
            <v>4.2468089953040966</v>
          </cell>
          <cell r="N92">
            <v>3.779107527542386</v>
          </cell>
          <cell r="O92">
            <v>2.5211481116693766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D93">
            <v>0.38989018565325362</v>
          </cell>
          <cell r="E93">
            <v>0.78036230903377368</v>
          </cell>
          <cell r="F93">
            <v>0.78024302035930315</v>
          </cell>
          <cell r="G93">
            <v>0.78038812283372261</v>
          </cell>
          <cell r="H93">
            <v>1.0775885649824697</v>
          </cell>
          <cell r="I93">
            <v>2.5037486482945948</v>
          </cell>
          <cell r="J93">
            <v>2.5037071502799395</v>
          </cell>
          <cell r="K93">
            <v>3.7498926135058959</v>
          </cell>
          <cell r="L93">
            <v>4.2470095303444921</v>
          </cell>
          <cell r="M93">
            <v>4.2468089953040966</v>
          </cell>
          <cell r="N93">
            <v>3.779107527542386</v>
          </cell>
          <cell r="O93">
            <v>2.5211481116693766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D94">
            <v>2.7551542985412299E-2</v>
          </cell>
          <cell r="E94">
            <v>2.7551542493867001E-2</v>
          </cell>
          <cell r="F94">
            <v>6.9062264442716002E-8</v>
          </cell>
          <cell r="G94">
            <v>6.8908443870305596E-6</v>
          </cell>
          <cell r="H94">
            <v>2.0987026935890801E-2</v>
          </cell>
          <cell r="I94">
            <v>0.100706607305696</v>
          </cell>
          <cell r="J94">
            <v>7.9501596299168698E-8</v>
          </cell>
          <cell r="K94">
            <v>0.115090471575393</v>
          </cell>
          <cell r="L94">
            <v>6.3111924575271899E-2</v>
          </cell>
          <cell r="M94">
            <v>6.1140578847349204E-8</v>
          </cell>
          <cell r="N94">
            <v>2.35391253422402E-7</v>
          </cell>
          <cell r="O94">
            <v>1.9478468298575601E-8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D95">
            <v>2.7551542985412299E-2</v>
          </cell>
          <cell r="E95">
            <v>5.5103085479279203E-2</v>
          </cell>
          <cell r="F95">
            <v>5.51031545415437E-2</v>
          </cell>
          <cell r="G95">
            <v>5.51100453859307E-2</v>
          </cell>
          <cell r="H95">
            <v>7.6097072321821502E-2</v>
          </cell>
          <cell r="I95">
            <v>0.176803679627518</v>
          </cell>
          <cell r="J95">
            <v>0.176803759129114</v>
          </cell>
          <cell r="K95">
            <v>0.26479618826997098</v>
          </cell>
          <cell r="L95">
            <v>0.29990117286690698</v>
          </cell>
          <cell r="M95">
            <v>0.29989617103442701</v>
          </cell>
          <cell r="N95">
            <v>0.26686102573609999</v>
          </cell>
          <cell r="O95">
            <v>0.178202791662562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D96">
            <v>4.6280252386370355</v>
          </cell>
          <cell r="E96">
            <v>3.723104482205529</v>
          </cell>
          <cell r="F96">
            <v>3.9945192942623775</v>
          </cell>
          <cell r="G96">
            <v>2.3431899385419177</v>
          </cell>
          <cell r="H96">
            <v>1.6142942885182543</v>
          </cell>
          <cell r="I96">
            <v>1.0192011203181806</v>
          </cell>
          <cell r="J96">
            <v>0.68190869709319579</v>
          </cell>
          <cell r="K96">
            <v>0.36520359169614736</v>
          </cell>
          <cell r="L96">
            <v>1.8985060299565306</v>
          </cell>
          <cell r="M96">
            <v>1.7934264302388343</v>
          </cell>
          <cell r="N96">
            <v>1.8263721803811221</v>
          </cell>
          <cell r="O96">
            <v>0.301674784962635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D97">
            <v>4.8716055143547763</v>
          </cell>
          <cell r="E97">
            <v>3.9190573496900307</v>
          </cell>
          <cell r="F97">
            <v>4.2047571518551328</v>
          </cell>
          <cell r="G97">
            <v>2.4665157247809679</v>
          </cell>
          <cell r="H97">
            <v>1.69925714580869</v>
          </cell>
          <cell r="I97">
            <v>1.0728432845454532</v>
          </cell>
          <cell r="J97">
            <v>0.7177986285191521</v>
          </cell>
          <cell r="K97">
            <v>0.38442483336436561</v>
          </cell>
          <cell r="L97">
            <v>1.998427399954245</v>
          </cell>
          <cell r="M97">
            <v>1.8878172949882472</v>
          </cell>
          <cell r="N97">
            <v>1.9224970319801307</v>
          </cell>
          <cell r="O97">
            <v>0.31755240522382688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D98">
            <v>4.7144013773450802E-7</v>
          </cell>
          <cell r="E98">
            <v>9.1161227416716601E-7</v>
          </cell>
          <cell r="F98">
            <v>1.0818213573377599E-6</v>
          </cell>
          <cell r="G98">
            <v>1.02986673822667E-6</v>
          </cell>
          <cell r="H98">
            <v>8.3209946871975707E-2</v>
          </cell>
          <cell r="I98">
            <v>2.9233952005813201E-2</v>
          </cell>
          <cell r="J98">
            <v>1.32943940815477E-6</v>
          </cell>
          <cell r="K98">
            <v>1.8887305293216E-2</v>
          </cell>
          <cell r="L98">
            <v>0.13396969930598801</v>
          </cell>
          <cell r="M98">
            <v>9.4499928852564497E-4</v>
          </cell>
          <cell r="N98">
            <v>4.6812058520278699E-2</v>
          </cell>
          <cell r="O98">
            <v>1.73773982944466E-6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D99">
            <v>0.32680161538847674</v>
          </cell>
          <cell r="E99">
            <v>0.32680146100385066</v>
          </cell>
          <cell r="F99">
            <v>0.32680040114641384</v>
          </cell>
          <cell r="G99">
            <v>0.31834417229417505</v>
          </cell>
          <cell r="H99">
            <v>0.16576832196799271</v>
          </cell>
          <cell r="I99">
            <v>0.11244428686376705</v>
          </cell>
          <cell r="J99">
            <v>8.9888050895372398E-2</v>
          </cell>
          <cell r="K99">
            <v>4.8121197580184384E-2</v>
          </cell>
          <cell r="L99">
            <v>0.15734827513756555</v>
          </cell>
          <cell r="M99">
            <v>0.15379946759801627</v>
          </cell>
          <cell r="N99">
            <v>0.14259999833531509</v>
          </cell>
          <cell r="O99">
            <v>4.6765950508886683E-2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D100"/>
          <cell r="E100">
            <v>2.5550152102148532E-3</v>
          </cell>
          <cell r="F100">
            <v>1.241829792234918E-2</v>
          </cell>
          <cell r="G100">
            <v>1.402217364645804E-2</v>
          </cell>
          <cell r="H100">
            <v>1.4264335523307008E-2</v>
          </cell>
          <cell r="I100">
            <v>7.4182079853431521E-3</v>
          </cell>
          <cell r="J100"/>
          <cell r="K100"/>
          <cell r="L100">
            <v>1.5338698674728802E-3</v>
          </cell>
          <cell r="M100">
            <v>4.7528949208428583E-3</v>
          </cell>
          <cell r="N100">
            <v>1.7112028896590025E-3</v>
          </cell>
          <cell r="O100">
            <v>3.2709135844665484E-3</v>
          </cell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D101"/>
          <cell r="E101">
            <v>2.5550152102148532E-3</v>
          </cell>
          <cell r="F101">
            <v>1.241829792234918E-2</v>
          </cell>
          <cell r="G101">
            <v>1.402217364645804E-2</v>
          </cell>
          <cell r="H101">
            <v>1.4264335523307008E-2</v>
          </cell>
          <cell r="I101">
            <v>7.4182079853431521E-3</v>
          </cell>
          <cell r="J101"/>
          <cell r="K101"/>
          <cell r="L101">
            <v>1.5338698674728802E-3</v>
          </cell>
          <cell r="M101">
            <v>4.7528949208428583E-3</v>
          </cell>
          <cell r="N101">
            <v>1.7112028896590025E-3</v>
          </cell>
          <cell r="O101">
            <v>3.2709135844665484E-3</v>
          </cell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D102"/>
          <cell r="E102">
            <v>2.5808234446614681E-3</v>
          </cell>
          <cell r="F102">
            <v>1.2543735275100196E-2</v>
          </cell>
          <cell r="G102">
            <v>1.4163811764099015E-2</v>
          </cell>
          <cell r="H102">
            <v>1.4408419720512135E-2</v>
          </cell>
          <cell r="I102">
            <v>7.4931393791344914E-3</v>
          </cell>
          <cell r="J102"/>
          <cell r="K102"/>
          <cell r="L102">
            <v>1.5493635024978597E-3</v>
          </cell>
          <cell r="M102">
            <v>4.8009039604473376E-3</v>
          </cell>
          <cell r="N102">
            <v>1.7284877673323248E-3</v>
          </cell>
          <cell r="O102">
            <v>3.3039531156227784E-3</v>
          </cell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D103"/>
          <cell r="E103">
            <v>3.2354265763097503E-4</v>
          </cell>
          <cell r="F103">
            <v>1.00535344000337E-3</v>
          </cell>
          <cell r="G103">
            <v>7.35242048949296E-4</v>
          </cell>
          <cell r="H103">
            <v>6.7254294682139401E-4</v>
          </cell>
          <cell r="I103">
            <v>4.7873718241688799E-4</v>
          </cell>
          <cell r="J103">
            <v>3.24306979085147E-7</v>
          </cell>
          <cell r="K103">
            <v>3.3184958589265999E-7</v>
          </cell>
          <cell r="L103">
            <v>1.9984350722545199E-4</v>
          </cell>
          <cell r="M103">
            <v>4.4056045321548098E-4</v>
          </cell>
          <cell r="N103">
            <v>1.3188187333242201E-4</v>
          </cell>
          <cell r="O103">
            <v>3.4097382087269301E-4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D104"/>
          <cell r="E104">
            <v>3.2354265763097503E-4</v>
          </cell>
          <cell r="F104">
            <v>1.1788763927411011E-3</v>
          </cell>
          <cell r="G104">
            <v>1.1497111251440868E-3</v>
          </cell>
          <cell r="H104">
            <v>1.13570605401944E-3</v>
          </cell>
          <cell r="I104">
            <v>6.894875451127398E-4</v>
          </cell>
          <cell r="J104">
            <v>-1.963058230498773E-7</v>
          </cell>
          <cell r="K104">
            <v>-2.421105151000167E-7</v>
          </cell>
          <cell r="L104">
            <v>1.9995154506431012E-4</v>
          </cell>
          <cell r="M104">
            <v>5.2747957316412702E-4</v>
          </cell>
          <cell r="N104">
            <v>2.2466101722945405E-4</v>
          </cell>
          <cell r="O104">
            <v>4.3244193222863504E-4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D105">
            <v>0.60722508467100911</v>
          </cell>
          <cell r="E105">
            <v>1.2154215538366779</v>
          </cell>
          <cell r="F105">
            <v>1.2152787064741568</v>
          </cell>
          <cell r="G105">
            <v>1.2153442956169607</v>
          </cell>
          <cell r="H105">
            <v>1.2153429818612662</v>
          </cell>
          <cell r="I105">
            <v>3.4366172546475564</v>
          </cell>
          <cell r="J105">
            <v>3.4365605162023098</v>
          </cell>
          <cell r="K105">
            <v>2.8389909839942997</v>
          </cell>
          <cell r="L105">
            <v>3.1988356302365024</v>
          </cell>
          <cell r="M105">
            <v>3.1987158995526448</v>
          </cell>
          <cell r="N105">
            <v>2.8510831840049811</v>
          </cell>
          <cell r="O105">
            <v>0.97665809252521063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D106">
            <v>0.60722508467100911</v>
          </cell>
          <cell r="E106">
            <v>1.2154215538366779</v>
          </cell>
          <cell r="F106">
            <v>1.2152787064741568</v>
          </cell>
          <cell r="G106">
            <v>1.2153442956169607</v>
          </cell>
          <cell r="H106">
            <v>1.2153429818612662</v>
          </cell>
          <cell r="I106">
            <v>3.4366172546475564</v>
          </cell>
          <cell r="J106">
            <v>3.4365605162023098</v>
          </cell>
          <cell r="K106">
            <v>2.8389909839942997</v>
          </cell>
          <cell r="L106">
            <v>3.1988356302365024</v>
          </cell>
          <cell r="M106">
            <v>3.1987158995526448</v>
          </cell>
          <cell r="N106">
            <v>2.8510831840049811</v>
          </cell>
          <cell r="O106">
            <v>0.97665809252521063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D107">
            <v>4.2912083143199199E-2</v>
          </cell>
          <cell r="E107">
            <v>4.2912081913420101E-2</v>
          </cell>
          <cell r="F107">
            <v>5.6978305733145401E-8</v>
          </cell>
          <cell r="G107">
            <v>2.83156385095606E-7</v>
          </cell>
          <cell r="H107">
            <v>3.2247207477769902E-7</v>
          </cell>
          <cell r="I107">
            <v>0.156852705636052</v>
          </cell>
          <cell r="J107">
            <v>6.7965515407218106E-8</v>
          </cell>
          <cell r="K107">
            <v>2.2034019099218802E-6</v>
          </cell>
          <cell r="L107">
            <v>6.9029553356187295E-2</v>
          </cell>
          <cell r="M107">
            <v>5.9510137687128799E-8</v>
          </cell>
          <cell r="N107">
            <v>1.8099319668074901E-7</v>
          </cell>
          <cell r="O107">
            <v>1.95651492795716E-8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D108">
            <v>4.2912083143199199E-2</v>
          </cell>
          <cell r="E108">
            <v>8.58241650566193E-2</v>
          </cell>
          <cell r="F108">
            <v>8.5824222034924999E-2</v>
          </cell>
          <cell r="G108">
            <v>8.5824505191310102E-2</v>
          </cell>
          <cell r="H108">
            <v>8.5824827663384895E-2</v>
          </cell>
          <cell r="I108">
            <v>0.242677533299437</v>
          </cell>
          <cell r="J108">
            <v>0.242677601264953</v>
          </cell>
          <cell r="K108">
            <v>0.20047405791698999</v>
          </cell>
          <cell r="L108">
            <v>0.22588507731271101</v>
          </cell>
          <cell r="M108">
            <v>0.22588491234187699</v>
          </cell>
          <cell r="N108">
            <v>0.20132954165613801</v>
          </cell>
          <cell r="O108">
            <v>6.9032084792096299E-2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D109">
            <v>1.8411915002265297E-3</v>
          </cell>
          <cell r="E109">
            <v>6.2752159271612859E-2</v>
          </cell>
          <cell r="F109">
            <v>1.4287449919224329E-2</v>
          </cell>
          <cell r="G109">
            <v>6.4752258431309583E-4</v>
          </cell>
          <cell r="H109">
            <v>1.081291043254872E-3</v>
          </cell>
          <cell r="I109">
            <v>7.173965741607875E-3</v>
          </cell>
          <cell r="J109">
            <v>8.7250018261438684E-4</v>
          </cell>
          <cell r="K109">
            <v>1.9046369832312007E-4</v>
          </cell>
          <cell r="L109">
            <v>9.630874123735606E-4</v>
          </cell>
          <cell r="M109">
            <v>1.1065594419623626E-3</v>
          </cell>
          <cell r="N109">
            <v>2.4414347290413157E-3</v>
          </cell>
          <cell r="O109">
            <v>4.6112006537616639E-3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D110">
            <v>4.3361061458811095E-6</v>
          </cell>
          <cell r="E110">
            <v>6.6548927875807891E-6</v>
          </cell>
          <cell r="F110">
            <v>4.2044519709870299E-6</v>
          </cell>
          <cell r="G110">
            <v>2.6548113576444798E-6</v>
          </cell>
          <cell r="H110">
            <v>7.9217244015655186E-5</v>
          </cell>
          <cell r="I110">
            <v>3.8379903718550831E-3</v>
          </cell>
          <cell r="J110">
            <v>5.421104240684873E-4</v>
          </cell>
          <cell r="K110">
            <v>4.2455541650912591E-5</v>
          </cell>
          <cell r="L110">
            <v>1.101722543337977E-4</v>
          </cell>
          <cell r="M110">
            <v>4.4851233059650058E-5</v>
          </cell>
          <cell r="N110">
            <v>1.7441621145000534E-4</v>
          </cell>
          <cell r="O110">
            <v>3.0872885494427979E-4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D111">
            <v>3.9423145171553877E-6</v>
          </cell>
          <cell r="E111">
            <v>4.73920044705014E-6</v>
          </cell>
          <cell r="F111">
            <v>7.4604898701952196E-7</v>
          </cell>
          <cell r="G111">
            <v>1.3890377726365706E-5</v>
          </cell>
          <cell r="H111">
            <v>1.5350981853649166E-5</v>
          </cell>
          <cell r="I111">
            <v>1.0846247974229384E-3</v>
          </cell>
          <cell r="J111">
            <v>1.6049645262448402E-4</v>
          </cell>
          <cell r="K111">
            <v>5.6532048592269836E-5</v>
          </cell>
          <cell r="L111">
            <v>1.9926482687911297E-4</v>
          </cell>
          <cell r="N111">
            <v>5.1921216928812043E-4</v>
          </cell>
          <cell r="O111">
            <v>7.930175735937616E-4</v>
          </cell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D112">
            <v>4.7545956579840481E-6</v>
          </cell>
          <cell r="E112">
            <v>3.3517346601907484E-6</v>
          </cell>
          <cell r="F112">
            <v>6.0358242681159163E-7</v>
          </cell>
          <cell r="G112"/>
          <cell r="H112">
            <v>1.0269145810498977E-4</v>
          </cell>
          <cell r="I112">
            <v>1.687956205671518E-4</v>
          </cell>
          <cell r="J112">
            <v>6.0510223106909299E-5</v>
          </cell>
          <cell r="K112">
            <v>2.9769291629612964E-5</v>
          </cell>
          <cell r="L112">
            <v>5.5144837970560901E-5</v>
          </cell>
          <cell r="M112">
            <v>3.4059065244911484E-5</v>
          </cell>
          <cell r="N112">
            <v>1.3175138298096456E-4</v>
          </cell>
          <cell r="O112">
            <v>4.1012637829988867E-4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D113">
            <v>5.7599903720434749E-6</v>
          </cell>
          <cell r="E113">
            <v>4.9953988333186732E-6</v>
          </cell>
          <cell r="F113">
            <v>2.7961357953511211E-6</v>
          </cell>
          <cell r="G113">
            <v>1.588626543991252E-4</v>
          </cell>
          <cell r="H113">
            <v>1.0145016271930923E-4</v>
          </cell>
          <cell r="I113">
            <v>4.3217971905807663E-4</v>
          </cell>
          <cell r="J113">
            <v>9.7080334211525858E-5</v>
          </cell>
          <cell r="K113">
            <v>4.7504300754261296E-5</v>
          </cell>
          <cell r="L113">
            <v>1.6455568226828043E-4</v>
          </cell>
          <cell r="M113">
            <v>6.0742609959008975E-4</v>
          </cell>
          <cell r="N113">
            <v>4.377661490529337E-4</v>
          </cell>
          <cell r="O113">
            <v>8.0060072793298402E-4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D114">
            <v>1.3048967544575154E-3</v>
          </cell>
          <cell r="E114">
            <v>5.8629324069990621E-2</v>
          </cell>
          <cell r="F114">
            <v>9.2820751764103367E-3</v>
          </cell>
          <cell r="G114">
            <v>5.3859300433295972E-5</v>
          </cell>
          <cell r="H114">
            <v>1.0041884726125681E-4</v>
          </cell>
          <cell r="I114">
            <v>4.7716223544869867E-4</v>
          </cell>
          <cell r="J114">
            <v>3.4295345569963847E-6</v>
          </cell>
          <cell r="K114">
            <v>6.0271913370494793E-6</v>
          </cell>
          <cell r="L114">
            <v>1.5801018399599746E-4</v>
          </cell>
          <cell r="M114">
            <v>2.1227729349169264E-5</v>
          </cell>
          <cell r="N114">
            <v>2.1063049834416472E-4</v>
          </cell>
          <cell r="O114">
            <v>3.9435065500987931E-4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D115">
            <v>5.3391611873327234E-6</v>
          </cell>
          <cell r="E115">
            <v>5.9276608004902779E-5</v>
          </cell>
          <cell r="F115">
            <v>1.7757814295823158E-3</v>
          </cell>
          <cell r="G115"/>
          <cell r="H115">
            <v>1.4445161787990569E-4</v>
          </cell>
          <cell r="I115">
            <v>8.8062822818367936E-4</v>
          </cell>
          <cell r="J115">
            <v>2.4314025097899249E-6</v>
          </cell>
          <cell r="K115">
            <v>3.2360708123494411E-6</v>
          </cell>
          <cell r="L115">
            <v>1.2416822592607217E-4</v>
          </cell>
          <cell r="M115">
            <v>4.6054799789349002E-7</v>
          </cell>
          <cell r="N115">
            <v>4.1199358623527737E-4</v>
          </cell>
          <cell r="O115">
            <v>8.0645716373471568E-4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D116">
            <v>5.0655386102647373E-4</v>
          </cell>
          <cell r="E116">
            <v>4.0438173668892992E-3</v>
          </cell>
          <cell r="F116">
            <v>2.9666343522036275E-3</v>
          </cell>
          <cell r="G116">
            <v>8.6736112884748405E-6</v>
          </cell>
          <cell r="H116">
            <v>4.4427225671162397E-4</v>
          </cell>
          <cell r="I116">
            <v>1.08171154016784E-4</v>
          </cell>
          <cell r="J116">
            <v>3.4121237531511848E-6</v>
          </cell>
          <cell r="K116">
            <v>2.435348331156122E-6</v>
          </cell>
          <cell r="L116">
            <v>4.9129097386734673E-5</v>
          </cell>
          <cell r="M116">
            <v>6.2974139605073048E-6</v>
          </cell>
          <cell r="N116">
            <v>1.2609142091036212E-4</v>
          </cell>
          <cell r="O116">
            <v>3.9518744724162727E-4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D117">
            <v>5.6087168621445256E-6</v>
          </cell>
          <cell r="E117"/>
          <cell r="F117">
            <v>2.546087418478565E-4</v>
          </cell>
          <cell r="G117">
            <v>4.0958182910818988E-4</v>
          </cell>
          <cell r="H117">
            <v>9.3438474708483008E-5</v>
          </cell>
          <cell r="I117">
            <v>1.8441361505546207E-4</v>
          </cell>
          <cell r="J117">
            <v>3.029687783042393E-6</v>
          </cell>
          <cell r="K117">
            <v>2.5039052155084585E-6</v>
          </cell>
          <cell r="L117">
            <v>1.026423036130043E-4</v>
          </cell>
          <cell r="M117">
            <v>3.9223735276014085E-4</v>
          </cell>
          <cell r="N117">
            <v>4.2957331077948747E-4</v>
          </cell>
          <cell r="O117">
            <v>7.0273185300452569E-4</v>
          </cell>
        </row>
        <row r="118">
          <cell r="A118" t="str">
            <v>RHEM-SHLTHCHPWOD</v>
          </cell>
          <cell r="B118" t="str">
            <v>VAR_fout</v>
          </cell>
          <cell r="C118" t="str">
            <v>RHEM-SHLTHC-WOD</v>
          </cell>
          <cell r="D118"/>
          <cell r="E118"/>
          <cell r="F118"/>
          <cell r="G118">
            <v>7.0953410288593865E-4</v>
          </cell>
          <cell r="H118">
            <v>1.4618445963262283E-3</v>
          </cell>
          <cell r="I118">
            <v>0.40404887305205334</v>
          </cell>
          <cell r="J118">
            <v>0.50161030341443413</v>
          </cell>
          <cell r="K118">
            <v>0.50200274918843402</v>
          </cell>
          <cell r="L118">
            <v>0.50010609428985875</v>
          </cell>
          <cell r="M118">
            <v>0.49179625007861971</v>
          </cell>
          <cell r="N118">
            <v>0.49550905328238404</v>
          </cell>
          <cell r="O118">
            <v>0.47956540433489669</v>
          </cell>
        </row>
        <row r="119">
          <cell r="A119" t="str">
            <v>RHEM-SHLTHCHPWOD</v>
          </cell>
          <cell r="B119" t="str">
            <v>VAR_fin</v>
          </cell>
          <cell r="C119" t="str">
            <v>RHEM_LTH_CHPWOD_ON</v>
          </cell>
          <cell r="D119"/>
          <cell r="E119"/>
          <cell r="F119"/>
          <cell r="G119">
            <v>7.1670111402620095E-4</v>
          </cell>
          <cell r="H119">
            <v>1.4766107033598274E-3</v>
          </cell>
          <cell r="I119">
            <v>0.40813017480005381</v>
          </cell>
          <cell r="J119">
            <v>0.50667707415599372</v>
          </cell>
          <cell r="K119">
            <v>0.50707348402872132</v>
          </cell>
          <cell r="L119">
            <v>0.5051576709998572</v>
          </cell>
          <cell r="M119">
            <v>0.49676388896830298</v>
          </cell>
          <cell r="N119">
            <v>0.50051419523473129</v>
          </cell>
          <cell r="O119">
            <v>0.48440949932817856</v>
          </cell>
        </row>
        <row r="120">
          <cell r="A120" t="str">
            <v>RHEM-SHLTHCHPWOD</v>
          </cell>
          <cell r="B120" t="str">
            <v>VAR_fin</v>
          </cell>
          <cell r="C120" t="str">
            <v>RHEMLTHCHPC</v>
          </cell>
          <cell r="D120"/>
          <cell r="E120"/>
          <cell r="F120"/>
          <cell r="G120">
            <v>7.0953410288593865E-4</v>
          </cell>
          <cell r="H120">
            <v>1.4618445963262283E-3</v>
          </cell>
          <cell r="I120">
            <v>0.40404887305205334</v>
          </cell>
          <cell r="J120">
            <v>0.50161030341443413</v>
          </cell>
          <cell r="K120">
            <v>0.50200274918843402</v>
          </cell>
          <cell r="L120">
            <v>0.50010609428985875</v>
          </cell>
          <cell r="M120">
            <v>0.49179625007861971</v>
          </cell>
          <cell r="N120">
            <v>0.49550905328238404</v>
          </cell>
          <cell r="O120">
            <v>0.47956540433489669</v>
          </cell>
        </row>
        <row r="121">
          <cell r="A121" t="str">
            <v>RHEM-SHLTHCHPWOD</v>
          </cell>
          <cell r="B121" t="str">
            <v>VAR_ncap</v>
          </cell>
          <cell r="C121" t="str">
            <v>-</v>
          </cell>
          <cell r="D121"/>
          <cell r="E121"/>
          <cell r="F121"/>
          <cell r="G121">
            <v>8.1991283400671401E-5</v>
          </cell>
          <cell r="H121">
            <v>1.40129222647431E-4</v>
          </cell>
          <cell r="I121">
            <v>3.0909751628340899E-2</v>
          </cell>
          <cell r="J121">
            <v>2.16242761743086E-2</v>
          </cell>
          <cell r="K121">
            <v>2.3065236924736499E-2</v>
          </cell>
          <cell r="L121">
            <v>2.16823669369119E-2</v>
          </cell>
          <cell r="M121">
            <v>2.18388698567147E-2</v>
          </cell>
          <cell r="N121">
            <v>2.25744799525931E-2</v>
          </cell>
          <cell r="O121">
            <v>2.0085076828566702E-2</v>
          </cell>
        </row>
        <row r="122">
          <cell r="A122" t="str">
            <v>RHEM-SHLTHCHPWOD</v>
          </cell>
          <cell r="B122" t="str">
            <v>VAR_cap</v>
          </cell>
          <cell r="C122" t="str">
            <v>-</v>
          </cell>
          <cell r="D122"/>
          <cell r="E122"/>
          <cell r="F122"/>
          <cell r="G122">
            <v>8.1991283400671401E-5</v>
          </cell>
          <cell r="H122">
            <v>1.7081284726985178E-4</v>
          </cell>
          <cell r="I122">
            <v>3.1004055544119894E-2</v>
          </cell>
          <cell r="J122">
            <v>3.8461447290073905E-2</v>
          </cell>
          <cell r="K122">
            <v>3.8976021842040798E-2</v>
          </cell>
          <cell r="L122">
            <v>3.7678335201398391E-2</v>
          </cell>
          <cell r="M122">
            <v>3.7081319986389791E-2</v>
          </cell>
          <cell r="N122">
            <v>3.7351313199392902E-2</v>
          </cell>
          <cell r="O122">
            <v>3.6154869172621798E-2</v>
          </cell>
        </row>
        <row r="123">
          <cell r="A123" t="str">
            <v>D-RHEM_LTH_CHPWOD</v>
          </cell>
          <cell r="B123" t="str">
            <v>VAR_fout</v>
          </cell>
          <cell r="C123" t="str">
            <v>RHEM_LTH_CHPWOD_ON</v>
          </cell>
          <cell r="D123">
            <v>4.3361061458811095E-6</v>
          </cell>
          <cell r="E123">
            <v>6.6548927875807891E-6</v>
          </cell>
          <cell r="F123">
            <v>4.2044519709870299E-6</v>
          </cell>
          <cell r="G123">
            <v>7.1935592538384548E-4</v>
          </cell>
          <cell r="H123">
            <v>1.5558279473754824E-3</v>
          </cell>
          <cell r="I123">
            <v>0.41196816517190887</v>
          </cell>
          <cell r="J123">
            <v>0.50721918458006243</v>
          </cell>
          <cell r="K123">
            <v>0.50711593957037238</v>
          </cell>
          <cell r="L123">
            <v>0.50526784325419083</v>
          </cell>
          <cell r="M123">
            <v>0.49680874020136279</v>
          </cell>
          <cell r="N123">
            <v>0.5006886114461816</v>
          </cell>
          <cell r="O123">
            <v>0.4847182281831231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RHSA_LTH</v>
          </cell>
          <cell r="D124">
            <v>5.6572803576336431E-6</v>
          </cell>
          <cell r="E124">
            <v>7.9009752247109996E-6</v>
          </cell>
          <cell r="F124">
            <v>6.1557301366953838E-6</v>
          </cell>
          <cell r="G124">
            <v>2.3075837050488913E-4</v>
          </cell>
          <cell r="H124">
            <v>1.2441484573938298E-4</v>
          </cell>
          <cell r="I124">
            <v>1.4641279785445286E-3</v>
          </cell>
          <cell r="J124">
            <v>3.2486726853553707E-4</v>
          </cell>
          <cell r="K124">
            <v>1.8154555225778293E-4</v>
          </cell>
          <cell r="L124">
            <v>1.0590569451761167E-4</v>
          </cell>
          <cell r="M124">
            <v>2.887046553552239E-4</v>
          </cell>
          <cell r="N124">
            <v>8.5466926167531663E-5</v>
          </cell>
          <cell r="O124">
            <v>1.3418778148104561E-4</v>
          </cell>
        </row>
        <row r="125">
          <cell r="A125" t="str">
            <v>D-RHEM_LTH_CHPWOD</v>
          </cell>
          <cell r="B125" t="str">
            <v>VAR_fout</v>
          </cell>
          <cell r="C125" t="str">
            <v>LTH</v>
          </cell>
          <cell r="D125"/>
          <cell r="E125"/>
          <cell r="F125"/>
          <cell r="G125"/>
          <cell r="H125">
            <v>6.9691459991200521E-7</v>
          </cell>
          <cell r="I125">
            <v>9.2937516711153465E-4</v>
          </cell>
          <cell r="J125">
            <v>1.3817490531833712E-3</v>
          </cell>
          <cell r="K125">
            <v>1.3376344283185782E-3</v>
          </cell>
          <cell r="L125">
            <v>8.9719188218755238E-5</v>
          </cell>
          <cell r="M125">
            <v>1.2898020052405794E-4</v>
          </cell>
          <cell r="N125">
            <v>1.013230098597722E-4</v>
          </cell>
          <cell r="O125">
            <v>1.9555066135465267E-4</v>
          </cell>
        </row>
        <row r="126">
          <cell r="A126" t="str">
            <v>D-RHEM_LTH_CHPWOD</v>
          </cell>
          <cell r="B126" t="str">
            <v>VAR_fin</v>
          </cell>
          <cell r="C126" t="str">
            <v>RHEM_LTH_CHPWOD</v>
          </cell>
          <cell r="D126">
            <v>9.9933865035147493E-6</v>
          </cell>
          <cell r="E126">
            <v>1.4824576497905263E-5</v>
          </cell>
          <cell r="F126">
            <v>1.0705812445724081E-5</v>
          </cell>
          <cell r="G126">
            <v>9.5076564088689987E-4</v>
          </cell>
          <cell r="H126">
            <v>1.6819016345208198E-3</v>
          </cell>
          <cell r="I126">
            <v>0.41436166831756488</v>
          </cell>
          <cell r="J126">
            <v>0.50892580090178152</v>
          </cell>
          <cell r="K126">
            <v>0.50863511955094876</v>
          </cell>
          <cell r="L126">
            <v>0.50546346813692755</v>
          </cell>
          <cell r="M126">
            <v>0.49722642505724196</v>
          </cell>
          <cell r="N126">
            <v>0.50087540138220843</v>
          </cell>
          <cell r="O126">
            <v>0.48504796662595906</v>
          </cell>
        </row>
        <row r="127">
          <cell r="A127" t="str">
            <v>RHES-SHLTHDH</v>
          </cell>
          <cell r="B127" t="str">
            <v>VAR_fout</v>
          </cell>
          <cell r="C127" t="str">
            <v>RHES-SHLTHD</v>
          </cell>
          <cell r="D127">
            <v>1.8917476337983821</v>
          </cell>
          <cell r="E127">
            <v>3.5037944283470757</v>
          </cell>
          <cell r="F127">
            <v>3.4915832751426326</v>
          </cell>
          <cell r="G127">
            <v>1.7382970134711622</v>
          </cell>
          <cell r="H127">
            <v>1.7982941717545329</v>
          </cell>
          <cell r="I127">
            <v>2.6438910879089428</v>
          </cell>
          <cell r="J127">
            <v>1.7846540090896945</v>
          </cell>
          <cell r="K127">
            <v>2.5535402605554731</v>
          </cell>
          <cell r="L127">
            <v>2.3883492447996373</v>
          </cell>
          <cell r="M127">
            <v>2.2565005037610981</v>
          </cell>
          <cell r="N127">
            <v>2.2573714211150899</v>
          </cell>
          <cell r="O127">
            <v>2.1033308491372344</v>
          </cell>
        </row>
        <row r="128">
          <cell r="A128" t="str">
            <v>RHES-SHLTHDH</v>
          </cell>
          <cell r="B128" t="str">
            <v>VAR_fin</v>
          </cell>
          <cell r="C128" t="str">
            <v>RHESLTHDHC</v>
          </cell>
          <cell r="D128">
            <v>1.8917476337983821</v>
          </cell>
          <cell r="E128">
            <v>3.5037944283470757</v>
          </cell>
          <cell r="F128">
            <v>3.4915832751426326</v>
          </cell>
          <cell r="G128">
            <v>1.7382970134711622</v>
          </cell>
          <cell r="H128">
            <v>1.7982941717545329</v>
          </cell>
          <cell r="I128">
            <v>2.6438910879089428</v>
          </cell>
          <cell r="J128">
            <v>1.7846540090896945</v>
          </cell>
          <cell r="K128">
            <v>2.5535402605554731</v>
          </cell>
          <cell r="L128">
            <v>2.3883492447996373</v>
          </cell>
          <cell r="M128">
            <v>2.2565005037610981</v>
          </cell>
          <cell r="N128">
            <v>2.2573714211150899</v>
          </cell>
          <cell r="O128">
            <v>2.1033308491372344</v>
          </cell>
        </row>
        <row r="129">
          <cell r="A129" t="str">
            <v>RHES-SHLTHDH</v>
          </cell>
          <cell r="B129" t="str">
            <v>VAR_fin</v>
          </cell>
          <cell r="C129" t="str">
            <v>RHES_LTH_DH</v>
          </cell>
          <cell r="D129">
            <v>1.9108561957559411</v>
          </cell>
          <cell r="E129">
            <v>3.5391862912596723</v>
          </cell>
          <cell r="F129">
            <v>3.5268517930733649</v>
          </cell>
          <cell r="G129">
            <v>1.755855569162788</v>
          </cell>
          <cell r="H129">
            <v>1.8164587593480133</v>
          </cell>
          <cell r="I129">
            <v>2.6705970584938816</v>
          </cell>
          <cell r="J129">
            <v>1.8026808172623188</v>
          </cell>
          <cell r="K129">
            <v>2.5793335965206805</v>
          </cell>
          <cell r="L129">
            <v>2.4124739846461019</v>
          </cell>
          <cell r="M129">
            <v>2.2792934381425245</v>
          </cell>
          <cell r="N129">
            <v>2.2801731526415057</v>
          </cell>
          <cell r="O129">
            <v>2.1245766152901355</v>
          </cell>
          <cell r="P129"/>
          <cell r="Q129"/>
          <cell r="R129"/>
        </row>
        <row r="130">
          <cell r="A130" t="str">
            <v>RHES-SHLTHDH</v>
          </cell>
          <cell r="B130" t="str">
            <v>VAR_ncap</v>
          </cell>
          <cell r="C130" t="str">
            <v>-</v>
          </cell>
          <cell r="D130"/>
          <cell r="E130">
            <v>1.7323238307889699E-8</v>
          </cell>
          <cell r="F130">
            <v>1.8225467676403599E-8</v>
          </cell>
          <cell r="G130">
            <v>1.28187773145236E-8</v>
          </cell>
          <cell r="H130">
            <v>2.73505919190296E-8</v>
          </cell>
          <cell r="I130">
            <v>3.5918141177483902E-8</v>
          </cell>
          <cell r="J130">
            <v>3.28413312549447E-8</v>
          </cell>
          <cell r="K130">
            <v>5.0838442825029602E-8</v>
          </cell>
          <cell r="L130">
            <v>4.1042355462245998E-8</v>
          </cell>
          <cell r="M130">
            <v>9.8627686495300995E-8</v>
          </cell>
          <cell r="N130">
            <v>1.0583499584103301E-7</v>
          </cell>
          <cell r="O130">
            <v>4.0207100319998198E-7</v>
          </cell>
        </row>
        <row r="131">
          <cell r="A131" t="str">
            <v>RHES-SHLTHDH</v>
          </cell>
          <cell r="B131" t="str">
            <v>VAR_cap</v>
          </cell>
          <cell r="C131" t="str">
            <v>-</v>
          </cell>
          <cell r="D131">
            <v>0.31204626794151202</v>
          </cell>
          <cell r="E131">
            <v>0.31204628526475031</v>
          </cell>
          <cell r="F131">
            <v>0.312046303490218</v>
          </cell>
          <cell r="G131">
            <v>0.31204631630899532</v>
          </cell>
          <cell r="H131">
            <v>0.31204634365958722</v>
          </cell>
          <cell r="I131">
            <v>0.31204637957772841</v>
          </cell>
          <cell r="J131">
            <v>0.31204641241905967</v>
          </cell>
          <cell r="K131">
            <v>0.31204646325750252</v>
          </cell>
          <cell r="L131">
            <v>0.31204650429985797</v>
          </cell>
          <cell r="M131">
            <v>0.31204660292754444</v>
          </cell>
          <cell r="N131">
            <v>0.31204670876254031</v>
          </cell>
          <cell r="O131">
            <v>0.31204711083354347</v>
          </cell>
        </row>
        <row r="132">
          <cell r="A132" t="str">
            <v>RHEM-SHCONBR3</v>
          </cell>
          <cell r="B132" t="str">
            <v>VAR_fout</v>
          </cell>
          <cell r="C132" t="str">
            <v>RHEM-SHCON</v>
          </cell>
          <cell r="D132">
            <v>0.47634955271439805</v>
          </cell>
          <cell r="E132">
            <v>0.96503635943870514</v>
          </cell>
          <cell r="F132">
            <v>0.96490492369122605</v>
          </cell>
          <cell r="G132">
            <v>0.96495959853795032</v>
          </cell>
          <cell r="H132">
            <v>0.96495628647730447</v>
          </cell>
          <cell r="I132">
            <v>0.96497069493621224</v>
          </cell>
          <cell r="J132">
            <v>0.96495678207785962</v>
          </cell>
          <cell r="K132">
            <v>0.49236832825419158</v>
          </cell>
          <cell r="L132">
            <v>3.7299511594735663E-4</v>
          </cell>
          <cell r="M132">
            <v>3.8469108116256852E-4</v>
          </cell>
          <cell r="N132">
            <v>3.8445551057275445E-4</v>
          </cell>
          <cell r="O132">
            <v>3.9060566440850871E-4</v>
          </cell>
        </row>
        <row r="133">
          <cell r="A133" t="str">
            <v>RHEM-SHCONBR3</v>
          </cell>
          <cell r="B133" t="str">
            <v>VAR_fin</v>
          </cell>
          <cell r="C133" t="str">
            <v>CON</v>
          </cell>
          <cell r="D133">
            <v>0.47634955271439805</v>
          </cell>
          <cell r="E133">
            <v>0.96503635943870514</v>
          </cell>
          <cell r="F133">
            <v>0.96490492369122605</v>
          </cell>
          <cell r="G133">
            <v>0.96495959853795032</v>
          </cell>
          <cell r="H133">
            <v>0.96495628647730447</v>
          </cell>
          <cell r="I133">
            <v>0.96497069493621224</v>
          </cell>
          <cell r="J133">
            <v>0.96495678207785962</v>
          </cell>
          <cell r="K133">
            <v>0.49236832825419158</v>
          </cell>
          <cell r="L133">
            <v>3.7299511594735663E-4</v>
          </cell>
          <cell r="M133">
            <v>3.8469108116256852E-4</v>
          </cell>
          <cell r="N133">
            <v>3.8445551057275445E-4</v>
          </cell>
          <cell r="O133">
            <v>3.9060566440850871E-4</v>
          </cell>
        </row>
        <row r="134">
          <cell r="A134" t="str">
            <v>RHEM-SHCONBR3</v>
          </cell>
          <cell r="B134" t="str">
            <v>VAR_ncap</v>
          </cell>
          <cell r="C134" t="str">
            <v>-</v>
          </cell>
          <cell r="D134">
            <v>3.3662148960839203E-2</v>
          </cell>
          <cell r="E134">
            <v>3.4481427693823799E-2</v>
          </cell>
          <cell r="F134">
            <v>1.5180030632623399E-8</v>
          </cell>
          <cell r="G134">
            <v>2.2583905414799802E-8</v>
          </cell>
          <cell r="H134">
            <v>2.30838284827543E-8</v>
          </cell>
          <cell r="I134">
            <v>6.9118951424502201E-8</v>
          </cell>
          <cell r="J134">
            <v>2.6130714812962399E-8</v>
          </cell>
          <cell r="K134">
            <v>2.3961597127217601E-7</v>
          </cell>
          <cell r="L134">
            <v>2.5685722137347599E-5</v>
          </cell>
          <cell r="M134">
            <v>7.3039331856850105E-8</v>
          </cell>
          <cell r="N134">
            <v>7.9231689571658998E-7</v>
          </cell>
          <cell r="O134">
            <v>2.1055047816980699E-8</v>
          </cell>
        </row>
        <row r="135">
          <cell r="A135" t="str">
            <v>RHEM-SHCONBR3</v>
          </cell>
          <cell r="B135" t="str">
            <v>VAR_cap</v>
          </cell>
          <cell r="C135" t="str">
            <v>-</v>
          </cell>
          <cell r="D135">
            <v>3.3662148960839203E-2</v>
          </cell>
          <cell r="E135">
            <v>6.8143576654663002E-2</v>
          </cell>
          <cell r="F135">
            <v>6.8143591834693595E-2</v>
          </cell>
          <cell r="G135">
            <v>6.8143614418598994E-2</v>
          </cell>
          <cell r="H135">
            <v>6.8143637502427495E-2</v>
          </cell>
          <cell r="I135">
            <v>6.8143706621378905E-2</v>
          </cell>
          <cell r="J135">
            <v>6.8143732752093705E-2</v>
          </cell>
          <cell r="K135">
            <v>3.4769526850127401E-2</v>
          </cell>
          <cell r="L135">
            <v>2.6064804231286801E-5</v>
          </cell>
          <cell r="M135">
            <v>2.6116710935196901E-5</v>
          </cell>
          <cell r="N135">
            <v>2.68792120847726E-5</v>
          </cell>
          <cell r="O135">
            <v>2.68378800988232E-5</v>
          </cell>
        </row>
        <row r="136">
          <cell r="A136" t="str">
            <v>D-RHSA_ELC</v>
          </cell>
          <cell r="B136" t="str">
            <v>VAR_fout</v>
          </cell>
          <cell r="C136" t="str">
            <v>RHSA_ELC</v>
          </cell>
          <cell r="D136">
            <v>56.680459373830743</v>
          </cell>
          <cell r="E136">
            <v>54.989686618974737</v>
          </cell>
          <cell r="F136">
            <v>55.277827861646806</v>
          </cell>
          <cell r="G136">
            <v>59.947192570766134</v>
          </cell>
          <cell r="H136">
            <v>69.925264275435879</v>
          </cell>
          <cell r="I136">
            <v>79.318731810292775</v>
          </cell>
          <cell r="J136">
            <v>79.047044529399969</v>
          </cell>
          <cell r="K136">
            <v>85.887235299737313</v>
          </cell>
          <cell r="L136">
            <v>86.518052356718172</v>
          </cell>
          <cell r="M136">
            <v>86.910870799976053</v>
          </cell>
          <cell r="N136">
            <v>87.687286557428308</v>
          </cell>
          <cell r="O136">
            <v>88.721403635067091</v>
          </cell>
        </row>
        <row r="137">
          <cell r="A137" t="str">
            <v>D-RHSA_ELC</v>
          </cell>
          <cell r="B137" t="str">
            <v>VAR_fin</v>
          </cell>
          <cell r="C137" t="str">
            <v>RHNS_ELC</v>
          </cell>
          <cell r="D137">
            <v>12.555442761205653</v>
          </cell>
          <cell r="E137">
            <v>14.782224302063041</v>
          </cell>
          <cell r="F137">
            <v>14.636531643308693</v>
          </cell>
          <cell r="G137">
            <v>15.217065586259631</v>
          </cell>
          <cell r="H137">
            <v>17.068884946470789</v>
          </cell>
          <cell r="I137">
            <v>19.068128591493924</v>
          </cell>
          <cell r="J137">
            <v>18.873568092674891</v>
          </cell>
          <cell r="K137">
            <v>20.566363084251741</v>
          </cell>
          <cell r="L137">
            <v>20.812138682171359</v>
          </cell>
          <cell r="M137">
            <v>20.769210416805748</v>
          </cell>
          <cell r="N137">
            <v>20.821727860566597</v>
          </cell>
          <cell r="O137">
            <v>20.730109278154842</v>
          </cell>
        </row>
        <row r="138">
          <cell r="A138" t="str">
            <v>D-RHSA_ELC</v>
          </cell>
          <cell r="B138" t="str">
            <v>VAR_fin</v>
          </cell>
          <cell r="C138" t="str">
            <v>RHES_ELC</v>
          </cell>
          <cell r="D138">
            <v>16.446152799662425</v>
          </cell>
          <cell r="E138">
            <v>12.962135798977442</v>
          </cell>
          <cell r="F138">
            <v>12.970655525979373</v>
          </cell>
          <cell r="G138">
            <v>14.925347894980566</v>
          </cell>
          <cell r="H138">
            <v>18.562443414906511</v>
          </cell>
          <cell r="I138">
            <v>21.686515296516784</v>
          </cell>
          <cell r="J138">
            <v>21.614977430787118</v>
          </cell>
          <cell r="K138">
            <v>23.610153047260223</v>
          </cell>
          <cell r="L138">
            <v>23.877257164512805</v>
          </cell>
          <cell r="M138">
            <v>24.293079863200159</v>
          </cell>
          <cell r="N138">
            <v>24.642915528281897</v>
          </cell>
          <cell r="O138">
            <v>25.213587642664574</v>
          </cell>
        </row>
        <row r="139">
          <cell r="A139" t="str">
            <v>D-RHSA_ELC</v>
          </cell>
          <cell r="B139" t="str">
            <v>VAR_fin</v>
          </cell>
          <cell r="C139" t="str">
            <v>RHNM_ELC</v>
          </cell>
          <cell r="D139">
            <v>11.879978127431267</v>
          </cell>
          <cell r="E139">
            <v>14.687786413050937</v>
          </cell>
          <cell r="F139">
            <v>15.025847674422224</v>
          </cell>
          <cell r="G139">
            <v>16.046903785140106</v>
          </cell>
          <cell r="H139">
            <v>18.467167763856903</v>
          </cell>
          <cell r="I139">
            <v>20.585188853295282</v>
          </cell>
          <cell r="J139">
            <v>20.557192796435707</v>
          </cell>
          <cell r="K139">
            <v>22.093291543807453</v>
          </cell>
          <cell r="L139">
            <v>22.29507901722069</v>
          </cell>
          <cell r="M139">
            <v>22.254499423769229</v>
          </cell>
          <cell r="N139">
            <v>22.489649290382761</v>
          </cell>
          <cell r="O139">
            <v>22.509347918630365</v>
          </cell>
        </row>
        <row r="140">
          <cell r="A140" t="str">
            <v>D-RHSA_ELC</v>
          </cell>
          <cell r="B140" t="str">
            <v>VAR_fin</v>
          </cell>
          <cell r="C140" t="str">
            <v>RHEM_ELC</v>
          </cell>
          <cell r="D140">
            <v>15.798893855687835</v>
          </cell>
          <cell r="E140">
            <v>12.557542867798579</v>
          </cell>
          <cell r="F140">
            <v>12.64479852044105</v>
          </cell>
          <cell r="G140">
            <v>13.757876933181411</v>
          </cell>
          <cell r="H140">
            <v>15.826770889537281</v>
          </cell>
          <cell r="I140">
            <v>17.978903003495127</v>
          </cell>
          <cell r="J140">
            <v>18.001308902700515</v>
          </cell>
          <cell r="K140">
            <v>19.617436838695141</v>
          </cell>
          <cell r="L140">
            <v>19.533582492983175</v>
          </cell>
          <cell r="M140">
            <v>19.594089159287524</v>
          </cell>
          <cell r="N140">
            <v>19.733001557808873</v>
          </cell>
          <cell r="O140">
            <v>20.268368266642639</v>
          </cell>
        </row>
        <row r="141">
          <cell r="A141" t="str">
            <v>SCOM-SHLTHDH</v>
          </cell>
          <cell r="B141" t="str">
            <v>VAR_fout</v>
          </cell>
          <cell r="C141" t="str">
            <v>SCOM-SHLTHD</v>
          </cell>
          <cell r="D141">
            <v>5.553901597872172</v>
          </cell>
          <cell r="E141">
            <v>6.0159361906841058</v>
          </cell>
          <cell r="F141">
            <v>6.0159364959576527</v>
          </cell>
          <cell r="G141">
            <v>6.0159365291574174</v>
          </cell>
          <cell r="H141">
            <v>6.0159363605575225</v>
          </cell>
          <cell r="I141">
            <v>6.015938739915609</v>
          </cell>
          <cell r="J141">
            <v>6.3624104312409013</v>
          </cell>
          <cell r="K141">
            <v>6.3624287942595954</v>
          </cell>
          <cell r="L141">
            <v>8.3261191192226232</v>
          </cell>
          <cell r="M141">
            <v>8.3261240947984447</v>
          </cell>
          <cell r="N141">
            <v>8.3261278738419708</v>
          </cell>
          <cell r="O141">
            <v>8.3261363202577012</v>
          </cell>
        </row>
        <row r="142">
          <cell r="A142" t="str">
            <v>SCOM-SHLTHDH</v>
          </cell>
          <cell r="B142" t="str">
            <v>VAR_fin</v>
          </cell>
          <cell r="C142" t="str">
            <v>SCOMLTHDHC</v>
          </cell>
          <cell r="D142">
            <v>5.553901597872172</v>
          </cell>
          <cell r="E142">
            <v>6.0159361906841058</v>
          </cell>
          <cell r="F142">
            <v>6.0159364959576527</v>
          </cell>
          <cell r="G142">
            <v>6.0159365291574174</v>
          </cell>
          <cell r="H142">
            <v>6.0159363605575225</v>
          </cell>
          <cell r="I142">
            <v>6.015938739915609</v>
          </cell>
          <cell r="J142">
            <v>6.3624104312409013</v>
          </cell>
          <cell r="K142">
            <v>6.3624287942595954</v>
          </cell>
          <cell r="L142">
            <v>8.3261191192226232</v>
          </cell>
          <cell r="M142">
            <v>8.3261240947984447</v>
          </cell>
          <cell r="N142">
            <v>8.3261278738419708</v>
          </cell>
          <cell r="O142">
            <v>8.3261363202577012</v>
          </cell>
        </row>
        <row r="143">
          <cell r="A143" t="str">
            <v>SCOM-SHLTHDH</v>
          </cell>
          <cell r="B143" t="str">
            <v>VAR_fin</v>
          </cell>
          <cell r="C143" t="str">
            <v>SCOM_LTH_DH</v>
          </cell>
          <cell r="D143">
            <v>5.6100016140122939</v>
          </cell>
          <cell r="E143">
            <v>6.076703222913248</v>
          </cell>
          <cell r="F143">
            <v>6.0767035312703683</v>
          </cell>
          <cell r="G143">
            <v>6.0767035648054666</v>
          </cell>
          <cell r="H143">
            <v>6.0767033945025517</v>
          </cell>
          <cell r="I143">
            <v>6.0767057978945642</v>
          </cell>
          <cell r="J143">
            <v>6.4266772032736368</v>
          </cell>
          <cell r="K143">
            <v>6.4266957517773635</v>
          </cell>
          <cell r="L143">
            <v>8.4102213325481028</v>
          </cell>
          <cell r="M143">
            <v>8.4102263583822676</v>
          </cell>
          <cell r="N143">
            <v>8.4102301755979507</v>
          </cell>
          <cell r="O143">
            <v>8.4102387073310112</v>
          </cell>
        </row>
        <row r="144">
          <cell r="A144" t="str">
            <v>SCOM-SHLTHDH</v>
          </cell>
          <cell r="B144" t="str">
            <v>VAR_ncap</v>
          </cell>
          <cell r="C144" t="str">
            <v>-</v>
          </cell>
          <cell r="D144">
            <v>1.17176110318365E-8</v>
          </cell>
          <cell r="E144">
            <v>2.3509085783037401E-8</v>
          </cell>
          <cell r="F144">
            <v>3.9220639570395598E-8</v>
          </cell>
          <cell r="G144">
            <v>6.7650414787686199E-8</v>
          </cell>
          <cell r="H144">
            <v>0.496094416253339</v>
          </cell>
          <cell r="I144">
            <v>0.25491505164555001</v>
          </cell>
          <cell r="J144">
            <v>3.1069579727143999E-6</v>
          </cell>
          <cell r="K144">
            <v>0.37947056670533402</v>
          </cell>
          <cell r="L144">
            <v>0.43104835931179702</v>
          </cell>
          <cell r="M144">
            <v>3.9178199206579098E-2</v>
          </cell>
          <cell r="N144">
            <v>0.44890840980069302</v>
          </cell>
          <cell r="O144">
            <v>0.36161314271191902</v>
          </cell>
        </row>
        <row r="145">
          <cell r="A145" t="str">
            <v>SCOM-SHLTHDH</v>
          </cell>
          <cell r="B145" t="str">
            <v>VAR_cap</v>
          </cell>
          <cell r="C145" t="str">
            <v>-</v>
          </cell>
          <cell r="D145">
            <v>0.84970026464781601</v>
          </cell>
          <cell r="E145">
            <v>0.8497002881569018</v>
          </cell>
          <cell r="F145">
            <v>0.84970032737754142</v>
          </cell>
          <cell r="G145">
            <v>0.84970039502795613</v>
          </cell>
          <cell r="H145">
            <v>0.71645114159025902</v>
          </cell>
          <cell r="I145">
            <v>0.75100953091523903</v>
          </cell>
          <cell r="J145">
            <v>0.75101257485686201</v>
          </cell>
          <cell r="K145">
            <v>0.63438872530885704</v>
          </cell>
          <cell r="L145">
            <v>0.849690358521489</v>
          </cell>
          <cell r="M145">
            <v>0.84969712522370999</v>
          </cell>
          <cell r="N145">
            <v>0.84969929381262699</v>
          </cell>
          <cell r="O145">
            <v>0.84969975171919099</v>
          </cell>
        </row>
        <row r="146">
          <cell r="A146" t="str">
            <v>ITOT-SWHSTG-ELC</v>
          </cell>
          <cell r="B146" t="str">
            <v>VAR_fout</v>
          </cell>
          <cell r="C146" t="str">
            <v>ITOT-SWHAELC</v>
          </cell>
          <cell r="D146">
            <v>6.4096682297851856E-6</v>
          </cell>
          <cell r="E146">
            <v>5.5059919465533409E-6</v>
          </cell>
          <cell r="F146">
            <v>8.5718081670675475E-2</v>
          </cell>
          <cell r="G146">
            <v>9.3268864368408529E-4</v>
          </cell>
          <cell r="H146">
            <v>5.8684987076068791E-4</v>
          </cell>
          <cell r="I146">
            <v>0.92939054172760593</v>
          </cell>
          <cell r="J146">
            <v>0.72530540661513421</v>
          </cell>
          <cell r="K146">
            <v>0.22569645052369333</v>
          </cell>
          <cell r="L146">
            <v>1.2934080681277418</v>
          </cell>
          <cell r="M146">
            <v>0.89302326389681785</v>
          </cell>
          <cell r="N146">
            <v>1.5029797364773192</v>
          </cell>
          <cell r="O146">
            <v>1.6981986205089663</v>
          </cell>
        </row>
        <row r="147">
          <cell r="A147" t="str">
            <v>ITOT-SWHSTG-ELC</v>
          </cell>
          <cell r="B147" t="str">
            <v>VAR_fin</v>
          </cell>
          <cell r="C147" t="str">
            <v>ITOT-SWHAELC</v>
          </cell>
          <cell r="D147">
            <v>8.9215639548045913E-6</v>
          </cell>
          <cell r="E147">
            <v>5.4387180660751625E-6</v>
          </cell>
          <cell r="F147">
            <v>0.11066568624696504</v>
          </cell>
          <cell r="G147">
            <v>1.1917634661579605E-3</v>
          </cell>
          <cell r="H147">
            <v>7.4228628528110363E-4</v>
          </cell>
          <cell r="I147">
            <v>1.0934900541287691</v>
          </cell>
          <cell r="J147">
            <v>0.8289899610980076</v>
          </cell>
          <cell r="K147">
            <v>0.25082053610409644</v>
          </cell>
          <cell r="L147">
            <v>1.4372135645638739</v>
          </cell>
          <cell r="M147">
            <v>0.99233396893464965</v>
          </cell>
          <cell r="N147">
            <v>1.6700760880676946</v>
          </cell>
          <cell r="O147">
            <v>1.8869806526977342</v>
          </cell>
        </row>
        <row r="148">
          <cell r="A148" t="str">
            <v>ITOT-SWHSTG-ELC</v>
          </cell>
          <cell r="B148" t="str">
            <v>VAR_ncap</v>
          </cell>
          <cell r="C148" t="str">
            <v>-</v>
          </cell>
          <cell r="D148">
            <v>1.23182361358688E-3</v>
          </cell>
          <cell r="E148">
            <v>0.16905966601820399</v>
          </cell>
          <cell r="F148">
            <v>4.3702397956697898E-5</v>
          </cell>
          <cell r="G148">
            <v>3.8035132473910098E-2</v>
          </cell>
          <cell r="H148">
            <v>0.15040897149337601</v>
          </cell>
          <cell r="I148">
            <v>9.1746401602065999E-2</v>
          </cell>
          <cell r="J148">
            <v>3.6830990879113901E-2</v>
          </cell>
          <cell r="K148">
            <v>0.15062474348920701</v>
          </cell>
          <cell r="L148">
            <v>6.9593007957145597E-2</v>
          </cell>
          <cell r="M148">
            <v>1.49426463098797E-2</v>
          </cell>
          <cell r="N148">
            <v>0.15890853788288201</v>
          </cell>
          <cell r="O148">
            <v>7.3175473523988802E-2</v>
          </cell>
        </row>
        <row r="149">
          <cell r="A149" t="str">
            <v>ITOT-SWHSTG-ELC</v>
          </cell>
          <cell r="B149" t="str">
            <v>VAR_cap</v>
          </cell>
          <cell r="C149" t="str">
            <v>-</v>
          </cell>
          <cell r="D149">
            <v>1.23182361358688E-3</v>
          </cell>
          <cell r="E149">
            <v>0.17029068444226803</v>
          </cell>
          <cell r="F149">
            <v>0.17033343470754006</v>
          </cell>
          <cell r="G149">
            <v>0.20836841944996531</v>
          </cell>
          <cell r="H149">
            <v>0.27541773603625241</v>
          </cell>
          <cell r="I149">
            <v>0.27295973180856531</v>
          </cell>
          <cell r="J149">
            <v>0.27898338080122853</v>
          </cell>
          <cell r="K149">
            <v>0.27919027758616699</v>
          </cell>
          <cell r="L149">
            <v>0.26624394942121826</v>
          </cell>
          <cell r="M149">
            <v>0.23513407121570587</v>
          </cell>
          <cell r="N149">
            <v>0.24802579871488672</v>
          </cell>
          <cell r="O149">
            <v>0.24700248306232594</v>
          </cell>
        </row>
        <row r="150">
          <cell r="A150" t="str">
            <v>D-SCOM_SOLELC</v>
          </cell>
          <cell r="B150" t="str">
            <v>VAR_fout</v>
          </cell>
          <cell r="C150" t="str">
            <v>ELC5</v>
          </cell>
          <cell r="D150">
            <v>0.51937289464436709</v>
          </cell>
          <cell r="E150">
            <v>1.6889049630120976</v>
          </cell>
          <cell r="F150">
            <v>3.5616148339882163</v>
          </cell>
          <cell r="G150">
            <v>4.1506232330829054</v>
          </cell>
          <cell r="H150">
            <v>14.787615765637161</v>
          </cell>
          <cell r="I150">
            <v>14.780960140333994</v>
          </cell>
          <cell r="J150">
            <v>15.678821119259656</v>
          </cell>
          <cell r="K150">
            <v>15.725095800573733</v>
          </cell>
          <cell r="L150">
            <v>16.231982531874348</v>
          </cell>
          <cell r="M150">
            <v>17.228394935368716</v>
          </cell>
          <cell r="N150">
            <v>17.914823552099392</v>
          </cell>
          <cell r="O150">
            <v>18.428108849177512</v>
          </cell>
        </row>
        <row r="151">
          <cell r="A151" t="str">
            <v>D-SCOM_SOLELC</v>
          </cell>
          <cell r="B151" t="str">
            <v>VAR_fout</v>
          </cell>
          <cell r="C151" t="str">
            <v>SCOM_ELC</v>
          </cell>
          <cell r="D151">
            <v>2.3202507911276</v>
          </cell>
          <cell r="E151">
            <v>1.6055506318266768</v>
          </cell>
          <cell r="F151">
            <v>3.1788103696590491</v>
          </cell>
          <cell r="G151">
            <v>3.6432380054609221</v>
          </cell>
          <cell r="H151">
            <v>9.9240477163953091</v>
          </cell>
          <cell r="I151">
            <v>11.340805195608826</v>
          </cell>
          <cell r="J151">
            <v>11.775290284721391</v>
          </cell>
          <cell r="K151">
            <v>12.758809148205257</v>
          </cell>
          <cell r="L151">
            <v>13.723270070600531</v>
          </cell>
          <cell r="M151">
            <v>14.205269680758871</v>
          </cell>
          <cell r="N151">
            <v>15.087372137988551</v>
          </cell>
          <cell r="O151">
            <v>16.185704874724156</v>
          </cell>
        </row>
        <row r="152">
          <cell r="A152" t="str">
            <v>D-SCOM_SOLELC</v>
          </cell>
          <cell r="B152" t="str">
            <v>VAR_fin</v>
          </cell>
          <cell r="C152" t="str">
            <v>SCOM_SOL_ELC</v>
          </cell>
          <cell r="D152">
            <v>2.8396236857719668</v>
          </cell>
          <cell r="E152">
            <v>3.2944550725739599</v>
          </cell>
          <cell r="F152">
            <v>6.7404252036472601</v>
          </cell>
          <cell r="G152">
            <v>7.7938612385438297</v>
          </cell>
          <cell r="H152">
            <v>24.711663482032474</v>
          </cell>
          <cell r="I152">
            <v>26.121765335942818</v>
          </cell>
          <cell r="J152">
            <v>27.454111403981024</v>
          </cell>
          <cell r="K152">
            <v>28.483904948778981</v>
          </cell>
          <cell r="L152">
            <v>29.955252602474868</v>
          </cell>
          <cell r="M152">
            <v>31.43366461612759</v>
          </cell>
          <cell r="N152">
            <v>33.002195690087945</v>
          </cell>
          <cell r="O152">
            <v>34.613813723901686</v>
          </cell>
        </row>
        <row r="153">
          <cell r="A153" t="str">
            <v>D-ILFO</v>
          </cell>
          <cell r="B153" t="str">
            <v>VAR_fout</v>
          </cell>
          <cell r="C153" t="str">
            <v>CO2</v>
          </cell>
          <cell r="D153">
            <v>688.96238654799095</v>
          </cell>
          <cell r="E153">
            <v>659.57558948130202</v>
          </cell>
          <cell r="F153">
            <v>602.37714611080696</v>
          </cell>
          <cell r="G153">
            <v>426.77246905502801</v>
          </cell>
          <cell r="H153">
            <v>304.86228156979598</v>
          </cell>
          <cell r="I153">
            <v>160.04445051209899</v>
          </cell>
          <cell r="J153">
            <v>27.190797926484301</v>
          </cell>
          <cell r="L153">
            <v>1.1830807514132799E-2</v>
          </cell>
          <cell r="M153">
            <v>2.05072243741393E-2</v>
          </cell>
          <cell r="N153">
            <v>1.0634787937598001E-2</v>
          </cell>
          <cell r="O153">
            <v>4.4370635094578698E-3</v>
          </cell>
        </row>
        <row r="154">
          <cell r="A154" t="str">
            <v>D-ILFO</v>
          </cell>
          <cell r="B154" t="str">
            <v>VAR_fout</v>
          </cell>
          <cell r="C154" t="str">
            <v>ILFO</v>
          </cell>
          <cell r="D154">
            <v>9.1920747866897692</v>
          </cell>
          <cell r="E154">
            <v>8.7999987580813901</v>
          </cell>
          <cell r="F154">
            <v>8.0369194538952762</v>
          </cell>
          <cell r="G154">
            <v>7.1170408430189021</v>
          </cell>
          <cell r="H154">
            <v>5.4905277882527095</v>
          </cell>
          <cell r="I154">
            <v>3.558375673866438</v>
          </cell>
          <cell r="J154">
            <v>1.7858545190037023</v>
          </cell>
          <cell r="K154">
            <v>1.4230790513395635</v>
          </cell>
          <cell r="L154">
            <v>1.4232413176477976</v>
          </cell>
          <cell r="M154">
            <v>1.4233578063644681</v>
          </cell>
          <cell r="N154">
            <v>1.4232265960327479</v>
          </cell>
          <cell r="O154">
            <v>1.4231480415340614</v>
          </cell>
        </row>
        <row r="155">
          <cell r="A155" t="str">
            <v>D-ILFO</v>
          </cell>
          <cell r="B155" t="str">
            <v>VAR_fin</v>
          </cell>
          <cell r="C155" t="str">
            <v>LFO</v>
          </cell>
          <cell r="D155">
            <v>9.3482006315874084</v>
          </cell>
          <cell r="E155">
            <v>8.9494652575481943</v>
          </cell>
          <cell r="F155">
            <v>8.1733669757232921</v>
          </cell>
          <cell r="G155">
            <v>5.7906712219135414</v>
          </cell>
          <cell r="H155">
            <v>4.136530279101712</v>
          </cell>
          <cell r="I155">
            <v>2.1715664927014835</v>
          </cell>
          <cell r="J155">
            <v>0.36893891352081765</v>
          </cell>
          <cell r="L155">
            <v>1.6052656057167965E-4</v>
          </cell>
          <cell r="M155">
            <v>2.7825270521220189E-4</v>
          </cell>
          <cell r="N155">
            <v>1.4429834379373128E-4</v>
          </cell>
          <cell r="O155">
            <v>6.0204389544882952E-5</v>
          </cell>
        </row>
        <row r="156">
          <cell r="A156" t="str">
            <v>D-ILFO</v>
          </cell>
          <cell r="B156" t="str">
            <v>VAR_fin</v>
          </cell>
          <cell r="C156" t="str">
            <v>BDS</v>
          </cell>
          <cell r="D156"/>
          <cell r="E156"/>
          <cell r="F156">
            <v>5.8203944648895211E-5</v>
          </cell>
          <cell r="G156">
            <v>1.4472513633204234</v>
          </cell>
          <cell r="H156">
            <v>1.4472532005772858</v>
          </cell>
          <cell r="I156">
            <v>1.447253335253569</v>
          </cell>
          <cell r="J156">
            <v>1.4472537204766125</v>
          </cell>
          <cell r="K156">
            <v>1.4472542008101377</v>
          </cell>
          <cell r="L156">
            <v>1.4472543055948237</v>
          </cell>
          <cell r="M156">
            <v>1.4472550467081233</v>
          </cell>
          <cell r="N156">
            <v>1.4472555585335765</v>
          </cell>
          <cell r="O156">
            <v>1.4472591161570063</v>
          </cell>
        </row>
        <row r="157">
          <cell r="A157" t="str">
            <v>RHEM-SHSTG-NGAHP</v>
          </cell>
          <cell r="B157" t="str">
            <v>VAR_fout</v>
          </cell>
          <cell r="C157" t="str">
            <v>RHEM-SHANGAH</v>
          </cell>
          <cell r="D157"/>
          <cell r="E157"/>
          <cell r="F157">
            <v>5.7961049465202113E-5</v>
          </cell>
          <cell r="G157">
            <v>9.8829465453654174E-5</v>
          </cell>
          <cell r="H157">
            <v>0.11699454458420182</v>
          </cell>
          <cell r="I157">
            <v>0.10773060919398714</v>
          </cell>
          <cell r="J157">
            <v>9.6758313687957162E-2</v>
          </cell>
          <cell r="K157">
            <v>0.5454045774832248</v>
          </cell>
          <cell r="L157">
            <v>0.63228889458840143</v>
          </cell>
          <cell r="M157">
            <v>0.57071072320400096</v>
          </cell>
          <cell r="N157">
            <v>0.54134026745068975</v>
          </cell>
          <cell r="O157">
            <v>0.51119157508815483</v>
          </cell>
        </row>
        <row r="158">
          <cell r="A158" t="str">
            <v>RHEM-SHSTG-NGAHP</v>
          </cell>
          <cell r="B158" t="str">
            <v>VAR_fin</v>
          </cell>
          <cell r="C158" t="str">
            <v>RHEM-SHANGAH</v>
          </cell>
          <cell r="D158"/>
          <cell r="E158"/>
          <cell r="F158">
            <v>5.8508830870357517E-5</v>
          </cell>
          <cell r="G158">
            <v>9.8183223840756591E-5</v>
          </cell>
          <cell r="H158">
            <v>0.11700363803159092</v>
          </cell>
          <cell r="I158">
            <v>0.1077395550381799</v>
          </cell>
          <cell r="J158">
            <v>9.6769102248658867E-2</v>
          </cell>
          <cell r="K158">
            <v>0.54543247141868123</v>
          </cell>
          <cell r="L158">
            <v>0.63231726317168713</v>
          </cell>
          <cell r="M158">
            <v>0.57074304249808361</v>
          </cell>
          <cell r="N158">
            <v>0.54136801795854772</v>
          </cell>
          <cell r="O158">
            <v>0.51122748729763057</v>
          </cell>
        </row>
        <row r="159">
          <cell r="A159" t="str">
            <v>RHEM-SHSTG-NGAHP</v>
          </cell>
          <cell r="B159" t="str">
            <v>VAR_ncap</v>
          </cell>
          <cell r="C159" t="str">
            <v>-</v>
          </cell>
          <cell r="D159">
            <v>1.0622319559252701E-5</v>
          </cell>
          <cell r="E159">
            <v>2.1494924421721199E-6</v>
          </cell>
          <cell r="F159">
            <v>2.5726252625141601E-5</v>
          </cell>
          <cell r="G159">
            <v>1.8015497774502101E-5</v>
          </cell>
          <cell r="H159">
            <v>1.8422901119385899E-2</v>
          </cell>
          <cell r="I159">
            <v>1.18813540807307E-3</v>
          </cell>
          <cell r="J159">
            <v>1.0262421303652E-4</v>
          </cell>
          <cell r="K159">
            <v>7.0391935918034707E-2</v>
          </cell>
          <cell r="L159">
            <v>2.03023064734662E-4</v>
          </cell>
          <cell r="M159">
            <v>6.8421878113075502E-4</v>
          </cell>
          <cell r="N159">
            <v>5.8041112395481098E-2</v>
          </cell>
          <cell r="O159">
            <v>1.19821472488664E-2</v>
          </cell>
        </row>
        <row r="160">
          <cell r="A160" t="str">
            <v>RHEM-SHSTG-NGAHP</v>
          </cell>
          <cell r="B160" t="str">
            <v>VAR_cap</v>
          </cell>
          <cell r="C160" t="str">
            <v>-</v>
          </cell>
          <cell r="D160">
            <v>1.0622319559252701E-5</v>
          </cell>
          <cell r="E160">
            <v>-5.8794895437399325E-8</v>
          </cell>
          <cell r="F160">
            <v>2.4577250628235598E-5</v>
          </cell>
          <cell r="G160">
            <v>3.2542522049910694E-5</v>
          </cell>
          <cell r="H160">
            <v>1.8447143624891943E-2</v>
          </cell>
          <cell r="I160">
            <v>1.9590743018506412E-2</v>
          </cell>
          <cell r="J160">
            <v>1.9580808986892632E-2</v>
          </cell>
          <cell r="K160">
            <v>7.160563037494086E-2</v>
          </cell>
          <cell r="L160">
            <v>7.062344508450745E-2</v>
          </cell>
          <cell r="M160">
            <v>7.0922946733248907E-2</v>
          </cell>
          <cell r="N160">
            <v>7.1049778528190888E-2</v>
          </cell>
          <cell r="O160">
            <v>7.0474918355734523E-2</v>
          </cell>
        </row>
        <row r="161">
          <cell r="A161" t="str">
            <v>RHEM-SHCONBR4</v>
          </cell>
          <cell r="B161" t="str">
            <v>VAR_fout</v>
          </cell>
          <cell r="C161" t="str">
            <v>RHEM-SHCON</v>
          </cell>
          <cell r="D161">
            <v>6.5870611820975953E-5</v>
          </cell>
          <cell r="E161">
            <v>0.53699819592569942</v>
          </cell>
          <cell r="F161">
            <v>0.5368971188067363</v>
          </cell>
          <cell r="G161">
            <v>0.53693342253465126</v>
          </cell>
          <cell r="H161">
            <v>0.53693431244509304</v>
          </cell>
          <cell r="I161">
            <v>0.53694280259996363</v>
          </cell>
          <cell r="J161">
            <v>0.53693674903677679</v>
          </cell>
          <cell r="K161">
            <v>0.36236072208122799</v>
          </cell>
          <cell r="L161">
            <v>2.0531213176467789E-4</v>
          </cell>
          <cell r="M161">
            <v>2.1731176269610235E-4</v>
          </cell>
          <cell r="N161">
            <v>2.3683295099235832E-4</v>
          </cell>
          <cell r="O161">
            <v>2.439959873047201E-4</v>
          </cell>
        </row>
        <row r="162">
          <cell r="A162" t="str">
            <v>RHEM-SHCONBR4</v>
          </cell>
          <cell r="B162" t="str">
            <v>VAR_fin</v>
          </cell>
          <cell r="C162" t="str">
            <v>CON</v>
          </cell>
          <cell r="D162">
            <v>6.5870611820975953E-5</v>
          </cell>
          <cell r="E162">
            <v>0.53699819592569942</v>
          </cell>
          <cell r="F162">
            <v>0.5368971188067363</v>
          </cell>
          <cell r="G162">
            <v>0.53693342253465126</v>
          </cell>
          <cell r="H162">
            <v>0.53693431244509304</v>
          </cell>
          <cell r="I162">
            <v>0.53694280259996363</v>
          </cell>
          <cell r="J162">
            <v>0.53693674903677679</v>
          </cell>
          <cell r="K162">
            <v>0.36236072208122799</v>
          </cell>
          <cell r="L162">
            <v>2.0531213176467789E-4</v>
          </cell>
          <cell r="M162">
            <v>2.1731176269610235E-4</v>
          </cell>
          <cell r="N162">
            <v>2.3683295099235832E-4</v>
          </cell>
          <cell r="O162">
            <v>2.439959873047201E-4</v>
          </cell>
        </row>
        <row r="163">
          <cell r="A163" t="str">
            <v>RHEM-SHCONBR4</v>
          </cell>
          <cell r="B163" t="str">
            <v>VAR_ncap</v>
          </cell>
          <cell r="C163" t="str">
            <v>-</v>
          </cell>
          <cell r="D163">
            <v>2.5930267295387098E-6</v>
          </cell>
          <cell r="E163">
            <v>3.7915686979664999E-2</v>
          </cell>
          <cell r="F163">
            <v>1.03360638198625E-8</v>
          </cell>
          <cell r="G163">
            <v>1.40849688325434E-8</v>
          </cell>
          <cell r="H163">
            <v>1.6388199841453E-8</v>
          </cell>
          <cell r="I163">
            <v>3.1448929315790797E-8</v>
          </cell>
          <cell r="J163">
            <v>1.8881632381200202E-8</v>
          </cell>
          <cell r="K163">
            <v>1.4458273421120201E-7</v>
          </cell>
          <cell r="L163">
            <v>1.39935943925676E-5</v>
          </cell>
          <cell r="M163">
            <v>8.2557925502063596E-8</v>
          </cell>
          <cell r="N163">
            <v>2.1803762984980601E-6</v>
          </cell>
          <cell r="O163">
            <v>2.1990612176300502E-8</v>
          </cell>
        </row>
        <row r="164">
          <cell r="A164" t="str">
            <v>RHEM-SHCONBR4</v>
          </cell>
          <cell r="B164" t="str">
            <v>VAR_cap</v>
          </cell>
          <cell r="C164" t="str">
            <v>-</v>
          </cell>
          <cell r="D164">
            <v>2.5930267295387098E-6</v>
          </cell>
          <cell r="E164">
            <v>3.7918280006394599E-2</v>
          </cell>
          <cell r="F164">
            <v>3.7918290342458402E-2</v>
          </cell>
          <cell r="G164">
            <v>3.7918304427427198E-2</v>
          </cell>
          <cell r="H164">
            <v>3.7918320815627099E-2</v>
          </cell>
          <cell r="I164">
            <v>3.79183522645564E-2</v>
          </cell>
          <cell r="J164">
            <v>3.7918371146188803E-2</v>
          </cell>
          <cell r="K164">
            <v>2.55890094965147E-2</v>
          </cell>
          <cell r="L164">
            <v>1.42183394349727E-5</v>
          </cell>
          <cell r="M164">
            <v>1.4287453813819299E-5</v>
          </cell>
          <cell r="N164">
            <v>1.6449421293017299E-5</v>
          </cell>
          <cell r="O164">
            <v>1.6441983595336398E-5</v>
          </cell>
        </row>
        <row r="165">
          <cell r="A165" t="str">
            <v>RHNM-SHCONBR</v>
          </cell>
          <cell r="B165" t="str">
            <v>VAR_fout</v>
          </cell>
          <cell r="C165" t="str">
            <v>RHNM-SHCON</v>
          </cell>
          <cell r="D165"/>
          <cell r="E165"/>
          <cell r="F165">
            <v>9.8068660217604081E-5</v>
          </cell>
          <cell r="G165">
            <v>8.7630199800223295E-5</v>
          </cell>
          <cell r="H165">
            <v>1.3122521147912146E-4</v>
          </cell>
          <cell r="I165">
            <v>1.3718637737167129E-4</v>
          </cell>
          <cell r="J165">
            <v>1.416602024323791E-4</v>
          </cell>
          <cell r="K165">
            <v>1.6590386077801442E-4</v>
          </cell>
          <cell r="L165">
            <v>1.7623561024885477E-4</v>
          </cell>
          <cell r="M165">
            <v>2.3134273946035866E-4</v>
          </cell>
          <cell r="N165">
            <v>1.8042655407602799E-3</v>
          </cell>
          <cell r="O165">
            <v>1.2868003700591093</v>
          </cell>
        </row>
        <row r="166">
          <cell r="A166" t="str">
            <v>RHNM-SHCONBR</v>
          </cell>
          <cell r="B166" t="str">
            <v>VAR_fin</v>
          </cell>
          <cell r="C166" t="str">
            <v>CON</v>
          </cell>
          <cell r="D166"/>
          <cell r="E166"/>
          <cell r="F166">
            <v>9.8068660217604081E-5</v>
          </cell>
          <cell r="G166">
            <v>8.7630199800223295E-5</v>
          </cell>
          <cell r="H166">
            <v>1.3122521147912146E-4</v>
          </cell>
          <cell r="I166">
            <v>1.3718637737167129E-4</v>
          </cell>
          <cell r="J166">
            <v>1.416602024323791E-4</v>
          </cell>
          <cell r="K166">
            <v>1.6590386077801442E-4</v>
          </cell>
          <cell r="L166">
            <v>1.7623561024885477E-4</v>
          </cell>
          <cell r="M166">
            <v>2.3134273946035866E-4</v>
          </cell>
          <cell r="N166">
            <v>1.8042655407602799E-3</v>
          </cell>
          <cell r="O166">
            <v>1.2868003700591093</v>
          </cell>
        </row>
        <row r="167">
          <cell r="A167" t="str">
            <v>RHNM-SHCONBR</v>
          </cell>
          <cell r="B167" t="str">
            <v>VAR_ncap</v>
          </cell>
          <cell r="C167" t="str">
            <v>-</v>
          </cell>
          <cell r="D167"/>
          <cell r="E167">
            <v>1.78151963860047E-8</v>
          </cell>
          <cell r="F167">
            <v>7.2004127541002599E-6</v>
          </cell>
          <cell r="G167">
            <v>8.1599651607463304E-8</v>
          </cell>
          <cell r="H167">
            <v>3.4101004519917399E-6</v>
          </cell>
          <cell r="I167">
            <v>1.6017417331169299E-7</v>
          </cell>
          <cell r="J167">
            <v>3.4478972002929601E-7</v>
          </cell>
          <cell r="K167">
            <v>1.3382303265236699E-6</v>
          </cell>
          <cell r="L167">
            <v>2.18699609036922E-6</v>
          </cell>
          <cell r="M167">
            <v>4.04267534025014E-6</v>
          </cell>
          <cell r="N167">
            <v>1.3475427295864601E-4</v>
          </cell>
          <cell r="O167">
            <v>0.220955226096927</v>
          </cell>
        </row>
        <row r="168">
          <cell r="A168" t="str">
            <v>RHNM-SHCONBR</v>
          </cell>
          <cell r="B168" t="str">
            <v>VAR_cap</v>
          </cell>
          <cell r="C168" t="str">
            <v>-</v>
          </cell>
          <cell r="D168"/>
          <cell r="E168">
            <v>1.78151963860047E-8</v>
          </cell>
          <cell r="F168">
            <v>7.2044599305910913E-6</v>
          </cell>
          <cell r="G168">
            <v>7.2786429725345274E-6</v>
          </cell>
          <cell r="H168">
            <v>1.0660700594788712E-5</v>
          </cell>
          <cell r="I168">
            <v>1.078937029123461E-5</v>
          </cell>
          <cell r="J168">
            <v>1.1132625957515457E-5</v>
          </cell>
          <cell r="K168">
            <v>1.2347140320963017E-5</v>
          </cell>
          <cell r="L168">
            <v>1.4621932693343556E-5</v>
          </cell>
          <cell r="M168">
            <v>1.8518697797186591E-5</v>
          </cell>
          <cell r="N168">
            <v>1.5330300362457263E-4</v>
          </cell>
          <cell r="O168">
            <v>0.22110876316358999</v>
          </cell>
        </row>
        <row r="169">
          <cell r="A169" t="str">
            <v>RHEM-SHCONBR5</v>
          </cell>
          <cell r="B169" t="str">
            <v>VAR_fout</v>
          </cell>
          <cell r="C169" t="str">
            <v>RHEM-SHCON</v>
          </cell>
          <cell r="D169">
            <v>4.7117532925122512E-5</v>
          </cell>
          <cell r="E169">
            <v>4.2607204956677516E-3</v>
          </cell>
          <cell r="F169">
            <v>4.2577221800628355E-3</v>
          </cell>
          <cell r="G169">
            <v>4.2479471057143637E-3</v>
          </cell>
          <cell r="H169">
            <v>4.2532504864953736E-3</v>
          </cell>
          <cell r="I169">
            <v>4.2528370770293393E-3</v>
          </cell>
          <cell r="J169">
            <v>4.2555477298103885E-3</v>
          </cell>
          <cell r="K169">
            <v>2.8707493033784666E-3</v>
          </cell>
          <cell r="L169">
            <v>1.7928277948708592E-4</v>
          </cell>
          <cell r="M169">
            <v>1.9133338926259782E-4</v>
          </cell>
          <cell r="N169">
            <v>2.1303649857953302E-4</v>
          </cell>
          <cell r="O169">
            <v>2.2037907900527792E-4</v>
          </cell>
        </row>
        <row r="170">
          <cell r="A170" t="str">
            <v>RHEM-SHCONBR5</v>
          </cell>
          <cell r="B170" t="str">
            <v>VAR_fin</v>
          </cell>
          <cell r="C170" t="str">
            <v>CON</v>
          </cell>
          <cell r="D170">
            <v>4.7117532925122512E-5</v>
          </cell>
          <cell r="E170">
            <v>4.2607204956677516E-3</v>
          </cell>
          <cell r="F170">
            <v>4.2577221800628355E-3</v>
          </cell>
          <cell r="G170">
            <v>4.2479471057143637E-3</v>
          </cell>
          <cell r="H170">
            <v>4.2532504864953736E-3</v>
          </cell>
          <cell r="I170">
            <v>4.2528370770293393E-3</v>
          </cell>
          <cell r="J170">
            <v>4.2555477298103885E-3</v>
          </cell>
          <cell r="K170">
            <v>2.8707493033784666E-3</v>
          </cell>
          <cell r="L170">
            <v>1.7928277948708592E-4</v>
          </cell>
          <cell r="M170">
            <v>1.9133338926259782E-4</v>
          </cell>
          <cell r="N170">
            <v>2.1303649857953302E-4</v>
          </cell>
          <cell r="O170">
            <v>2.2037907900527792E-4</v>
          </cell>
        </row>
        <row r="171">
          <cell r="A171" t="str">
            <v>RHEM-SHCONBR5</v>
          </cell>
          <cell r="B171" t="str">
            <v>VAR_ncap</v>
          </cell>
          <cell r="C171" t="str">
            <v>-</v>
          </cell>
          <cell r="D171">
            <v>1.26054006063109E-6</v>
          </cell>
          <cell r="E171">
            <v>2.9852178986716299E-4</v>
          </cell>
          <cell r="F171"/>
          <cell r="G171">
            <v>1.32055442253802E-8</v>
          </cell>
          <cell r="H171">
            <v>1.46860587431266E-8</v>
          </cell>
          <cell r="I171">
            <v>2.8729537157394399E-8</v>
          </cell>
          <cell r="J171">
            <v>1.8295406276823999E-8</v>
          </cell>
          <cell r="K171">
            <v>1.44081611085296E-7</v>
          </cell>
          <cell r="L171">
            <v>1.2160642368882799E-5</v>
          </cell>
          <cell r="M171">
            <v>8.4234615133823999E-8</v>
          </cell>
          <cell r="N171">
            <v>2.3337655164785798E-6</v>
          </cell>
          <cell r="O171">
            <v>2.2234661060417601E-8</v>
          </cell>
        </row>
        <row r="172">
          <cell r="A172" t="str">
            <v>RHEM-SHCONBR5</v>
          </cell>
          <cell r="B172" t="str">
            <v>VAR_cap</v>
          </cell>
          <cell r="C172" t="str">
            <v>-</v>
          </cell>
          <cell r="D172">
            <v>1.26054006063109E-6</v>
          </cell>
          <cell r="E172">
            <v>2.9978232992779403E-4</v>
          </cell>
          <cell r="F172">
            <v>2.9978232992779403E-4</v>
          </cell>
          <cell r="G172">
            <v>2.9979553547202002E-4</v>
          </cell>
          <cell r="H172">
            <v>2.9981022153076299E-4</v>
          </cell>
          <cell r="I172">
            <v>2.9983895106791997E-4</v>
          </cell>
          <cell r="J172">
            <v>2.9985724647419701E-4</v>
          </cell>
          <cell r="K172">
            <v>2.02110856556456E-4</v>
          </cell>
          <cell r="L172">
            <v>1.23760974360154E-5</v>
          </cell>
          <cell r="M172">
            <v>1.24506695972793E-5</v>
          </cell>
          <cell r="N172">
            <v>1.47678526698113E-5</v>
          </cell>
          <cell r="O172">
            <v>1.4763254178917799E-5</v>
          </cell>
        </row>
        <row r="173">
          <cell r="A173" t="str">
            <v>ITOT-SWHNGABR</v>
          </cell>
          <cell r="B173" t="str">
            <v>VAR_fout</v>
          </cell>
          <cell r="C173" t="str">
            <v>ITOT-SWH</v>
          </cell>
          <cell r="D173">
            <v>28.619769415270046</v>
          </cell>
          <cell r="E173">
            <v>24.078914289127404</v>
          </cell>
          <cell r="F173">
            <v>27.614281875639495</v>
          </cell>
          <cell r="G173">
            <v>20.608000827473884</v>
          </cell>
          <cell r="H173">
            <v>10.652547506243597</v>
          </cell>
          <cell r="I173">
            <v>8.9401693289456325</v>
          </cell>
          <cell r="J173">
            <v>7.1814070718089127</v>
          </cell>
          <cell r="K173">
            <v>2.4306087839067412</v>
          </cell>
          <cell r="L173">
            <v>0.4956937854590624</v>
          </cell>
          <cell r="M173">
            <v>0.74848762533510815</v>
          </cell>
          <cell r="N173">
            <v>0.49330119554144192</v>
          </cell>
          <cell r="O173">
            <v>0.49011862795643263</v>
          </cell>
        </row>
        <row r="174">
          <cell r="A174" t="str">
            <v>ITOT-SWHNGABR</v>
          </cell>
          <cell r="B174" t="str">
            <v>VAR_fout</v>
          </cell>
          <cell r="C174" t="str">
            <v>CO2_I</v>
          </cell>
          <cell r="D174">
            <v>2005.1531871628199</v>
          </cell>
          <cell r="E174">
            <v>1685.53724419265</v>
          </cell>
          <cell r="F174">
            <v>1930.4824936892601</v>
          </cell>
          <cell r="G174">
            <v>1437.5426389306999</v>
          </cell>
          <cell r="H174">
            <v>741.46929520452602</v>
          </cell>
          <cell r="I174">
            <v>620.92952127716899</v>
          </cell>
          <cell r="J174">
            <v>497.69700199145802</v>
          </cell>
          <cell r="K174">
            <v>168.085981089358</v>
          </cell>
          <cell r="L174">
            <v>34.279138955000597</v>
          </cell>
          <cell r="M174">
            <v>51.760808926017098</v>
          </cell>
          <cell r="N174">
            <v>34.113682125291703</v>
          </cell>
          <cell r="O174">
            <v>33.893595290071097</v>
          </cell>
        </row>
        <row r="175">
          <cell r="A175" t="str">
            <v>ITOT-SWHNGABR</v>
          </cell>
          <cell r="B175" t="str">
            <v>VAR_fin</v>
          </cell>
          <cell r="C175" t="str">
            <v>INGA</v>
          </cell>
          <cell r="D175">
            <v>35.552361474518165</v>
          </cell>
          <cell r="E175">
            <v>29.885412131075345</v>
          </cell>
          <cell r="F175">
            <v>34.228413008674856</v>
          </cell>
          <cell r="G175">
            <v>25.48834466189189</v>
          </cell>
          <cell r="H175">
            <v>13.146618709300101</v>
          </cell>
          <cell r="I175">
            <v>11.00938867512712</v>
          </cell>
          <cell r="J175">
            <v>8.8244149289265437</v>
          </cell>
          <cell r="K175">
            <v>2.980247891655285</v>
          </cell>
          <cell r="L175">
            <v>0.60778615168440886</v>
          </cell>
          <cell r="M175">
            <v>0.91774483911377713</v>
          </cell>
          <cell r="N175">
            <v>0.60485251995198108</v>
          </cell>
          <cell r="O175">
            <v>0.60095027110055199</v>
          </cell>
        </row>
        <row r="176">
          <cell r="A176" t="str">
            <v>ITOT-SWHNGABR</v>
          </cell>
          <cell r="B176" t="str">
            <v>VAR_ncap</v>
          </cell>
          <cell r="C176" t="str">
            <v>-</v>
          </cell>
          <cell r="D176"/>
          <cell r="E176">
            <v>1.52608962855119E-5</v>
          </cell>
          <cell r="F176">
            <v>1.30609052559893E-5</v>
          </cell>
          <cell r="G176">
            <v>1.1713313709464601E-5</v>
          </cell>
          <cell r="H176">
            <v>0.32048751116876401</v>
          </cell>
          <cell r="I176">
            <v>0.21331998417504899</v>
          </cell>
          <cell r="J176">
            <v>1.6696577736046799E-5</v>
          </cell>
          <cell r="K176">
            <v>1.50384198409471E-4</v>
          </cell>
          <cell r="L176">
            <v>1.7276875627151301E-4</v>
          </cell>
          <cell r="M176">
            <v>4.4624523162202299E-2</v>
          </cell>
          <cell r="N176">
            <v>1.5648275211016499E-5</v>
          </cell>
          <cell r="O176">
            <v>8.7380306886774395E-5</v>
          </cell>
        </row>
        <row r="177">
          <cell r="A177" t="str">
            <v>ITOT-SWHNGABR</v>
          </cell>
          <cell r="B177" t="str">
            <v>VAR_cap</v>
          </cell>
          <cell r="C177" t="str">
            <v>-</v>
          </cell>
          <cell r="D177">
            <v>1.556581895256</v>
          </cell>
          <cell r="E177">
            <v>1.5565805605794487</v>
          </cell>
          <cell r="F177">
            <v>1.5565745704290312</v>
          </cell>
          <cell r="G177">
            <v>1.5084018805305373</v>
          </cell>
          <cell r="H177">
            <v>0.71166485036720961</v>
          </cell>
          <cell r="I177">
            <v>0.53380938450661064</v>
          </cell>
          <cell r="J177">
            <v>0.53377146875451942</v>
          </cell>
          <cell r="K177">
            <v>0.2132924605418034</v>
          </cell>
          <cell r="L177">
            <v>3.2991055077303003E-2</v>
          </cell>
          <cell r="M177">
            <v>4.4929715811749531E-2</v>
          </cell>
          <cell r="N177">
            <v>4.4661590347670942E-2</v>
          </cell>
          <cell r="O177">
            <v>4.4486532393539197E-2</v>
          </cell>
        </row>
        <row r="178">
          <cell r="A178" t="str">
            <v>RHNM-SHSOLBR</v>
          </cell>
          <cell r="B178" t="str">
            <v>VAR_fout</v>
          </cell>
          <cell r="C178" t="str">
            <v>RHNM-SHASOL</v>
          </cell>
          <cell r="D178"/>
          <cell r="E178">
            <v>2.1537888574902415E-2</v>
          </cell>
          <cell r="F178">
            <v>2.0059876315140536E-2</v>
          </cell>
          <cell r="G178">
            <v>2.7643025180731647E-2</v>
          </cell>
          <cell r="H178">
            <v>1.7389730816876475E-2</v>
          </cell>
          <cell r="I178">
            <v>5.1513653492602975E-3</v>
          </cell>
          <cell r="J178">
            <v>2.6351315662901469E-3</v>
          </cell>
          <cell r="K178">
            <v>6.5584374654997215E-4</v>
          </cell>
          <cell r="L178">
            <v>8.6257246446731501E-4</v>
          </cell>
          <cell r="M178">
            <v>4.6489154226360199E-3</v>
          </cell>
          <cell r="N178">
            <v>8.2781119454799666E-4</v>
          </cell>
          <cell r="O178">
            <v>2.0299467049764361E-3</v>
          </cell>
        </row>
        <row r="179">
          <cell r="A179" t="str">
            <v>RHNM-SHSOLBR</v>
          </cell>
          <cell r="B179" t="str">
            <v>VAR_fin</v>
          </cell>
          <cell r="C179" t="str">
            <v>SOL</v>
          </cell>
          <cell r="D179"/>
          <cell r="E179">
            <v>2.1537888574902415E-2</v>
          </cell>
          <cell r="F179">
            <v>2.0059876315140536E-2</v>
          </cell>
          <cell r="G179">
            <v>2.7643025180731647E-2</v>
          </cell>
          <cell r="H179">
            <v>1.7389730816876475E-2</v>
          </cell>
          <cell r="I179">
            <v>5.1513653492602975E-3</v>
          </cell>
          <cell r="J179">
            <v>2.6351315662901469E-3</v>
          </cell>
          <cell r="K179">
            <v>6.5584374654997215E-4</v>
          </cell>
          <cell r="L179">
            <v>8.6257246446731501E-4</v>
          </cell>
          <cell r="M179">
            <v>4.6489154226360199E-3</v>
          </cell>
          <cell r="N179">
            <v>8.2781119454799666E-4</v>
          </cell>
          <cell r="O179">
            <v>2.0299467049764361E-3</v>
          </cell>
        </row>
        <row r="180">
          <cell r="A180" t="str">
            <v>RHNM-SHSOLBR</v>
          </cell>
          <cell r="B180" t="str">
            <v>VAR_ncap</v>
          </cell>
          <cell r="C180" t="str">
            <v>-</v>
          </cell>
          <cell r="D180"/>
          <cell r="E180">
            <v>3.14471116810983E-3</v>
          </cell>
          <cell r="F180">
            <v>2.6390382061320301E-5</v>
          </cell>
          <cell r="G180">
            <v>8.9829489914750602E-4</v>
          </cell>
          <cell r="H180">
            <v>7.2423715253832203E-5</v>
          </cell>
          <cell r="I180">
            <v>6.71072885502771E-6</v>
          </cell>
          <cell r="J180">
            <v>3.2500454701020302E-4</v>
          </cell>
          <cell r="K180">
            <v>1.03056665095165E-4</v>
          </cell>
          <cell r="L180">
            <v>4.3977230459534698E-5</v>
          </cell>
          <cell r="M180">
            <v>5.8982815903434898E-4</v>
          </cell>
          <cell r="N180">
            <v>1.20402240553658E-6</v>
          </cell>
          <cell r="O180">
            <v>4.3877271696708799E-3</v>
          </cell>
        </row>
        <row r="181">
          <cell r="A181" t="str">
            <v>RHNM-SHSOLBR</v>
          </cell>
          <cell r="B181" t="str">
            <v>VAR_cap</v>
          </cell>
          <cell r="C181" t="str">
            <v>-</v>
          </cell>
          <cell r="D181"/>
          <cell r="E181">
            <v>3.14471116810983E-3</v>
          </cell>
          <cell r="F181">
            <v>3.1711015501711499E-3</v>
          </cell>
          <cell r="G181">
            <v>4.0693964493186598E-3</v>
          </cell>
          <cell r="H181">
            <v>2.6082822625907798E-3</v>
          </cell>
          <cell r="I181">
            <v>8.1207345931251702E-4</v>
          </cell>
          <cell r="J181">
            <v>4.0413899111906303E-4</v>
          </cell>
          <cell r="K181">
            <v>4.34771940960396E-4</v>
          </cell>
          <cell r="L181">
            <v>4.3000795669572702E-4</v>
          </cell>
          <cell r="M181">
            <v>7.3686205458904901E-4</v>
          </cell>
          <cell r="N181">
            <v>6.3932162250685204E-4</v>
          </cell>
          <cell r="O181">
            <v>4.9787593511107699E-3</v>
          </cell>
        </row>
        <row r="182">
          <cell r="A182" t="str">
            <v>RHEM-SHPLTBR</v>
          </cell>
          <cell r="B182" t="str">
            <v>VAR_fout</v>
          </cell>
          <cell r="C182" t="str">
            <v>RHEM-SHPLT</v>
          </cell>
          <cell r="D182">
            <v>1.4011281977182271</v>
          </cell>
          <cell r="E182">
            <v>1.6077980991307053</v>
          </cell>
          <cell r="F182">
            <v>1.6077986547250867</v>
          </cell>
          <cell r="G182">
            <v>1.607798078878407</v>
          </cell>
          <cell r="H182">
            <v>1.6077986363272061</v>
          </cell>
          <cell r="I182">
            <v>1.6077992361197604</v>
          </cell>
          <cell r="J182">
            <v>1.6078004456858026</v>
          </cell>
          <cell r="K182">
            <v>1.6078012366962777</v>
          </cell>
          <cell r="L182">
            <v>1.6078013658035892</v>
          </cell>
          <cell r="M182">
            <v>1.6078028228314463</v>
          </cell>
          <cell r="N182">
            <v>1.6078037676469359</v>
          </cell>
          <cell r="O182">
            <v>1.6078067678004111</v>
          </cell>
        </row>
        <row r="183">
          <cell r="A183" t="str">
            <v>RHEM-SHPLTBR</v>
          </cell>
          <cell r="B183" t="str">
            <v>VAR_fin</v>
          </cell>
          <cell r="C183" t="str">
            <v>RHEMPLTBRC</v>
          </cell>
          <cell r="D183">
            <v>1.4011281977182271</v>
          </cell>
          <cell r="E183">
            <v>1.6077980991307053</v>
          </cell>
          <cell r="F183">
            <v>1.6077986547250867</v>
          </cell>
          <cell r="G183">
            <v>1.607798078878407</v>
          </cell>
          <cell r="H183">
            <v>1.6077986363272061</v>
          </cell>
          <cell r="I183">
            <v>1.6077992361197604</v>
          </cell>
          <cell r="J183">
            <v>1.6078004456858026</v>
          </cell>
          <cell r="K183">
            <v>1.6078012366962777</v>
          </cell>
          <cell r="L183">
            <v>1.6078013658035892</v>
          </cell>
          <cell r="M183">
            <v>1.6078028228314463</v>
          </cell>
          <cell r="N183">
            <v>1.6078037676469359</v>
          </cell>
          <cell r="O183">
            <v>1.6078067678004111</v>
          </cell>
        </row>
        <row r="184">
          <cell r="A184" t="str">
            <v>RHEM-SHPLTBR</v>
          </cell>
          <cell r="B184" t="str">
            <v>VAR_fin</v>
          </cell>
          <cell r="C184" t="str">
            <v>RPLT</v>
          </cell>
          <cell r="D184">
            <v>1.5568091085758078</v>
          </cell>
          <cell r="E184">
            <v>1.786442332367451</v>
          </cell>
          <cell r="F184">
            <v>1.7864429496945404</v>
          </cell>
          <cell r="G184">
            <v>1.7864423098648983</v>
          </cell>
          <cell r="H184">
            <v>1.7864429292524511</v>
          </cell>
          <cell r="I184">
            <v>1.7864435956886249</v>
          </cell>
          <cell r="J184">
            <v>1.7864449396508926</v>
          </cell>
          <cell r="K184">
            <v>1.7864458185514169</v>
          </cell>
          <cell r="L184">
            <v>1.7864459620039865</v>
          </cell>
          <cell r="M184">
            <v>1.7864475809238294</v>
          </cell>
          <cell r="N184">
            <v>1.7864486307188199</v>
          </cell>
          <cell r="O184">
            <v>1.7864519642226806</v>
          </cell>
        </row>
        <row r="185">
          <cell r="A185" t="str">
            <v>RHEM-SHPLTBR</v>
          </cell>
          <cell r="B185" t="str">
            <v>VAR_ncap</v>
          </cell>
          <cell r="C185" t="str">
            <v>-</v>
          </cell>
          <cell r="D185">
            <v>9.25049364600833E-5</v>
          </cell>
          <cell r="E185">
            <v>1.46290298458323E-2</v>
          </cell>
          <cell r="F185">
            <v>1.00923988719676E-6</v>
          </cell>
          <cell r="G185">
            <v>2.9888597958306498E-4</v>
          </cell>
          <cell r="H185">
            <v>8.1130549163506802E-2</v>
          </cell>
          <cell r="I185">
            <v>3.2602281482630897E-2</v>
          </cell>
          <cell r="J185">
            <v>9.9014578623994598E-4</v>
          </cell>
          <cell r="K185">
            <v>8.0939874568260295E-2</v>
          </cell>
          <cell r="L185">
            <v>2.6960575844306101E-2</v>
          </cell>
          <cell r="M185">
            <v>5.9860957533036802E-3</v>
          </cell>
          <cell r="N185">
            <v>7.5781956633587902E-2</v>
          </cell>
          <cell r="O185">
            <v>3.2854430769413301E-2</v>
          </cell>
        </row>
        <row r="186">
          <cell r="A186" t="str">
            <v>RHEM-SHPLTBR</v>
          </cell>
          <cell r="B186" t="str">
            <v>VAR_cap</v>
          </cell>
          <cell r="C186" t="str">
            <v>-</v>
          </cell>
          <cell r="D186">
            <v>9.9791561056740682E-2</v>
          </cell>
          <cell r="E186">
            <v>0.11442055486456323</v>
          </cell>
          <cell r="F186">
            <v>0.11442130702777083</v>
          </cell>
          <cell r="G186">
            <v>0.1147199638207034</v>
          </cell>
          <cell r="H186">
            <v>0.11480417616519439</v>
          </cell>
          <cell r="I186">
            <v>0.11397474776576444</v>
          </cell>
          <cell r="J186">
            <v>0.11472272688126434</v>
          </cell>
          <cell r="K186">
            <v>0.1145319008805992</v>
          </cell>
          <cell r="L186">
            <v>0.11376845872632702</v>
          </cell>
          <cell r="M186">
            <v>0.11388611263641218</v>
          </cell>
          <cell r="N186">
            <v>0.11451733090563364</v>
          </cell>
          <cell r="O186">
            <v>0.11462200407712367</v>
          </cell>
        </row>
        <row r="187">
          <cell r="A187" t="str">
            <v>RHEM-SHCONBR6</v>
          </cell>
          <cell r="B187" t="str">
            <v>VAR_fout</v>
          </cell>
          <cell r="C187" t="str">
            <v>RHEM-SHCON</v>
          </cell>
          <cell r="D187"/>
          <cell r="E187">
            <v>3.4898502136892297E-4</v>
          </cell>
          <cell r="F187">
            <v>3.4855416635868496E-4</v>
          </cell>
          <cell r="G187">
            <v>3.3754457604615517E-4</v>
          </cell>
          <cell r="H187">
            <v>3.4290110866221454E-4</v>
          </cell>
          <cell r="I187">
            <v>3.424217723965189E-4</v>
          </cell>
          <cell r="J187">
            <v>3.452775193583377E-4</v>
          </cell>
          <cell r="K187">
            <v>2.4320338010147216E-4</v>
          </cell>
          <cell r="L187">
            <v>1.261607111957134E-4</v>
          </cell>
          <cell r="M187">
            <v>1.3857242760890233E-4</v>
          </cell>
          <cell r="N187">
            <v>1.6103291178093233E-4</v>
          </cell>
          <cell r="O187">
            <v>1.6879531009790413E-4</v>
          </cell>
        </row>
        <row r="188">
          <cell r="A188" t="str">
            <v>RHEM-SHCONBR6</v>
          </cell>
          <cell r="B188" t="str">
            <v>VAR_fin</v>
          </cell>
          <cell r="C188" t="str">
            <v>CON</v>
          </cell>
          <cell r="D188"/>
          <cell r="E188">
            <v>3.4898502136892297E-4</v>
          </cell>
          <cell r="F188">
            <v>3.4855416635868496E-4</v>
          </cell>
          <cell r="G188">
            <v>3.3754457604615517E-4</v>
          </cell>
          <cell r="H188">
            <v>3.4290110866221454E-4</v>
          </cell>
          <cell r="I188">
            <v>3.424217723965189E-4</v>
          </cell>
          <cell r="J188">
            <v>3.452775193583377E-4</v>
          </cell>
          <cell r="K188">
            <v>2.4320338010147216E-4</v>
          </cell>
          <cell r="L188">
            <v>1.261607111957134E-4</v>
          </cell>
          <cell r="M188">
            <v>1.3857242760890233E-4</v>
          </cell>
          <cell r="N188">
            <v>1.6103291178093233E-4</v>
          </cell>
          <cell r="O188">
            <v>1.6879531009790413E-4</v>
          </cell>
        </row>
        <row r="189">
          <cell r="A189" t="str">
            <v>RHEM-SHCONBR6</v>
          </cell>
          <cell r="B189" t="str">
            <v>VAR_ncap</v>
          </cell>
          <cell r="C189" t="str">
            <v>-</v>
          </cell>
          <cell r="D189"/>
          <cell r="E189">
            <v>2.3501092420514198E-5</v>
          </cell>
          <cell r="F189">
            <v>1.02535090842138E-8</v>
          </cell>
          <cell r="G189">
            <v>1.38588355459674E-8</v>
          </cell>
          <cell r="H189">
            <v>1.82902068197257E-8</v>
          </cell>
          <cell r="I189">
            <v>3.0124358202581701E-8</v>
          </cell>
          <cell r="J189">
            <v>2.0404941501050701E-8</v>
          </cell>
          <cell r="K189">
            <v>3.9285455291019902E-7</v>
          </cell>
          <cell r="L189">
            <v>8.1544056231640398E-6</v>
          </cell>
          <cell r="M189">
            <v>1.02933511846472E-7</v>
          </cell>
          <cell r="N189">
            <v>2.3933462799584901E-6</v>
          </cell>
          <cell r="O189">
            <v>2.2950978263109101E-8</v>
          </cell>
        </row>
        <row r="190">
          <cell r="A190" t="str">
            <v>RHEM-SHCONBR6</v>
          </cell>
          <cell r="B190" t="str">
            <v>VAR_cap</v>
          </cell>
          <cell r="C190" t="str">
            <v>-</v>
          </cell>
          <cell r="D190"/>
          <cell r="E190">
            <v>2.3501092420514198E-5</v>
          </cell>
          <cell r="F190">
            <v>2.3511345929598401E-5</v>
          </cell>
          <cell r="G190">
            <v>2.3525204765144401E-5</v>
          </cell>
          <cell r="H190">
            <v>2.3543494971964099E-5</v>
          </cell>
          <cell r="I190">
            <v>2.35736193301667E-5</v>
          </cell>
          <cell r="J190">
            <v>2.35940242716678E-5</v>
          </cell>
          <cell r="K190">
            <v>1.6345800258802201E-5</v>
          </cell>
          <cell r="L190">
            <v>8.6293327079044007E-6</v>
          </cell>
          <cell r="M190">
            <v>8.7190131944440698E-6</v>
          </cell>
          <cell r="N190">
            <v>1.1092592896826E-5</v>
          </cell>
          <cell r="O190">
            <v>1.10868958876434E-5</v>
          </cell>
        </row>
        <row r="191">
          <cell r="A191" t="str">
            <v>RHEM-SHCONBR7</v>
          </cell>
          <cell r="B191" t="str">
            <v>VAR_fout</v>
          </cell>
          <cell r="C191" t="str">
            <v>RHEM-SHCON</v>
          </cell>
          <cell r="D191"/>
          <cell r="E191">
            <v>1.3670311211757508E-4</v>
          </cell>
          <cell r="F191">
            <v>1.3656526442063757E-4</v>
          </cell>
          <cell r="G191">
            <v>1.2541624198019163E-4</v>
          </cell>
          <cell r="H191">
            <v>1.308407345194037E-4</v>
          </cell>
          <cell r="I191">
            <v>1.3033284968009209E-4</v>
          </cell>
          <cell r="J191">
            <v>1.332205128165385E-4</v>
          </cell>
          <cell r="K191">
            <v>1.284477938084481E-4</v>
          </cell>
          <cell r="L191">
            <v>8.3540435389630927E-5</v>
          </cell>
          <cell r="M191">
            <v>9.6281272724679044E-5</v>
          </cell>
          <cell r="N191">
            <v>1.1458882826228599E-4</v>
          </cell>
          <cell r="O191">
            <v>1.230156895624172E-4</v>
          </cell>
        </row>
        <row r="192">
          <cell r="A192" t="str">
            <v>RHEM-SHCONBR7</v>
          </cell>
          <cell r="B192" t="str">
            <v>VAR_fin</v>
          </cell>
          <cell r="C192" t="str">
            <v>CON</v>
          </cell>
          <cell r="D192"/>
          <cell r="E192">
            <v>1.3670311211757508E-4</v>
          </cell>
          <cell r="F192">
            <v>1.3656526442063757E-4</v>
          </cell>
          <cell r="G192">
            <v>1.2541624198019163E-4</v>
          </cell>
          <cell r="H192">
            <v>1.308407345194037E-4</v>
          </cell>
          <cell r="I192">
            <v>1.3033284968009209E-4</v>
          </cell>
          <cell r="J192">
            <v>1.332205128165385E-4</v>
          </cell>
          <cell r="K192">
            <v>1.284477938084481E-4</v>
          </cell>
          <cell r="L192">
            <v>8.3540435389630927E-5</v>
          </cell>
          <cell r="M192">
            <v>9.6281272724679044E-5</v>
          </cell>
          <cell r="N192">
            <v>1.1458882826228599E-4</v>
          </cell>
          <cell r="O192">
            <v>1.230156895624172E-4</v>
          </cell>
        </row>
        <row r="193">
          <cell r="A193" t="str">
            <v>RHEM-SHCONBR7</v>
          </cell>
          <cell r="B193" t="str">
            <v>VAR_ncap</v>
          </cell>
          <cell r="C193" t="str">
            <v>-</v>
          </cell>
          <cell r="D193"/>
          <cell r="E193">
            <v>8.5104694389291202E-6</v>
          </cell>
          <cell r="F193">
            <v>1.10279422034965E-8</v>
          </cell>
          <cell r="G193">
            <v>1.48802578860305E-8</v>
          </cell>
          <cell r="H193">
            <v>1.9354121383447499E-8</v>
          </cell>
          <cell r="I193">
            <v>2.9819446211595097E-8</v>
          </cell>
          <cell r="J193">
            <v>2.1241765326385102E-8</v>
          </cell>
          <cell r="K193">
            <v>2.39946455395056E-6</v>
          </cell>
          <cell r="L193">
            <v>3.1314740868713701E-6</v>
          </cell>
          <cell r="M193">
            <v>1.25076395550598E-7</v>
          </cell>
          <cell r="N193">
            <v>2.1030656550192699E-6</v>
          </cell>
          <cell r="O193">
            <v>2.3979965913025101E-8</v>
          </cell>
        </row>
        <row r="194">
          <cell r="A194" t="str">
            <v>RHEM-SHCONBR7</v>
          </cell>
          <cell r="B194" t="str">
            <v>VAR_cap</v>
          </cell>
          <cell r="C194" t="str">
            <v>-</v>
          </cell>
          <cell r="D194"/>
          <cell r="E194">
            <v>8.5104694389291202E-6</v>
          </cell>
          <cell r="F194">
            <v>8.5214973811326201E-6</v>
          </cell>
          <cell r="G194">
            <v>8.5363776390186508E-6</v>
          </cell>
          <cell r="H194">
            <v>8.5557317604021002E-6</v>
          </cell>
          <cell r="I194">
            <v>8.5855512066136896E-6</v>
          </cell>
          <cell r="J194">
            <v>8.6067929719400799E-6</v>
          </cell>
          <cell r="K194">
            <v>8.2391876190582698E-6</v>
          </cell>
          <cell r="L194">
            <v>5.6155894577641299E-6</v>
          </cell>
          <cell r="M194">
            <v>5.7264303692939504E-6</v>
          </cell>
          <cell r="N194">
            <v>7.8089017087296195E-6</v>
          </cell>
          <cell r="O194">
            <v>7.8043024226312001E-6</v>
          </cell>
        </row>
        <row r="195">
          <cell r="A195" t="str">
            <v>RHEM-SHCONBR8</v>
          </cell>
          <cell r="B195" t="str">
            <v>VAR_fout</v>
          </cell>
          <cell r="C195" t="str">
            <v>RHEM-SHCON</v>
          </cell>
          <cell r="D195"/>
          <cell r="E195">
            <v>3.7123084066413231E-5</v>
          </cell>
          <cell r="F195">
            <v>3.7392876726121942E-5</v>
          </cell>
          <cell r="G195">
            <v>2.623300599371423E-5</v>
          </cell>
          <cell r="H195">
            <v>3.1684117674721547E-5</v>
          </cell>
          <cell r="I195">
            <v>3.0972775351388021E-5</v>
          </cell>
          <cell r="J195">
            <v>3.3836281345951079E-5</v>
          </cell>
          <cell r="K195">
            <v>5.0047789080694608E-5</v>
          </cell>
          <cell r="L195">
            <v>3.1242195780304976E-5</v>
          </cell>
          <cell r="M195">
            <v>4.4312007197946847E-5</v>
          </cell>
          <cell r="N195">
            <v>4.793513498641411E-5</v>
          </cell>
          <cell r="O195">
            <v>5.9062698389259121E-5</v>
          </cell>
        </row>
        <row r="196">
          <cell r="A196" t="str">
            <v>RHEM-SHCONBR8</v>
          </cell>
          <cell r="B196" t="str">
            <v>VAR_fin</v>
          </cell>
          <cell r="C196" t="str">
            <v>CON</v>
          </cell>
          <cell r="D196"/>
          <cell r="E196">
            <v>3.7123084066413231E-5</v>
          </cell>
          <cell r="F196">
            <v>3.7392876726121942E-5</v>
          </cell>
          <cell r="G196">
            <v>2.623300599371423E-5</v>
          </cell>
          <cell r="H196">
            <v>3.1684117674721547E-5</v>
          </cell>
          <cell r="I196">
            <v>3.0972775351388021E-5</v>
          </cell>
          <cell r="J196">
            <v>3.3836281345951079E-5</v>
          </cell>
          <cell r="K196">
            <v>5.0047789080694608E-5</v>
          </cell>
          <cell r="L196">
            <v>3.1242195780304976E-5</v>
          </cell>
          <cell r="M196">
            <v>4.4312007197946847E-5</v>
          </cell>
          <cell r="N196">
            <v>4.793513498641411E-5</v>
          </cell>
          <cell r="O196">
            <v>5.9062698389259121E-5</v>
          </cell>
        </row>
        <row r="197">
          <cell r="A197" t="str">
            <v>RHEM-SHCONBR8</v>
          </cell>
          <cell r="B197" t="str">
            <v>VAR_ncap</v>
          </cell>
          <cell r="C197" t="str">
            <v>-</v>
          </cell>
          <cell r="D197"/>
          <cell r="E197">
            <v>1.47733990493621E-6</v>
          </cell>
          <cell r="F197">
            <v>1.67629831254017E-8</v>
          </cell>
          <cell r="G197">
            <v>2.54066666479755E-8</v>
          </cell>
          <cell r="H197">
            <v>1.8049331804979E-8</v>
          </cell>
          <cell r="I197">
            <v>1.66791516866756E-8</v>
          </cell>
          <cell r="J197">
            <v>1.7982280669539501E-8</v>
          </cell>
          <cell r="K197">
            <v>1.6052768208684001E-6</v>
          </cell>
          <cell r="L197">
            <v>2.31694056071158E-7</v>
          </cell>
          <cell r="M197">
            <v>1.5563701416869699E-7</v>
          </cell>
          <cell r="N197">
            <v>1.0642336270248799E-6</v>
          </cell>
          <cell r="O197">
            <v>2.6839241324749501E-8</v>
          </cell>
        </row>
        <row r="198">
          <cell r="A198" t="str">
            <v>RHEM-SHCONBR8</v>
          </cell>
          <cell r="B198" t="str">
            <v>VAR_cap</v>
          </cell>
          <cell r="C198" t="str">
            <v>-</v>
          </cell>
          <cell r="D198"/>
          <cell r="E198">
            <v>1.47733990493621E-6</v>
          </cell>
          <cell r="F198">
            <v>1.4941028880616099E-6</v>
          </cell>
          <cell r="G198">
            <v>1.5195095547095899E-6</v>
          </cell>
          <cell r="H198">
            <v>1.5375588865145601E-6</v>
          </cell>
          <cell r="I198">
            <v>1.55423803820124E-6</v>
          </cell>
          <cell r="J198">
            <v>1.5722203188707799E-6</v>
          </cell>
          <cell r="K198">
            <v>2.6971590311957899E-6</v>
          </cell>
          <cell r="L198">
            <v>1.91336019612743E-6</v>
          </cell>
          <cell r="M198">
            <v>2.0453186552694498E-6</v>
          </cell>
          <cell r="N198">
            <v>3.0920887621600902E-6</v>
          </cell>
          <cell r="O198">
            <v>3.1016630401274201E-6</v>
          </cell>
          <cell r="P198"/>
          <cell r="Q198"/>
          <cell r="R198"/>
        </row>
        <row r="199">
          <cell r="A199" t="str">
            <v>RHES-SHELCHP</v>
          </cell>
          <cell r="B199" t="str">
            <v>VAR_fout</v>
          </cell>
          <cell r="C199" t="str">
            <v>RHES-SHAELCH</v>
          </cell>
          <cell r="D199">
            <v>9.1578075495681457</v>
          </cell>
          <cell r="E199">
            <v>10.275907694430435</v>
          </cell>
          <cell r="F199">
            <v>10.275909478608481</v>
          </cell>
          <cell r="G199">
            <v>10.63998837586743</v>
          </cell>
          <cell r="H199">
            <v>16.707600687466488</v>
          </cell>
          <cell r="I199">
            <v>16.707604775143899</v>
          </cell>
          <cell r="J199">
            <v>21.221036393165278</v>
          </cell>
          <cell r="K199">
            <v>27.209510041496205</v>
          </cell>
          <cell r="L199">
            <v>29.659441959925484</v>
          </cell>
          <cell r="M199">
            <v>30.030816982682289</v>
          </cell>
          <cell r="N199">
            <v>30.030836413877747</v>
          </cell>
          <cell r="O199">
            <v>30.030842245487623</v>
          </cell>
        </row>
        <row r="200">
          <cell r="A200" t="str">
            <v>RHES-SHELCHP</v>
          </cell>
          <cell r="B200" t="str">
            <v>VAR_fin</v>
          </cell>
          <cell r="C200" t="str">
            <v>RHES_ELC</v>
          </cell>
          <cell r="D200">
            <v>2.8618148167943689</v>
          </cell>
          <cell r="E200">
            <v>3.1585781361017764</v>
          </cell>
          <cell r="F200">
            <v>3.0827728435825388</v>
          </cell>
          <cell r="G200">
            <v>3.0692274161155999</v>
          </cell>
          <cell r="H200">
            <v>4.6625862383627386</v>
          </cell>
          <cell r="I200">
            <v>4.5155688581469988</v>
          </cell>
          <cell r="J200">
            <v>5.5844832613592903</v>
          </cell>
          <cell r="K200">
            <v>6.9767974465374882</v>
          </cell>
          <cell r="L200">
            <v>7.604985117929612</v>
          </cell>
          <cell r="M200">
            <v>7.7002094827390444</v>
          </cell>
          <cell r="N200">
            <v>7.7002144650968507</v>
          </cell>
          <cell r="O200">
            <v>7.7002159603814491</v>
          </cell>
          <cell r="Q200"/>
        </row>
        <row r="201">
          <cell r="A201" t="str">
            <v>RHES-SHELCHP</v>
          </cell>
          <cell r="B201" t="str">
            <v>VAR_fin</v>
          </cell>
          <cell r="C201" t="str">
            <v>RHESELCHPC</v>
          </cell>
          <cell r="D201">
            <v>9.1578075495681457</v>
          </cell>
          <cell r="E201">
            <v>10.275907694430435</v>
          </cell>
          <cell r="F201">
            <v>10.275909478608481</v>
          </cell>
          <cell r="G201">
            <v>10.63998837586743</v>
          </cell>
          <cell r="H201">
            <v>16.707600687466488</v>
          </cell>
          <cell r="I201">
            <v>16.707604775143899</v>
          </cell>
          <cell r="J201">
            <v>21.221036393165278</v>
          </cell>
          <cell r="K201">
            <v>27.209510041496205</v>
          </cell>
          <cell r="L201">
            <v>29.659441959925484</v>
          </cell>
          <cell r="M201">
            <v>30.030816982682289</v>
          </cell>
          <cell r="N201">
            <v>30.030836413877747</v>
          </cell>
          <cell r="O201">
            <v>30.030842245487623</v>
          </cell>
          <cell r="P201"/>
          <cell r="Q201"/>
          <cell r="R201"/>
          <cell r="S201"/>
        </row>
        <row r="202">
          <cell r="A202" t="str">
            <v>RHES-SHELCHP</v>
          </cell>
          <cell r="B202" t="str">
            <v>VAR_ncap</v>
          </cell>
          <cell r="C202" t="str">
            <v>-</v>
          </cell>
          <cell r="D202">
            <v>8.0710960727798794E-8</v>
          </cell>
          <cell r="E202">
            <v>9.0328823443681705E-2</v>
          </cell>
          <cell r="F202">
            <v>1.54965402574062E-5</v>
          </cell>
          <cell r="G202">
            <v>2.9425240270041699E-2</v>
          </cell>
          <cell r="H202">
            <v>1.0845790650421101</v>
          </cell>
          <cell r="I202">
            <v>0.241382296316759</v>
          </cell>
          <cell r="J202">
            <v>0.38846579180171498</v>
          </cell>
          <cell r="K202">
            <v>1.57226086848244</v>
          </cell>
          <cell r="L202">
            <v>0.45436871323769501</v>
          </cell>
          <cell r="M202">
            <v>0.39977749264393603</v>
          </cell>
          <cell r="N202">
            <v>1.44678730933908</v>
          </cell>
          <cell r="O202">
            <v>0.58638029018934101</v>
          </cell>
        </row>
        <row r="203">
          <cell r="A203" t="str">
            <v>RHES-SHELCHP</v>
          </cell>
          <cell r="B203" t="str">
            <v>VAR_cap</v>
          </cell>
          <cell r="C203" t="str">
            <v>-</v>
          </cell>
          <cell r="D203">
            <v>0.73983800863632565</v>
          </cell>
          <cell r="E203">
            <v>0.83016680593644621</v>
          </cell>
          <cell r="F203">
            <v>0.83018219610338262</v>
          </cell>
          <cell r="G203">
            <v>0.85960736218062228</v>
          </cell>
          <cell r="H203">
            <v>1.3521643038274869</v>
          </cell>
          <cell r="I203">
            <v>1.349791556318535</v>
          </cell>
          <cell r="J203">
            <v>1.7144270314377608</v>
          </cell>
          <cell r="K203">
            <v>2.2021087249661342</v>
          </cell>
          <cell r="L203">
            <v>2.4007145998936319</v>
          </cell>
          <cell r="M203">
            <v>2.4264068211633165</v>
          </cell>
          <cell r="N203">
            <v>2.4353739319553562</v>
          </cell>
          <cell r="O203">
            <v>2.4329448532680189</v>
          </cell>
        </row>
        <row r="204">
          <cell r="A204" t="str">
            <v>RHSA-WHELCHP</v>
          </cell>
          <cell r="B204" t="str">
            <v>VAR_fout</v>
          </cell>
          <cell r="C204" t="str">
            <v>RHSA-WHAELCH</v>
          </cell>
          <cell r="D204">
            <v>3.2398917483115044</v>
          </cell>
          <cell r="E204">
            <v>3.6354570855380706</v>
          </cell>
          <cell r="F204">
            <v>4.9681998932746305</v>
          </cell>
          <cell r="G204">
            <v>7.4568059517513881</v>
          </cell>
          <cell r="H204">
            <v>11.553679794506447</v>
          </cell>
          <cell r="I204">
            <v>9.715578662913309</v>
          </cell>
          <cell r="J204">
            <v>12.737872018451743</v>
          </cell>
          <cell r="K204">
            <v>16.440998568139477</v>
          </cell>
          <cell r="L204">
            <v>17.005730183647284</v>
          </cell>
          <cell r="M204">
            <v>16.989053296505901</v>
          </cell>
          <cell r="N204">
            <v>16.875875213510767</v>
          </cell>
          <cell r="O204">
            <v>18.998472861823707</v>
          </cell>
        </row>
        <row r="205">
          <cell r="A205" t="str">
            <v>RHSA-WHELCHP</v>
          </cell>
          <cell r="B205" t="str">
            <v>VAR_fin</v>
          </cell>
          <cell r="C205" t="str">
            <v>RHSA_ELC</v>
          </cell>
          <cell r="D205">
            <v>1.148897783089186</v>
          </cell>
          <cell r="E205">
            <v>1.2864320897162314</v>
          </cell>
          <cell r="F205">
            <v>1.7524514614725328</v>
          </cell>
          <cell r="G205">
            <v>2.6164231409653995</v>
          </cell>
          <cell r="H205">
            <v>3.9432354247462316</v>
          </cell>
          <cell r="I205">
            <v>3.2277669976456167</v>
          </cell>
          <cell r="J205">
            <v>4.1559125671946981</v>
          </cell>
          <cell r="K205">
            <v>5.2695508231216239</v>
          </cell>
          <cell r="L205">
            <v>5.450554546040796</v>
          </cell>
          <cell r="M205">
            <v>5.4452093899057372</v>
          </cell>
          <cell r="N205">
            <v>5.4089343633047289</v>
          </cell>
          <cell r="O205">
            <v>6.0892541223793906</v>
          </cell>
        </row>
        <row r="206">
          <cell r="A206" t="str">
            <v>RHSA-WHELCHP</v>
          </cell>
          <cell r="B206" t="str">
            <v>VAR_ncap</v>
          </cell>
          <cell r="C206" t="str">
            <v>-</v>
          </cell>
          <cell r="D206">
            <v>1.8326453618759701E-6</v>
          </cell>
          <cell r="E206">
            <v>3.2772064862861001E-2</v>
          </cell>
          <cell r="F206">
            <v>9.3448704265943802E-2</v>
          </cell>
          <cell r="G206">
            <v>0.170100615360261</v>
          </cell>
          <cell r="H206">
            <v>0.45317161862122302</v>
          </cell>
          <cell r="I206">
            <v>5.1607549735904E-2</v>
          </cell>
          <cell r="J206">
            <v>0.36461400105231001</v>
          </cell>
          <cell r="K206">
            <v>0.70752504165910701</v>
          </cell>
          <cell r="L206">
            <v>0.130582778523328</v>
          </cell>
          <cell r="M206">
            <v>0.32309753009156</v>
          </cell>
          <cell r="N206">
            <v>0.61586687971423004</v>
          </cell>
          <cell r="O206">
            <v>0.347257561329053</v>
          </cell>
        </row>
        <row r="207">
          <cell r="A207" t="str">
            <v>RHSA-WHELCHP</v>
          </cell>
          <cell r="B207" t="str">
            <v>VAR_cap</v>
          </cell>
          <cell r="C207" t="str">
            <v>-</v>
          </cell>
          <cell r="D207">
            <v>0.21335449506460288</v>
          </cell>
          <cell r="E207">
            <v>0.24612650333675012</v>
          </cell>
          <cell r="F207">
            <v>0.33957507664095932</v>
          </cell>
          <cell r="G207">
            <v>0.50967553985532343</v>
          </cell>
          <cell r="H207">
            <v>0.78884098758843457</v>
          </cell>
          <cell r="I207">
            <v>0.66214226221785288</v>
          </cell>
          <cell r="J207">
            <v>0.86939296929619259</v>
          </cell>
          <cell r="K207">
            <v>1.1237462268502489</v>
          </cell>
          <cell r="L207">
            <v>1.1623414845810973</v>
          </cell>
          <cell r="M207">
            <v>1.1612049505234419</v>
          </cell>
          <cell r="N207">
            <v>1.1534682759238604</v>
          </cell>
          <cell r="O207">
            <v>1.2862215897491349</v>
          </cell>
        </row>
        <row r="208">
          <cell r="A208" t="str">
            <v>D-ITOT_LTH_CHP</v>
          </cell>
          <cell r="B208" t="str">
            <v>VAR_fout</v>
          </cell>
          <cell r="C208" t="str">
            <v>ITOT_LTH_CHP_ON</v>
          </cell>
          <cell r="D208">
            <v>5.6086424772580266</v>
          </cell>
          <cell r="E208">
            <v>6.0095210035573388</v>
          </cell>
          <cell r="F208">
            <v>6.1300359946941665</v>
          </cell>
          <cell r="G208">
            <v>7.7028522832933151</v>
          </cell>
          <cell r="H208">
            <v>6.9735264626472864</v>
          </cell>
          <cell r="I208">
            <v>10.8448951897992</v>
          </cell>
          <cell r="J208">
            <v>13.600134021727232</v>
          </cell>
          <cell r="K208">
            <v>13.921404602925147</v>
          </cell>
          <cell r="L208">
            <v>14.093213686749536</v>
          </cell>
          <cell r="M208">
            <v>14.043544171979322</v>
          </cell>
          <cell r="N208">
            <v>14.248080323868923</v>
          </cell>
          <cell r="O208">
            <v>14.245651223208535</v>
          </cell>
        </row>
        <row r="209">
          <cell r="A209" t="str">
            <v>D-ITOT_LTH_CHP</v>
          </cell>
          <cell r="B209" t="str">
            <v>VAR_fout</v>
          </cell>
          <cell r="C209" t="str">
            <v>LTH</v>
          </cell>
          <cell r="D209"/>
          <cell r="E209">
            <v>2.9526135242444761E-5</v>
          </cell>
          <cell r="F209">
            <v>3.6146462548942919E-3</v>
          </cell>
          <cell r="G209">
            <v>1.6196205590770078E-4</v>
          </cell>
          <cell r="H209">
            <v>3.2036384611798665E-4</v>
          </cell>
          <cell r="I209">
            <v>2.6772497639531521E-2</v>
          </cell>
          <cell r="J209">
            <v>4.0622039310366738E-2</v>
          </cell>
          <cell r="K209">
            <v>3.674325769334464E-2</v>
          </cell>
          <cell r="L209">
            <v>5.0029504654162879E-2</v>
          </cell>
          <cell r="M209">
            <v>5.7450690074275411E-2</v>
          </cell>
          <cell r="N209">
            <v>6.6545034649883886E-2</v>
          </cell>
          <cell r="O209">
            <v>8.7823206683116412E-2</v>
          </cell>
        </row>
        <row r="210">
          <cell r="A210" t="str">
            <v>D-ITOT_LTH_CHP</v>
          </cell>
          <cell r="B210" t="str">
            <v>VAR_fin</v>
          </cell>
          <cell r="C210" t="str">
            <v>ITOT_LTH_CHP</v>
          </cell>
          <cell r="D210">
            <v>5.6086424772580266</v>
          </cell>
          <cell r="E210">
            <v>6.0095505296925884</v>
          </cell>
          <cell r="F210">
            <v>6.1336506409490532</v>
          </cell>
          <cell r="G210">
            <v>7.7030142453492267</v>
          </cell>
          <cell r="H210">
            <v>6.9738468264934026</v>
          </cell>
          <cell r="I210">
            <v>10.87166768743873</v>
          </cell>
          <cell r="J210">
            <v>13.640756061037596</v>
          </cell>
          <cell r="K210">
            <v>13.958147860618492</v>
          </cell>
          <cell r="L210">
            <v>14.143243191403696</v>
          </cell>
          <cell r="M210">
            <v>14.100994862053582</v>
          </cell>
          <cell r="N210">
            <v>14.314625358518803</v>
          </cell>
          <cell r="O210">
            <v>14.333474429891654</v>
          </cell>
        </row>
        <row r="211">
          <cell r="A211" t="str">
            <v>RHEM-SHCONBR9</v>
          </cell>
          <cell r="B211" t="str">
            <v>VAR_fout</v>
          </cell>
          <cell r="C211" t="str">
            <v>RHEM-SHCON</v>
          </cell>
          <cell r="D211"/>
          <cell r="E211">
            <v>1.6318684766565098E-5</v>
          </cell>
          <cell r="F211">
            <v>1.6786517473300634E-5</v>
          </cell>
          <cell r="G211">
            <v>8.749509816600957E-6</v>
          </cell>
          <cell r="H211">
            <v>1.4077769278207939E-5</v>
          </cell>
          <cell r="I211">
            <v>1.3224026057527486E-5</v>
          </cell>
          <cell r="J211">
            <v>1.5939547442299423E-5</v>
          </cell>
          <cell r="K211">
            <v>1.9725786570989628E-5</v>
          </cell>
          <cell r="L211">
            <v>1.1348100621514264E-5</v>
          </cell>
          <cell r="M211">
            <v>2.1342326518911325E-5</v>
          </cell>
          <cell r="N211">
            <v>1.6909348381774675E-5</v>
          </cell>
          <cell r="O211">
            <v>3.145083803094346E-5</v>
          </cell>
        </row>
        <row r="212">
          <cell r="A212" t="str">
            <v>RHEM-SHCONBR9</v>
          </cell>
          <cell r="B212" t="str">
            <v>VAR_fin</v>
          </cell>
          <cell r="C212" t="str">
            <v>CON</v>
          </cell>
          <cell r="D212"/>
          <cell r="E212">
            <v>1.6318684766565098E-5</v>
          </cell>
          <cell r="F212">
            <v>1.6786517473300634E-5</v>
          </cell>
          <cell r="G212">
            <v>8.749509816600957E-6</v>
          </cell>
          <cell r="H212">
            <v>1.4077769278207939E-5</v>
          </cell>
          <cell r="I212">
            <v>1.3224026057527486E-5</v>
          </cell>
          <cell r="J212">
            <v>1.5939547442299423E-5</v>
          </cell>
          <cell r="K212">
            <v>1.9725786570989628E-5</v>
          </cell>
          <cell r="L212">
            <v>1.1348100621514264E-5</v>
          </cell>
          <cell r="M212">
            <v>2.1342326518911325E-5</v>
          </cell>
          <cell r="N212">
            <v>1.6909348381774675E-5</v>
          </cell>
          <cell r="O212">
            <v>3.145083803094346E-5</v>
          </cell>
        </row>
        <row r="213">
          <cell r="A213" t="str">
            <v>RHEM-SHCONBR9</v>
          </cell>
          <cell r="B213" t="str">
            <v>VAR_ncap</v>
          </cell>
          <cell r="C213" t="str">
            <v>-</v>
          </cell>
          <cell r="D213"/>
          <cell r="E213"/>
          <cell r="F213">
            <v>2.15352471899644E-8</v>
          </cell>
          <cell r="G213">
            <v>2.5070379104110003E-7</v>
          </cell>
          <cell r="H213"/>
          <cell r="I213"/>
          <cell r="J213"/>
          <cell r="K213">
            <v>2.5041736636085098E-7</v>
          </cell>
          <cell r="L213">
            <v>5.58046161197343E-8</v>
          </cell>
          <cell r="M213">
            <v>8.5864827888856697E-8</v>
          </cell>
          <cell r="N213">
            <v>4.8321698168006503E-7</v>
          </cell>
          <cell r="O213">
            <v>2.5293810193006999E-8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D214"/>
          <cell r="E214"/>
          <cell r="F214">
            <v>2.15352471899644E-8</v>
          </cell>
          <cell r="G214">
            <v>2.7223903823106398E-7</v>
          </cell>
          <cell r="H214">
            <v>2.7223903823106398E-7</v>
          </cell>
          <cell r="I214">
            <v>2.7223903823106398E-7</v>
          </cell>
          <cell r="J214">
            <v>2.7223903823106398E-7</v>
          </cell>
          <cell r="K214">
            <v>5.2265640459191502E-7</v>
          </cell>
          <cell r="L214">
            <v>4.9619838338911801E-7</v>
          </cell>
          <cell r="M214">
            <v>3.9208681036944198E-7</v>
          </cell>
          <cell r="N214">
            <v>8.7530379204950696E-7</v>
          </cell>
          <cell r="O214">
            <v>9.0059760224251399E-7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D215">
            <v>4.2612079552359763</v>
          </cell>
          <cell r="E215">
            <v>4.61764969638529</v>
          </cell>
          <cell r="F215">
            <v>4.8270192435282011</v>
          </cell>
          <cell r="G215">
            <v>5.2002194594314446</v>
          </cell>
          <cell r="H215">
            <v>5.2002339515068474</v>
          </cell>
          <cell r="I215">
            <v>5.2002433115936402</v>
          </cell>
          <cell r="J215">
            <v>5.2002581594310513</v>
          </cell>
          <cell r="K215">
            <v>10.387036607109955</v>
          </cell>
          <cell r="L215">
            <v>10.387038944882779</v>
          </cell>
          <cell r="M215">
            <v>10.387042321577741</v>
          </cell>
          <cell r="N215">
            <v>10.387046063598063</v>
          </cell>
          <cell r="O215">
            <v>10.739486309271044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D216">
            <v>4.2612079552359763</v>
          </cell>
          <cell r="E216">
            <v>4.61764969638529</v>
          </cell>
          <cell r="F216">
            <v>4.8270192435282011</v>
          </cell>
          <cell r="G216">
            <v>5.2002194594314446</v>
          </cell>
          <cell r="H216">
            <v>5.2002339515068474</v>
          </cell>
          <cell r="I216">
            <v>5.2002433115936402</v>
          </cell>
          <cell r="J216">
            <v>5.2002581594310513</v>
          </cell>
          <cell r="K216">
            <v>10.387036607109955</v>
          </cell>
          <cell r="L216">
            <v>10.387038944882779</v>
          </cell>
          <cell r="M216">
            <v>10.387042321577741</v>
          </cell>
          <cell r="N216">
            <v>10.387046063598063</v>
          </cell>
          <cell r="O216">
            <v>10.739486309271044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D217">
            <v>1.3316274860112429</v>
          </cell>
          <cell r="E217">
            <v>1.4252005235757079</v>
          </cell>
          <cell r="F217">
            <v>1.4627331040994567</v>
          </cell>
          <cell r="G217">
            <v>1.5294763115974817</v>
          </cell>
          <cell r="H217">
            <v>1.4857811290019569</v>
          </cell>
          <cell r="I217">
            <v>1.4445120309982347</v>
          </cell>
          <cell r="J217">
            <v>1.4054751782246082</v>
          </cell>
          <cell r="K217">
            <v>2.7334306860815683</v>
          </cell>
          <cell r="L217">
            <v>2.7334313012849396</v>
          </cell>
          <cell r="M217">
            <v>2.7334321898888794</v>
          </cell>
          <cell r="N217">
            <v>2.7334331746310676</v>
          </cell>
          <cell r="O217">
            <v>2.8261806077029092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D218">
            <v>4.4913761193142399E-8</v>
          </cell>
          <cell r="E218">
            <v>1.38222630782159E-7</v>
          </cell>
          <cell r="F218">
            <v>1.9475601840933901E-7</v>
          </cell>
          <cell r="G218">
            <v>5.0279213126745702E-7</v>
          </cell>
          <cell r="H218">
            <v>0.29569350256400601</v>
          </cell>
          <cell r="I218">
            <v>0.11168245905738999</v>
          </cell>
          <cell r="J218">
            <v>5.5038166897339899E-5</v>
          </cell>
          <cell r="K218">
            <v>0.70301632819278004</v>
          </cell>
          <cell r="L218">
            <v>9.1805802168285197E-2</v>
          </cell>
          <cell r="M218">
            <v>9.6096971065999896E-3</v>
          </cell>
          <cell r="N218">
            <v>0.60689199333536004</v>
          </cell>
          <cell r="O218">
            <v>0.22410190911823599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D219">
            <v>0.43061735836754922</v>
          </cell>
          <cell r="E219">
            <v>0.43061657329217468</v>
          </cell>
          <cell r="F219">
            <v>0.43061572859895147</v>
          </cell>
          <cell r="G219">
            <v>0.43061562752307253</v>
          </cell>
          <cell r="H219">
            <v>0.40736704798584839</v>
          </cell>
          <cell r="I219">
            <v>0.40737606391103875</v>
          </cell>
          <cell r="J219">
            <v>0.40743072571523076</v>
          </cell>
          <cell r="K219">
            <v>0.81475334075883143</v>
          </cell>
          <cell r="L219">
            <v>0.81202938415541603</v>
          </cell>
          <cell r="M219">
            <v>0.80443122256449229</v>
          </cell>
          <cell r="N219">
            <v>0.80372218701552589</v>
          </cell>
          <cell r="O219">
            <v>0.84060261265989866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D220">
            <v>6.8327827368505539E-2</v>
          </cell>
          <cell r="E220">
            <v>0.16989375430360287</v>
          </cell>
          <cell r="F220">
            <v>7.9109934804958947E-3</v>
          </cell>
          <cell r="G220">
            <v>0.1685962554866223</v>
          </cell>
          <cell r="H220">
            <v>0.11538518574709564</v>
          </cell>
          <cell r="I220"/>
          <cell r="J220"/>
          <cell r="L220">
            <v>0.11603954741806605</v>
          </cell>
          <cell r="M220">
            <v>0.11503617163173177</v>
          </cell>
          <cell r="N220">
            <v>0.16792480284779437</v>
          </cell>
          <cell r="O220">
            <v>0.16412804045777676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D221">
            <v>2.1731154401029343E-3</v>
          </cell>
          <cell r="E221">
            <v>1.5771323308534965E-3</v>
          </cell>
          <cell r="F221">
            <v>8.0747964421148835E-4</v>
          </cell>
          <cell r="G221">
            <v>2.3852091995868333E-3</v>
          </cell>
          <cell r="H221">
            <v>5.578719471225E-2</v>
          </cell>
          <cell r="I221"/>
          <cell r="J221"/>
          <cell r="L221">
            <v>2.027313789328957E-3</v>
          </cell>
          <cell r="M221">
            <v>2.8103574545142885E-3</v>
          </cell>
          <cell r="N221">
            <v>2.5188663400509763E-3</v>
          </cell>
          <cell r="O221">
            <v>5.1398486647608755E-3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D222">
            <v>7.0500942808608538E-2</v>
          </cell>
          <cell r="E222">
            <v>0.17147088663445637</v>
          </cell>
          <cell r="F222">
            <v>8.7153436827114624E-3</v>
          </cell>
          <cell r="G222">
            <v>0.17098002725649042</v>
          </cell>
          <cell r="H222">
            <v>0.17116995479924843</v>
          </cell>
          <cell r="I222"/>
          <cell r="J222"/>
          <cell r="K222"/>
          <cell r="L222">
            <v>0.11806463767851348</v>
          </cell>
          <cell r="M222">
            <v>0.11784286409429016</v>
          </cell>
          <cell r="N222">
            <v>0.17043959432884806</v>
          </cell>
          <cell r="O222">
            <v>0.16926219395913683</v>
          </cell>
        </row>
        <row r="223">
          <cell r="A223" t="str">
            <v>RHNS-SHELCBR</v>
          </cell>
          <cell r="B223" t="str">
            <v>VAR_fout</v>
          </cell>
          <cell r="C223" t="str">
            <v>RHNS-SHAELCB</v>
          </cell>
          <cell r="D223"/>
          <cell r="E223">
            <v>6.9061260978742905E-2</v>
          </cell>
          <cell r="F223">
            <v>7.2892038718212579E-2</v>
          </cell>
          <cell r="G223">
            <v>1.6975633232047995E-3</v>
          </cell>
          <cell r="H223">
            <v>1.1808981120953084E-3</v>
          </cell>
          <cell r="I223">
            <v>3.8222417532053458E-4</v>
          </cell>
          <cell r="J223">
            <v>9.1648697146771757E-4</v>
          </cell>
          <cell r="K223">
            <v>1.6586985488032443E-3</v>
          </cell>
          <cell r="L223">
            <v>9.6514859733980911E-4</v>
          </cell>
          <cell r="M223">
            <v>1.6402139924721931E-3</v>
          </cell>
          <cell r="N223">
            <v>1.5559378632989957E-3</v>
          </cell>
          <cell r="O223">
            <v>2.3709780365390168E-3</v>
          </cell>
        </row>
        <row r="224">
          <cell r="A224" t="str">
            <v>RHNS-SHELCBR</v>
          </cell>
          <cell r="B224" t="str">
            <v>VAR_fin</v>
          </cell>
          <cell r="C224" t="str">
            <v>RHNS_ELC</v>
          </cell>
          <cell r="D224"/>
          <cell r="E224">
            <v>7.2696064188150458E-2</v>
          </cell>
          <cell r="F224">
            <v>7.6728461808644899E-2</v>
          </cell>
          <cell r="G224">
            <v>1.7869087612682093E-3</v>
          </cell>
          <cell r="H224">
            <v>1.24305064431085E-3</v>
          </cell>
          <cell r="I224">
            <v>4.0234123717951004E-4</v>
          </cell>
          <cell r="J224">
            <v>9.6472312786075542E-4</v>
          </cell>
          <cell r="K224">
            <v>1.7459984724244671E-3</v>
          </cell>
          <cell r="L224">
            <v>1.0159458919366405E-3</v>
          </cell>
          <cell r="M224">
            <v>1.7265410447075706E-3</v>
          </cell>
          <cell r="N224">
            <v>1.6378293297884148E-3</v>
          </cell>
          <cell r="O224">
            <v>2.4957663542515976E-3</v>
          </cell>
        </row>
        <row r="225">
          <cell r="A225" t="str">
            <v>RHNS-SHELCBR</v>
          </cell>
          <cell r="B225" t="str">
            <v>VAR_ncap</v>
          </cell>
          <cell r="C225" t="str">
            <v>-</v>
          </cell>
          <cell r="D225"/>
          <cell r="E225">
            <v>5.41491902199457E-3</v>
          </cell>
          <cell r="F225"/>
          <cell r="G225"/>
          <cell r="H225">
            <v>5.0215244923902102E-5</v>
          </cell>
          <cell r="I225"/>
          <cell r="J225">
            <v>1.34744004574904E-4</v>
          </cell>
          <cell r="L225">
            <v>1.16595781545469E-5</v>
          </cell>
          <cell r="M225">
            <v>1.9780058705316E-4</v>
          </cell>
          <cell r="N225">
            <v>2.47334739737574E-6</v>
          </cell>
          <cell r="O225">
            <v>1.18011756126867E-4</v>
          </cell>
        </row>
        <row r="226">
          <cell r="A226" t="str">
            <v>RHNS-SHELCBR</v>
          </cell>
          <cell r="B226" t="str">
            <v>VAR_cap</v>
          </cell>
          <cell r="C226" t="str">
            <v>-</v>
          </cell>
          <cell r="D226"/>
          <cell r="E226">
            <v>5.41491902199457E-3</v>
          </cell>
          <cell r="F226">
            <v>5.4141757824975765E-3</v>
          </cell>
          <cell r="G226">
            <v>2.3277966154923013E-4</v>
          </cell>
          <cell r="H226">
            <v>1.5658849045137009E-4</v>
          </cell>
          <cell r="I226">
            <v>5.0010390705104253E-5</v>
          </cell>
          <cell r="J226">
            <v>1.3504566857411592E-4</v>
          </cell>
          <cell r="K226">
            <v>1.346586308786454E-4</v>
          </cell>
          <cell r="L226">
            <v>1.2786143378053694E-4</v>
          </cell>
          <cell r="M226">
            <v>2.0922438013650814E-4</v>
          </cell>
          <cell r="N226">
            <v>2.0628145770134284E-4</v>
          </cell>
          <cell r="O226">
            <v>3.1699554199672949E-4</v>
          </cell>
        </row>
        <row r="227">
          <cell r="A227" t="str">
            <v>ITOT-SWHSTG-SOL</v>
          </cell>
          <cell r="B227" t="str">
            <v>VAR_fout</v>
          </cell>
          <cell r="C227" t="str">
            <v>ITOT-SWHASOL</v>
          </cell>
          <cell r="D227">
            <v>3.4956908997503593E-5</v>
          </cell>
          <cell r="E227">
            <v>3.6516191988152319E-5</v>
          </cell>
          <cell r="F227">
            <v>3.0329786046674008E-4</v>
          </cell>
          <cell r="G227">
            <v>3.0988376599579457E-4</v>
          </cell>
          <cell r="H227">
            <v>4.0275571118924793E-4</v>
          </cell>
          <cell r="I227">
            <v>1.4526562183837357E-3</v>
          </cell>
          <cell r="J227">
            <v>1.1326711110972586E-3</v>
          </cell>
          <cell r="K227">
            <v>4.8784319220991651E-4</v>
          </cell>
          <cell r="L227">
            <v>9.3552503383312162E-4</v>
          </cell>
          <cell r="M227">
            <v>9.6736393764413708E-4</v>
          </cell>
          <cell r="N227">
            <v>2.1126541212898977E-3</v>
          </cell>
          <cell r="O227">
            <v>1.9106859730096402E-3</v>
          </cell>
        </row>
        <row r="228">
          <cell r="A228" t="str">
            <v>ITOT-SWHSTG-SOL</v>
          </cell>
          <cell r="B228" t="str">
            <v>VAR_fin</v>
          </cell>
          <cell r="C228" t="str">
            <v>ITOT-SWHASOL</v>
          </cell>
          <cell r="D228">
            <v>2.9722087195673043E-5</v>
          </cell>
          <cell r="E228">
            <v>3.4014994112856843E-5</v>
          </cell>
          <cell r="F228">
            <v>3.7507938769985931E-4</v>
          </cell>
          <cell r="G228">
            <v>3.734199204597452E-4</v>
          </cell>
          <cell r="H228">
            <v>4.7453541573648413E-4</v>
          </cell>
          <cell r="I228">
            <v>1.695465966894652E-3</v>
          </cell>
          <cell r="J228">
            <v>1.2821155165307623E-3</v>
          </cell>
          <cell r="K228">
            <v>5.2776065193168523E-4</v>
          </cell>
          <cell r="L228">
            <v>1.0313263736885763E-3</v>
          </cell>
          <cell r="M228">
            <v>1.0537616193118887E-3</v>
          </cell>
          <cell r="N228">
            <v>2.3359527413365261E-3</v>
          </cell>
          <cell r="O228">
            <v>2.0784033637402739E-3</v>
          </cell>
        </row>
        <row r="229">
          <cell r="A229" t="str">
            <v>ITOT-SWHSTG-SOL</v>
          </cell>
          <cell r="B229" t="str">
            <v>VAR_ncap</v>
          </cell>
          <cell r="C229" t="str">
            <v>-</v>
          </cell>
          <cell r="D229">
            <v>1.14192898489135E-5</v>
          </cell>
          <cell r="E229">
            <v>1.2981570732556301E-8</v>
          </cell>
          <cell r="F229">
            <v>2.4934998627390801E-5</v>
          </cell>
          <cell r="G229">
            <v>8.7413449890392896E-5</v>
          </cell>
          <cell r="H229">
            <v>2.4447433254081802E-4</v>
          </cell>
          <cell r="I229">
            <v>5.8466310882812399E-5</v>
          </cell>
          <cell r="J229">
            <v>6.7068799922492706E-8</v>
          </cell>
          <cell r="K229">
            <v>1.8936513729757599E-8</v>
          </cell>
          <cell r="L229">
            <v>1.05489031270927E-4</v>
          </cell>
          <cell r="M229">
            <v>2.4850351575104501E-8</v>
          </cell>
          <cell r="N229">
            <v>2.15291931653453E-4</v>
          </cell>
          <cell r="O229">
            <v>1.04351162220697E-7</v>
          </cell>
        </row>
        <row r="230">
          <cell r="A230" t="str">
            <v>ITOT-SWHSTG-SOL</v>
          </cell>
          <cell r="B230" t="str">
            <v>VAR_cap</v>
          </cell>
          <cell r="C230" t="str">
            <v>-</v>
          </cell>
          <cell r="D230">
            <v>1.14192898489135E-5</v>
          </cell>
          <cell r="E230">
            <v>1.1432271419646E-5</v>
          </cell>
          <cell r="F230">
            <v>3.6367270047036801E-5</v>
          </cell>
          <cell r="G230">
            <v>1.2378071993742999E-4</v>
          </cell>
          <cell r="H230">
            <v>3.5979084808576402E-4</v>
          </cell>
          <cell r="I230">
            <v>3.7896023236167099E-4</v>
          </cell>
          <cell r="J230">
            <v>3.0300771222355302E-4</v>
          </cell>
          <cell r="K230">
            <v>5.8552316196464598E-5</v>
          </cell>
          <cell r="L230">
            <v>1.14549737362264E-4</v>
          </cell>
          <cell r="M230">
            <v>1.05532818136231E-4</v>
          </cell>
          <cell r="N230">
            <v>2.8736770025365201E-4</v>
          </cell>
          <cell r="O230">
            <v>2.1542113316724799E-4</v>
          </cell>
        </row>
        <row r="231">
          <cell r="A231" t="str">
            <v>RHES-SHLTHCHPNGA</v>
          </cell>
          <cell r="B231" t="str">
            <v>VAR_fout</v>
          </cell>
          <cell r="C231" t="str">
            <v>RHES-SHLTHC-NGA</v>
          </cell>
          <cell r="D231">
            <v>3.023126188585613E-2</v>
          </cell>
          <cell r="E231">
            <v>2.4964590458796454E-4</v>
          </cell>
          <cell r="F231">
            <v>9.4164388320674454E-3</v>
          </cell>
          <cell r="G231">
            <v>8.7974954746151395E-3</v>
          </cell>
          <cell r="H231">
            <v>8.0754417010390177E-3</v>
          </cell>
          <cell r="I231">
            <v>3.5787209317380839E-3</v>
          </cell>
          <cell r="J231"/>
          <cell r="L231">
            <v>4.0756976873272113E-3</v>
          </cell>
          <cell r="M231">
            <v>4.4878536505498614E-3</v>
          </cell>
          <cell r="N231">
            <v>7.5615183456793356E-3</v>
          </cell>
          <cell r="O231">
            <v>7.6084251957400425E-3</v>
          </cell>
        </row>
        <row r="232">
          <cell r="A232" t="str">
            <v>RHES-SHLTHCHPNGA</v>
          </cell>
          <cell r="B232" t="str">
            <v>VAR_fin</v>
          </cell>
          <cell r="C232" t="str">
            <v>RHESLTHCHPC</v>
          </cell>
          <cell r="D232">
            <v>3.023126188585613E-2</v>
          </cell>
          <cell r="E232">
            <v>2.4964590458796454E-4</v>
          </cell>
          <cell r="F232">
            <v>9.4164388320674454E-3</v>
          </cell>
          <cell r="G232">
            <v>8.7974954746151395E-3</v>
          </cell>
          <cell r="H232">
            <v>8.0754417010390177E-3</v>
          </cell>
          <cell r="I232">
            <v>3.5787209317380839E-3</v>
          </cell>
          <cell r="J232"/>
          <cell r="L232">
            <v>4.0756976873272113E-3</v>
          </cell>
          <cell r="M232">
            <v>4.4878536505498614E-3</v>
          </cell>
          <cell r="N232">
            <v>7.5615183456793356E-3</v>
          </cell>
          <cell r="O232">
            <v>7.6084251957400425E-3</v>
          </cell>
        </row>
        <row r="233">
          <cell r="A233" t="str">
            <v>RHES-SHLTHCHPNGA</v>
          </cell>
          <cell r="B233" t="str">
            <v>VAR_fin</v>
          </cell>
          <cell r="C233" t="str">
            <v>RHES_LTH_CHPNGA_ON</v>
          </cell>
          <cell r="D233">
            <v>3.0536628167531464E-2</v>
          </cell>
          <cell r="E233">
            <v>2.521675803918834E-4</v>
          </cell>
          <cell r="F233">
            <v>9.5115543758257041E-3</v>
          </cell>
          <cell r="G233">
            <v>8.8863590652678119E-3</v>
          </cell>
          <cell r="H233">
            <v>8.1570118192313378E-3</v>
          </cell>
          <cell r="I233">
            <v>3.6148696280182669E-3</v>
          </cell>
          <cell r="J233"/>
          <cell r="L233">
            <v>4.1168663508355657E-3</v>
          </cell>
          <cell r="M233">
            <v>4.5331855056059195E-3</v>
          </cell>
          <cell r="N233">
            <v>7.6378973188680208E-3</v>
          </cell>
          <cell r="O233">
            <v>7.6852779754949911E-3</v>
          </cell>
        </row>
        <row r="234">
          <cell r="A234" t="str">
            <v>RHES-SHLTHCHPNGA</v>
          </cell>
          <cell r="B234" t="str">
            <v>VAR_ncap</v>
          </cell>
          <cell r="C234" t="str">
            <v>-</v>
          </cell>
          <cell r="D234"/>
          <cell r="E234">
            <v>2.2676479810417801E-5</v>
          </cell>
          <cell r="F234">
            <v>1.2063586040663001E-3</v>
          </cell>
          <cell r="G234">
            <v>7.9327299923511504E-4</v>
          </cell>
          <cell r="H234">
            <v>5.1892508956542999E-4</v>
          </cell>
          <cell r="I234">
            <v>2.2641896372376901E-4</v>
          </cell>
          <cell r="J234">
            <v>2.9435020422240903E-7</v>
          </cell>
          <cell r="K234">
            <v>3.3556338472123602E-7</v>
          </cell>
          <cell r="L234">
            <v>3.9021359040530699E-4</v>
          </cell>
          <cell r="M234">
            <v>3.4825137134606501E-4</v>
          </cell>
          <cell r="N234">
            <v>5.2352018220305503E-4</v>
          </cell>
          <cell r="O234">
            <v>5.2558975604807703E-4</v>
          </cell>
        </row>
        <row r="235">
          <cell r="A235" t="str">
            <v>RHES-SHLTHCHPNGA</v>
          </cell>
          <cell r="B235" t="str">
            <v>VAR_cap</v>
          </cell>
          <cell r="C235" t="str">
            <v>-</v>
          </cell>
          <cell r="D235">
            <v>5.3757649990155603E-3</v>
          </cell>
          <cell r="E235">
            <v>3.4778008987678723E-5</v>
          </cell>
          <cell r="F235">
            <v>1.229961322992401E-3</v>
          </cell>
          <cell r="G235">
            <v>1.1589922567140703E-3</v>
          </cell>
          <cell r="H235">
            <v>9.1118020572209055E-4</v>
          </cell>
          <cell r="I235">
            <v>3.4916240596897011E-4</v>
          </cell>
          <cell r="J235">
            <v>-1.4395760357594541E-7</v>
          </cell>
          <cell r="K235">
            <v>-2.4211051510500403E-7</v>
          </cell>
          <cell r="L235">
            <v>3.9032391989765667E-4</v>
          </cell>
          <cell r="M235">
            <v>4.6083612790053397E-4</v>
          </cell>
          <cell r="N235">
            <v>7.1435209238908393E-4</v>
          </cell>
          <cell r="O235">
            <v>7.8991819887278404E-4</v>
          </cell>
        </row>
        <row r="236">
          <cell r="A236" t="str">
            <v>RHSA-WHSTG-ELC</v>
          </cell>
          <cell r="B236" t="str">
            <v>VAR_fout</v>
          </cell>
          <cell r="C236" t="str">
            <v>RHSA-WHAELCB</v>
          </cell>
          <cell r="D236">
            <v>7.7388699682920299E-8</v>
          </cell>
          <cell r="E236">
            <v>1.6034344645782252E-7</v>
          </cell>
          <cell r="F236">
            <v>1.317288799953056</v>
          </cell>
          <cell r="G236">
            <v>0.95506978392579345</v>
          </cell>
          <cell r="H236">
            <v>0.44887381255383929</v>
          </cell>
          <cell r="I236">
            <v>0.28217967835756241</v>
          </cell>
          <cell r="J236">
            <v>0.26188311693273514</v>
          </cell>
          <cell r="K236">
            <v>0.30435938623689085</v>
          </cell>
          <cell r="L236">
            <v>0.57694276944836342</v>
          </cell>
          <cell r="M236">
            <v>0.51374392364683508</v>
          </cell>
          <cell r="N236">
            <v>0.45811421010935549</v>
          </cell>
          <cell r="O236">
            <v>0.16825032918726626</v>
          </cell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2.4835422054309003E-7</v>
          </cell>
          <cell r="E237"/>
          <cell r="F237">
            <v>1.3173378910386695</v>
          </cell>
          <cell r="G237">
            <v>0.95510843536487489</v>
          </cell>
          <cell r="H237">
            <v>0.44889005088912137</v>
          </cell>
          <cell r="I237">
            <v>0.2821894399747864</v>
          </cell>
          <cell r="J237">
            <v>0.2618936341299995</v>
          </cell>
          <cell r="K237">
            <v>0.30437153204108203</v>
          </cell>
          <cell r="L237">
            <v>0.57696279113885618</v>
          </cell>
          <cell r="M237">
            <v>0.51376218597037915</v>
          </cell>
          <cell r="N237">
            <v>0.45813079406086094</v>
          </cell>
          <cell r="O237">
            <v>0.16825784226722404</v>
          </cell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7.5511155837839298E-3</v>
          </cell>
          <cell r="E238">
            <v>0.103709155282184</v>
          </cell>
          <cell r="F238">
            <v>2.9710639244617599E-5</v>
          </cell>
          <cell r="G238">
            <v>3.16501412036113E-5</v>
          </cell>
          <cell r="H238">
            <v>1.7701075460754701E-4</v>
          </cell>
          <cell r="I238">
            <v>2.5887252093767799E-2</v>
          </cell>
          <cell r="J238">
            <v>7.3731749858487304E-5</v>
          </cell>
          <cell r="K238">
            <v>3.0712248743809401E-3</v>
          </cell>
          <cell r="L238">
            <v>4.2213353978094101E-2</v>
          </cell>
          <cell r="M238">
            <v>1.9180183957568501E-3</v>
          </cell>
          <cell r="N238">
            <v>1.2115148832618499E-2</v>
          </cell>
          <cell r="O238">
            <v>4.5396587477137297E-3</v>
          </cell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7.5520249526726509E-3</v>
          </cell>
          <cell r="E239">
            <v>0.11125083462096262</v>
          </cell>
          <cell r="F239">
            <v>0.1112508008640397</v>
          </cell>
          <cell r="G239">
            <v>0.11125036721561472</v>
          </cell>
          <cell r="H239">
            <v>4.2418974145927733E-2</v>
          </cell>
          <cell r="I239">
            <v>2.6066688323545469E-2</v>
          </cell>
          <cell r="J239">
            <v>2.6065867385938874E-2</v>
          </cell>
          <cell r="K239">
            <v>2.8913712273030502E-2</v>
          </cell>
          <cell r="L239">
            <v>4.9178699409164278E-2</v>
          </cell>
          <cell r="M239">
            <v>4.6939146930926517E-2</v>
          </cell>
          <cell r="N239">
            <v>4.314007619219011E-2</v>
          </cell>
          <cell r="O239">
            <v>1.8329242760185455E-2</v>
          </cell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6.9177063101627905</v>
          </cell>
          <cell r="E240">
            <v>6.311308220795798</v>
          </cell>
          <cell r="F240">
            <v>6.2459469755692965</v>
          </cell>
          <cell r="G240">
            <v>5.0691883797043964</v>
          </cell>
          <cell r="H240">
            <v>3.8090157762693408</v>
          </cell>
          <cell r="I240">
            <v>2.8112579299533262</v>
          </cell>
          <cell r="J240">
            <v>1.4165113197633099</v>
          </cell>
          <cell r="K240">
            <v>1.1332383114564986</v>
          </cell>
          <cell r="L240">
            <v>0.7758373494385572</v>
          </cell>
          <cell r="M240">
            <v>0.77582465603491391</v>
          </cell>
          <cell r="N240">
            <v>0.61629606220584554</v>
          </cell>
          <cell r="O240">
            <v>0.61622236520496276</v>
          </cell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655.76821547268605</v>
          </cell>
          <cell r="E241">
            <v>597.318014403598</v>
          </cell>
          <cell r="F241">
            <v>589.70336886382097</v>
          </cell>
          <cell r="G241">
            <v>476.681027008966</v>
          </cell>
          <cell r="H241">
            <v>356.74945428194701</v>
          </cell>
          <cell r="I241">
            <v>262.252287163956</v>
          </cell>
          <cell r="J241">
            <v>131.617478050573</v>
          </cell>
          <cell r="K241">
            <v>104.880926083726</v>
          </cell>
          <cell r="L241">
            <v>71.803555242389706</v>
          </cell>
          <cell r="M241">
            <v>71.8023804710147</v>
          </cell>
          <cell r="N241">
            <v>57.038048477929401</v>
          </cell>
          <cell r="O241">
            <v>57.0312278386834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8.8978048232386175</v>
          </cell>
          <cell r="E242">
            <v>8.1047220407543765</v>
          </cell>
          <cell r="F242">
            <v>8.0014025626027276</v>
          </cell>
          <cell r="G242">
            <v>6.4678565401487935</v>
          </cell>
          <cell r="H242">
            <v>4.8405624732964325</v>
          </cell>
          <cell r="I242">
            <v>3.558375673866438</v>
          </cell>
          <cell r="J242">
            <v>1.7858545190037023</v>
          </cell>
          <cell r="K242">
            <v>1.4230790513395635</v>
          </cell>
          <cell r="L242">
            <v>0.97426804942184098</v>
          </cell>
          <cell r="M242">
            <v>0.97425210951173269</v>
          </cell>
          <cell r="N242">
            <v>0.77392196035182426</v>
          </cell>
          <cell r="O242">
            <v>0.77382941436476815</v>
          </cell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1.40257097726197E-4</v>
          </cell>
          <cell r="F243">
            <v>2.0445496954034901E-5</v>
          </cell>
          <cell r="G243">
            <v>2.2103733851173498E-5</v>
          </cell>
          <cell r="H243">
            <v>0.133472848426405</v>
          </cell>
          <cell r="I243">
            <v>7.5907546619520094E-2</v>
          </cell>
          <cell r="J243">
            <v>2.1045737242956E-5</v>
          </cell>
          <cell r="K243">
            <v>2.0219066762560099E-2</v>
          </cell>
          <cell r="L243">
            <v>2.46071125300522E-2</v>
          </cell>
          <cell r="M243">
            <v>1.11205129416776E-2</v>
          </cell>
          <cell r="N243">
            <v>1.3119683209597501E-2</v>
          </cell>
          <cell r="O243">
            <v>2.6179975907269601E-2</v>
          </cell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0.37647287376054483</v>
          </cell>
          <cell r="F244">
            <v>0.37646837423479346</v>
          </cell>
          <cell r="G244">
            <v>0.37640821150752707</v>
          </cell>
          <cell r="H244">
            <v>0.23112014908158504</v>
          </cell>
          <cell r="I244">
            <v>0.20938845922608471</v>
          </cell>
          <cell r="J244">
            <v>0.12400713714795859</v>
          </cell>
          <cell r="K244">
            <v>9.6108007085663957E-2</v>
          </cell>
          <cell r="L244">
            <v>5.6472523825785603E-2</v>
          </cell>
          <cell r="M244">
            <v>5.590645777538477E-2</v>
          </cell>
          <cell r="N244">
            <v>4.4579689370589481E-2</v>
          </cell>
          <cell r="O244">
            <v>5.0294085119258647E-2</v>
          </cell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5.1946884970679698E-6</v>
          </cell>
          <cell r="F245">
            <v>6.8897081292762562E-4</v>
          </cell>
          <cell r="G245">
            <v>2.0831169213989392E-3</v>
          </cell>
          <cell r="H245">
            <v>3.0290009454073973E-3</v>
          </cell>
          <cell r="I245">
            <v>2.5364852787973301E-3</v>
          </cell>
          <cell r="J245"/>
          <cell r="L245">
            <v>5.8821593942777905E-6</v>
          </cell>
          <cell r="M245">
            <v>6.9070252302759891E-6</v>
          </cell>
          <cell r="N245">
            <v>5.5045582225648829E-6</v>
          </cell>
          <cell r="O245">
            <v>1.5434917665677705E-5</v>
          </cell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0.69257600402601283</v>
          </cell>
          <cell r="E246">
            <v>0.75019229081613603</v>
          </cell>
          <cell r="F246">
            <v>1.4778248665085856</v>
          </cell>
          <cell r="G246">
            <v>1.7075572766998084</v>
          </cell>
          <cell r="H246">
            <v>1.6365368091324257</v>
          </cell>
          <cell r="I246">
            <v>1.0488836366120577</v>
          </cell>
          <cell r="J246"/>
          <cell r="K246"/>
          <cell r="L246">
            <v>2.9544424073653314E-3</v>
          </cell>
          <cell r="M246">
            <v>2.8097090703390654E-3</v>
          </cell>
          <cell r="N246">
            <v>2.1357730096551474E-3</v>
          </cell>
          <cell r="O246">
            <v>4.9984563864564398E-3</v>
          </cell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0.69257600402601283</v>
          </cell>
          <cell r="E247">
            <v>0.75019748550463294</v>
          </cell>
          <cell r="F247">
            <v>1.4785138373215136</v>
          </cell>
          <cell r="G247">
            <v>1.7096403936212081</v>
          </cell>
          <cell r="H247">
            <v>1.6395658100778316</v>
          </cell>
          <cell r="I247">
            <v>1.0514201218908559</v>
          </cell>
          <cell r="J247"/>
          <cell r="K247"/>
          <cell r="L247">
            <v>2.9607282502517986E-3</v>
          </cell>
          <cell r="M247">
            <v>2.8168862172749422E-3</v>
          </cell>
          <cell r="N247">
            <v>2.1417633357176413E-3</v>
          </cell>
          <cell r="O247">
            <v>5.0139782410140929E-3</v>
          </cell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9.8747919518613436</v>
          </cell>
          <cell r="E248">
            <v>11.701438060466305</v>
          </cell>
          <cell r="F248">
            <v>14.392716557860791</v>
          </cell>
          <cell r="G248">
            <v>16.721764021898025</v>
          </cell>
          <cell r="H248">
            <v>17.855770929577982</v>
          </cell>
          <cell r="I248">
            <v>19.222632940958018</v>
          </cell>
          <cell r="J248">
            <v>21.070213319269559</v>
          </cell>
          <cell r="K248">
            <v>22.271380490923644</v>
          </cell>
          <cell r="L248">
            <v>22.082382172693318</v>
          </cell>
          <cell r="M248">
            <v>22.91776575205661</v>
          </cell>
          <cell r="N248">
            <v>22.101341632917006</v>
          </cell>
          <cell r="O248">
            <v>22.105121454669423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9.8747919518613436</v>
          </cell>
          <cell r="E249">
            <v>11.701438060466305</v>
          </cell>
          <cell r="F249">
            <v>14.392716557860791</v>
          </cell>
          <cell r="G249">
            <v>16.721764021898025</v>
          </cell>
          <cell r="H249">
            <v>17.855770929577982</v>
          </cell>
          <cell r="I249">
            <v>19.222632940958018</v>
          </cell>
          <cell r="J249">
            <v>21.070213319269559</v>
          </cell>
          <cell r="K249">
            <v>22.271380490923644</v>
          </cell>
          <cell r="L249">
            <v>22.082382172693318</v>
          </cell>
          <cell r="M249">
            <v>22.91776575205661</v>
          </cell>
          <cell r="N249">
            <v>22.101341632917006</v>
          </cell>
          <cell r="O249">
            <v>22.105121454669423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58.701894619166218</v>
          </cell>
          <cell r="F250">
            <v>51.372266830912942</v>
          </cell>
          <cell r="G250">
            <v>52.669748860006408</v>
          </cell>
          <cell r="H250">
            <v>52.892128137576869</v>
          </cell>
          <cell r="I250">
            <v>54.070725827215043</v>
          </cell>
          <cell r="J250">
            <v>54.020398617602005</v>
          </cell>
          <cell r="K250">
            <v>53.970519026244894</v>
          </cell>
          <cell r="L250">
            <v>55.018311172081795</v>
          </cell>
          <cell r="M250">
            <v>55.873463270226644</v>
          </cell>
          <cell r="N250">
            <v>56.683667935658072</v>
          </cell>
          <cell r="O250">
            <v>57.457537048573698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58.701894619166218</v>
          </cell>
          <cell r="F251">
            <v>51.372266830912942</v>
          </cell>
          <cell r="G251">
            <v>52.669748860006408</v>
          </cell>
          <cell r="H251">
            <v>52.892128137576869</v>
          </cell>
          <cell r="I251">
            <v>54.070725827215043</v>
          </cell>
          <cell r="J251">
            <v>54.020398617602005</v>
          </cell>
          <cell r="K251">
            <v>53.970519026244894</v>
          </cell>
          <cell r="L251">
            <v>55.018311172081795</v>
          </cell>
          <cell r="M251">
            <v>55.873463270226644</v>
          </cell>
          <cell r="N251">
            <v>56.683667935658072</v>
          </cell>
          <cell r="O251">
            <v>57.457537048573698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1.0356167237998E-7</v>
          </cell>
          <cell r="E252">
            <v>1.0566144375113201E-6</v>
          </cell>
          <cell r="F252">
            <v>9.08885007023102E-7</v>
          </cell>
          <cell r="G252">
            <v>1.14579920753528E-6</v>
          </cell>
          <cell r="H252">
            <v>4.5114327285354102E-6</v>
          </cell>
          <cell r="I252">
            <v>0.12457822776017</v>
          </cell>
          <cell r="J252">
            <v>3.6290341207402799</v>
          </cell>
          <cell r="K252">
            <v>1.95103324523759</v>
          </cell>
          <cell r="L252">
            <v>0.110753151930286</v>
          </cell>
          <cell r="M252">
            <v>9.0397129709797797E-2</v>
          </cell>
          <cell r="N252">
            <v>0.77834053881235599</v>
          </cell>
          <cell r="O252">
            <v>3.1427082809649698</v>
          </cell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6.6055313719155322</v>
          </cell>
          <cell r="E253">
            <v>6.2047505150887439</v>
          </cell>
          <cell r="F253">
            <v>5.5906598930347471</v>
          </cell>
          <cell r="G253">
            <v>5.5906587594069848</v>
          </cell>
          <cell r="H253">
            <v>5.5906621176300639</v>
          </cell>
          <cell r="I253">
            <v>5.7152387449678628</v>
          </cell>
          <cell r="J253">
            <v>5.7099190180943742</v>
          </cell>
          <cell r="K253">
            <v>5.7046472582018994</v>
          </cell>
          <cell r="L253">
            <v>5.815397770110903</v>
          </cell>
          <cell r="M253">
            <v>5.9057875194708611</v>
          </cell>
          <cell r="N253">
            <v>5.9914251605662576</v>
          </cell>
          <cell r="O253">
            <v>6.0732238186543164</v>
          </cell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7.917962721504184E-4</v>
          </cell>
          <cell r="E254">
            <v>2.7711489971347784E-4</v>
          </cell>
          <cell r="F254">
            <v>5.1693985625897226E-4</v>
          </cell>
          <cell r="G254">
            <v>0.32731986705982397</v>
          </cell>
          <cell r="H254">
            <v>0.26529271056124776</v>
          </cell>
          <cell r="I254">
            <v>0.30589052356659502</v>
          </cell>
          <cell r="J254">
            <v>0.47904122701560292</v>
          </cell>
          <cell r="K254">
            <v>0.53370343670333775</v>
          </cell>
          <cell r="L254">
            <v>0.53865276133187767</v>
          </cell>
          <cell r="M254">
            <v>0.53246631677385892</v>
          </cell>
          <cell r="N254">
            <v>0.53016537406761788</v>
          </cell>
          <cell r="O254">
            <v>0.52452590906814056</v>
          </cell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0.22924976340972808</v>
          </cell>
          <cell r="E255">
            <v>0.22988036463914863</v>
          </cell>
          <cell r="F255">
            <v>0.33619087880966275</v>
          </cell>
          <cell r="G255">
            <v>5.6270831785207769E-3</v>
          </cell>
          <cell r="H255">
            <v>6.3895046097407884E-2</v>
          </cell>
          <cell r="I255">
            <v>1.6535825757137412E-2</v>
          </cell>
          <cell r="J255">
            <v>0.11663987241413656</v>
          </cell>
          <cell r="K255">
            <v>5.9244088127410027E-2</v>
          </cell>
          <cell r="L255">
            <v>5.4282445446673926E-2</v>
          </cell>
          <cell r="M255">
            <v>6.0409087395119278E-2</v>
          </cell>
          <cell r="N255">
            <v>6.277238495591328E-2</v>
          </cell>
          <cell r="O255">
            <v>6.8440842039491523E-2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0.23004155968187884</v>
          </cell>
          <cell r="E256">
            <v>0.23015747953886212</v>
          </cell>
          <cell r="F256">
            <v>0.33670595418499183</v>
          </cell>
          <cell r="G256">
            <v>0.33294549849543831</v>
          </cell>
          <cell r="H256">
            <v>0.32918527149850729</v>
          </cell>
          <cell r="I256">
            <v>0.32242634932373243</v>
          </cell>
          <cell r="J256">
            <v>0.59568109942973957</v>
          </cell>
          <cell r="K256">
            <v>0.59294752483074831</v>
          </cell>
          <cell r="L256">
            <v>0.59293520677855116</v>
          </cell>
          <cell r="M256">
            <v>0.59287540416897855</v>
          </cell>
          <cell r="N256">
            <v>0.59293775902353085</v>
          </cell>
          <cell r="O256">
            <v>0.59296675110763242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4.7725776131041087E-6</v>
          </cell>
          <cell r="F257">
            <v>1.5252837199293676</v>
          </cell>
          <cell r="G257">
            <v>4.4251253947732971</v>
          </cell>
          <cell r="H257">
            <v>3.9496486454922226</v>
          </cell>
          <cell r="I257">
            <v>3.9430854058522389</v>
          </cell>
          <cell r="J257">
            <v>4.1189431202791873</v>
          </cell>
          <cell r="K257">
            <v>4.0020353981557122</v>
          </cell>
          <cell r="L257">
            <v>4.1394868035261911</v>
          </cell>
          <cell r="M257">
            <v>4.3048451618875418</v>
          </cell>
          <cell r="N257">
            <v>4.5206993963419055</v>
          </cell>
          <cell r="O257">
            <v>4.7402585613398296</v>
          </cell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4.7869423839525046E-6</v>
          </cell>
          <cell r="F258">
            <v>1.1858182831334079</v>
          </cell>
          <cell r="G258">
            <v>2.2633579621289002</v>
          </cell>
          <cell r="H258">
            <v>3.0789029550664635</v>
          </cell>
          <cell r="I258">
            <v>3.4450499881405174</v>
          </cell>
          <cell r="J258">
            <v>3.6459348264996096</v>
          </cell>
          <cell r="K258">
            <v>3.8796809137033543</v>
          </cell>
          <cell r="L258">
            <v>4.1567289102666214</v>
          </cell>
          <cell r="M258">
            <v>4.3893938993195043</v>
          </cell>
          <cell r="N258">
            <v>4.586507293973054</v>
          </cell>
          <cell r="O258">
            <v>4.8034141072792131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9.3134503540236407E-6</v>
          </cell>
          <cell r="F259">
            <v>2.7111020030627744</v>
          </cell>
          <cell r="G259">
            <v>6.6884833569021955</v>
          </cell>
          <cell r="H259">
            <v>7.0285516005586892</v>
          </cell>
          <cell r="I259">
            <v>7.3881353939927541</v>
          </cell>
          <cell r="J259">
            <v>7.7648779467788005</v>
          </cell>
          <cell r="K259">
            <v>7.8817163118590612</v>
          </cell>
          <cell r="L259">
            <v>8.296215713792817</v>
          </cell>
          <cell r="M259">
            <v>8.6942390612070479</v>
          </cell>
          <cell r="N259">
            <v>9.1072066903149516</v>
          </cell>
          <cell r="O259">
            <v>9.5436726686190418</v>
          </cell>
        </row>
        <row r="260">
          <cell r="A260" t="str">
            <v>RHNM-SHSTG-ELCHP</v>
          </cell>
          <cell r="B260" t="str">
            <v>VAR_fout</v>
          </cell>
          <cell r="C260" t="str">
            <v>RHNM-SHAELCH</v>
          </cell>
          <cell r="D260"/>
          <cell r="E260">
            <v>7.7368701300045153E-2</v>
          </cell>
          <cell r="F260">
            <v>0.33000942423307239</v>
          </cell>
          <cell r="G260">
            <v>0.64876735947580932</v>
          </cell>
          <cell r="H260">
            <v>0.82968091533365373</v>
          </cell>
          <cell r="I260">
            <v>0.74895921417517863</v>
          </cell>
          <cell r="J260">
            <v>1.0244125691123722</v>
          </cell>
          <cell r="K260">
            <v>1.4986384042828687</v>
          </cell>
          <cell r="L260">
            <v>1.9641241830926155</v>
          </cell>
          <cell r="M260">
            <v>2.0013190827216127</v>
          </cell>
          <cell r="N260">
            <v>2.040261639259044</v>
          </cell>
          <cell r="O260">
            <v>2.0061346473712898</v>
          </cell>
        </row>
        <row r="261">
          <cell r="A261" t="str">
            <v>RHNM-SHSTG-ELCHP</v>
          </cell>
          <cell r="B261" t="str">
            <v>VAR_fin</v>
          </cell>
          <cell r="C261" t="str">
            <v>RHNM-SHAELCH</v>
          </cell>
          <cell r="D261"/>
          <cell r="E261">
            <v>7.737337507957269E-2</v>
          </cell>
          <cell r="F261">
            <v>0.33002606197474771</v>
          </cell>
          <cell r="G261">
            <v>0.64879497161375599</v>
          </cell>
          <cell r="H261">
            <v>0.82971343804008957</v>
          </cell>
          <cell r="I261">
            <v>0.74898951612135489</v>
          </cell>
          <cell r="J261">
            <v>1.0244548647206513</v>
          </cell>
          <cell r="K261">
            <v>1.4987017693678115</v>
          </cell>
          <cell r="L261">
            <v>1.9642081844569543</v>
          </cell>
          <cell r="M261">
            <v>2.0014009357481117</v>
          </cell>
          <cell r="N261">
            <v>2.0403460011225265</v>
          </cell>
          <cell r="O261">
            <v>2.0062239713192898</v>
          </cell>
        </row>
        <row r="262">
          <cell r="A262" t="str">
            <v>RHNM-SHSTG-ELCHP</v>
          </cell>
          <cell r="B262" t="str">
            <v>VAR_ncap</v>
          </cell>
          <cell r="C262" t="str">
            <v>-</v>
          </cell>
          <cell r="D262">
            <v>6.7748362384067201E-5</v>
          </cell>
          <cell r="E262">
            <v>9.6165904868278692E-3</v>
          </cell>
          <cell r="F262">
            <v>2.8348475002900098E-2</v>
          </cell>
          <cell r="G262">
            <v>4.1367308190399001E-2</v>
          </cell>
          <cell r="H262">
            <v>4.10159795335321E-3</v>
          </cell>
          <cell r="I262">
            <v>3.5224169896732202E-2</v>
          </cell>
          <cell r="J262">
            <v>6.1909449269033703E-2</v>
          </cell>
          <cell r="K262">
            <v>6.0039054910407598E-2</v>
          </cell>
          <cell r="L262">
            <v>8.0311054281782604E-2</v>
          </cell>
          <cell r="M262">
            <v>7.2625654872550197E-2</v>
          </cell>
          <cell r="N262">
            <v>7.4585409400345901E-2</v>
          </cell>
          <cell r="O262">
            <v>6.4982636330625607E-2</v>
          </cell>
        </row>
        <row r="263">
          <cell r="A263" t="str">
            <v>RHNM-SHSTG-ELCHP</v>
          </cell>
          <cell r="B263" t="str">
            <v>VAR_cap</v>
          </cell>
          <cell r="C263" t="str">
            <v>-</v>
          </cell>
          <cell r="D263">
            <v>6.7748362384067201E-5</v>
          </cell>
          <cell r="E263">
            <v>9.6794901375113814E-3</v>
          </cell>
          <cell r="F263">
            <v>3.8017297454684421E-2</v>
          </cell>
          <cell r="G263">
            <v>7.9367449351812849E-2</v>
          </cell>
          <cell r="H263">
            <v>7.867875313121199E-2</v>
          </cell>
          <cell r="I263">
            <v>7.8698680190194381E-2</v>
          </cell>
          <cell r="J263">
            <v>0.10118515324619751</v>
          </cell>
          <cell r="K263">
            <v>0.15702423141285105</v>
          </cell>
          <cell r="L263">
            <v>0.19923966517642694</v>
          </cell>
          <cell r="M263">
            <v>0.21273167424127201</v>
          </cell>
          <cell r="N263">
            <v>0.21234665848982523</v>
          </cell>
          <cell r="O263">
            <v>0.21192459348549753</v>
          </cell>
        </row>
        <row r="264">
          <cell r="A264" t="str">
            <v>D-SCOM_LTH</v>
          </cell>
          <cell r="B264" t="str">
            <v>VAR_fout</v>
          </cell>
          <cell r="C264" t="str">
            <v>SCOM_LTH_DH</v>
          </cell>
          <cell r="D264">
            <v>5.6100016140122939</v>
          </cell>
          <cell r="E264">
            <v>6.076703222913248</v>
          </cell>
          <cell r="F264">
            <v>6.0767035312703683</v>
          </cell>
          <cell r="G264">
            <v>6.0767035648054666</v>
          </cell>
          <cell r="H264">
            <v>6.0767033945025517</v>
          </cell>
          <cell r="I264">
            <v>6.0767057978945642</v>
          </cell>
          <cell r="J264">
            <v>6.4266772032736368</v>
          </cell>
          <cell r="K264">
            <v>6.4266957517773635</v>
          </cell>
          <cell r="L264">
            <v>8.4102213325481028</v>
          </cell>
          <cell r="M264">
            <v>8.4102263583822676</v>
          </cell>
          <cell r="N264">
            <v>8.4102301755979507</v>
          </cell>
          <cell r="O264">
            <v>8.4102387073310112</v>
          </cell>
        </row>
        <row r="265">
          <cell r="A265" t="str">
            <v>D-SCOM_LTH</v>
          </cell>
          <cell r="B265" t="str">
            <v>VAR_fin</v>
          </cell>
          <cell r="C265" t="str">
            <v>LTH</v>
          </cell>
          <cell r="D265">
            <v>6.098777488334524</v>
          </cell>
          <cell r="E265">
            <v>6.6044046742357283</v>
          </cell>
          <cell r="F265">
            <v>6.6018024591239186</v>
          </cell>
          <cell r="G265">
            <v>6.5974694668776932</v>
          </cell>
          <cell r="H265">
            <v>6.5931419375736313</v>
          </cell>
          <cell r="I265">
            <v>6.5888228720799624</v>
          </cell>
          <cell r="J265">
            <v>6.9637236924559813</v>
          </cell>
          <cell r="K265">
            <v>6.9591851736666417</v>
          </cell>
          <cell r="L265">
            <v>9.1070574779484481</v>
          </cell>
          <cell r="M265">
            <v>9.107062920202436</v>
          </cell>
          <cell r="N265">
            <v>9.1070670536968148</v>
          </cell>
          <cell r="O265">
            <v>9.1070762923339821</v>
          </cell>
        </row>
        <row r="266">
          <cell r="A266" t="str">
            <v>D-SCOM_LTH</v>
          </cell>
          <cell r="B266" t="str">
            <v>VAR_ncap</v>
          </cell>
          <cell r="C266" t="str">
            <v>-</v>
          </cell>
          <cell r="D266">
            <v>0.84970028276832599</v>
          </cell>
          <cell r="E266">
            <v>5.9040227205833401E-8</v>
          </cell>
          <cell r="F266">
            <v>4.4540634795209199E-8</v>
          </cell>
          <cell r="G266">
            <v>3.6735792786614397E-8</v>
          </cell>
          <cell r="H266">
            <v>3.6764601884673802E-8</v>
          </cell>
          <cell r="I266">
            <v>7.4278807229925003E-8</v>
          </cell>
          <cell r="J266">
            <v>5.8259802146908901E-8</v>
          </cell>
          <cell r="K266">
            <v>1.10342848168833E-7</v>
          </cell>
          <cell r="L266">
            <v>1.0697804634635799E-7</v>
          </cell>
          <cell r="M266">
            <v>2.18728184709807E-7</v>
          </cell>
          <cell r="N266">
            <v>3.3916499926674799E-7</v>
          </cell>
          <cell r="O266">
            <v>1.3841363585982699E-6</v>
          </cell>
        </row>
        <row r="267">
          <cell r="A267" t="str">
            <v>D-SCOM_LTH</v>
          </cell>
          <cell r="B267" t="str">
            <v>VAR_cap</v>
          </cell>
          <cell r="C267" t="str">
            <v>-</v>
          </cell>
          <cell r="D267">
            <v>0.84970028276832599</v>
          </cell>
          <cell r="E267">
            <v>0.84970034180855403</v>
          </cell>
          <cell r="F267">
            <v>0.84970038634918799</v>
          </cell>
          <cell r="G267">
            <v>0.84970042308498095</v>
          </cell>
          <cell r="H267">
            <v>0.84970045984958298</v>
          </cell>
          <cell r="I267">
            <v>0.84970053412838997</v>
          </cell>
          <cell r="J267">
            <v>0.84970059238819196</v>
          </cell>
          <cell r="K267">
            <v>0.84970070273104104</v>
          </cell>
          <cell r="L267">
            <v>0.84970080970908701</v>
          </cell>
          <cell r="M267">
            <v>0.84970102843727202</v>
          </cell>
          <cell r="N267">
            <v>0.849701367602271</v>
          </cell>
          <cell r="O267">
            <v>0.84970275173862997</v>
          </cell>
        </row>
        <row r="268">
          <cell r="A268" t="str">
            <v>ITOT-SWHBIOBR</v>
          </cell>
          <cell r="B268" t="str">
            <v>VAR_fout</v>
          </cell>
          <cell r="C268" t="str">
            <v>ITOT-SWH</v>
          </cell>
          <cell r="D268">
            <v>0.31051244512270615</v>
          </cell>
          <cell r="E268">
            <v>0.3925184803796602</v>
          </cell>
          <cell r="F268">
            <v>2.0588192380017634</v>
          </cell>
          <cell r="G268">
            <v>4.5040176871574573</v>
          </cell>
          <cell r="H268">
            <v>4.5040289179905661</v>
          </cell>
          <cell r="I268">
            <v>4.5040297760484265</v>
          </cell>
          <cell r="J268">
            <v>4.5325369345797144</v>
          </cell>
          <cell r="K268">
            <v>4.5610447891975525</v>
          </cell>
          <cell r="L268">
            <v>4.561046029043367</v>
          </cell>
          <cell r="M268">
            <v>4.5610519982924886</v>
          </cell>
          <cell r="N268">
            <v>4.5610563814830334</v>
          </cell>
          <cell r="O268">
            <v>4.5610776252022198</v>
          </cell>
        </row>
        <row r="269">
          <cell r="A269" t="str">
            <v>ITOT-SWHBIOBR</v>
          </cell>
          <cell r="B269" t="str">
            <v>VAR_fin</v>
          </cell>
          <cell r="C269" t="str">
            <v>IBIO</v>
          </cell>
          <cell r="D269">
            <v>0.43672636444825019</v>
          </cell>
          <cell r="E269">
            <v>0.55206537324846738</v>
          </cell>
          <cell r="F269">
            <v>2.8956670014089534</v>
          </cell>
          <cell r="G269">
            <v>6.3347646795463506</v>
          </cell>
          <cell r="H269">
            <v>6.3347804753735115</v>
          </cell>
          <cell r="I269">
            <v>6.3347816822059366</v>
          </cell>
          <cell r="J269">
            <v>6.3347825780289613</v>
          </cell>
          <cell r="K269">
            <v>6.3347844294410445</v>
          </cell>
          <cell r="L269">
            <v>6.3347861514491237</v>
          </cell>
          <cell r="M269">
            <v>6.3347944420729023</v>
          </cell>
          <cell r="N269">
            <v>6.3348005298375467</v>
          </cell>
          <cell r="O269">
            <v>6.3348300350030797</v>
          </cell>
        </row>
        <row r="270">
          <cell r="A270" t="str">
            <v>ITOT-SWHBIOBR</v>
          </cell>
          <cell r="B270" t="str">
            <v>VAR_ncap</v>
          </cell>
          <cell r="C270" t="str">
            <v>-</v>
          </cell>
          <cell r="D270"/>
          <cell r="E270">
            <v>9.5255508871029595E-3</v>
          </cell>
          <cell r="F270">
            <v>0.10998178143045501</v>
          </cell>
          <cell r="G270">
            <v>0.115879793686852</v>
          </cell>
          <cell r="H270">
            <v>3.4724829836615102E-2</v>
          </cell>
          <cell r="I270">
            <v>0.24276844067825501</v>
          </cell>
          <cell r="J270">
            <v>7.6276614305833504E-2</v>
          </cell>
          <cell r="K270">
            <v>4.3447068066266498E-2</v>
          </cell>
          <cell r="L270">
            <v>0.16891471864699301</v>
          </cell>
          <cell r="M270">
            <v>8.5193652228825398E-2</v>
          </cell>
          <cell r="N270">
            <v>9.4201434915405502E-2</v>
          </cell>
          <cell r="O270">
            <v>0.123433729344171</v>
          </cell>
        </row>
        <row r="271">
          <cell r="A271" t="str">
            <v>ITOT-SWHBIOBR</v>
          </cell>
          <cell r="B271" t="str">
            <v>VAR_cap</v>
          </cell>
          <cell r="C271" t="str">
            <v>-</v>
          </cell>
          <cell r="D271">
            <v>1.7013611085743299E-2</v>
          </cell>
          <cell r="E271">
            <v>2.6536992920821702E-2</v>
          </cell>
          <cell r="F271">
            <v>0.13651295917759732</v>
          </cell>
          <cell r="G271">
            <v>0.25238449314826378</v>
          </cell>
          <cell r="H271">
            <v>0.26984226669920053</v>
          </cell>
          <cell r="I271">
            <v>0.3943910610310743</v>
          </cell>
          <cell r="J271">
            <v>0.353753930289467</v>
          </cell>
          <cell r="K271">
            <v>0.36246877778987813</v>
          </cell>
          <cell r="L271">
            <v>0.31579931749523582</v>
          </cell>
          <cell r="M271">
            <v>0.29752544855340662</v>
          </cell>
          <cell r="N271">
            <v>0.3024184768241221</v>
          </cell>
          <cell r="O271">
            <v>0.30266969560366513</v>
          </cell>
        </row>
        <row r="272">
          <cell r="A272" t="str">
            <v>RHNS-SHPLTBR</v>
          </cell>
          <cell r="B272" t="str">
            <v>VAR_fout</v>
          </cell>
          <cell r="C272" t="str">
            <v>RHNS-SHPLT</v>
          </cell>
          <cell r="D272"/>
          <cell r="E272"/>
          <cell r="F272">
            <v>1.9533786434847874E-4</v>
          </cell>
          <cell r="G272">
            <v>1.3693804307136801E-3</v>
          </cell>
          <cell r="H272">
            <v>1.4427686297640643E-3</v>
          </cell>
          <cell r="I272">
            <v>1.4452837984805964E-3</v>
          </cell>
          <cell r="J272">
            <v>1.4467759307369907E-3</v>
          </cell>
          <cell r="K272">
            <v>4.1835684525205613E-3</v>
          </cell>
          <cell r="L272">
            <v>4.1837120252188531E-3</v>
          </cell>
          <cell r="M272">
            <v>4.1866964933735566E-3</v>
          </cell>
          <cell r="N272">
            <v>4.1881153650226016E-3</v>
          </cell>
          <cell r="O272">
            <v>4.1922130195190931E-3</v>
          </cell>
        </row>
        <row r="273">
          <cell r="A273" t="str">
            <v>RHNS-SHPLTBR</v>
          </cell>
          <cell r="B273" t="str">
            <v>VAR_fin</v>
          </cell>
          <cell r="C273" t="str">
            <v>RPLT</v>
          </cell>
          <cell r="D273"/>
          <cell r="E273"/>
          <cell r="F273">
            <v>2.170420714983095E-4</v>
          </cell>
          <cell r="G273">
            <v>1.5215338119040889E-3</v>
          </cell>
          <cell r="H273">
            <v>1.6030762552934064E-3</v>
          </cell>
          <cell r="I273">
            <v>1.6058708872006596E-3</v>
          </cell>
          <cell r="J273">
            <v>1.6075288119299896E-3</v>
          </cell>
          <cell r="K273">
            <v>4.6484093916895107E-3</v>
          </cell>
          <cell r="L273">
            <v>4.6485689169098385E-3</v>
          </cell>
          <cell r="M273">
            <v>4.6518849926372834E-3</v>
          </cell>
          <cell r="N273">
            <v>4.6534615166917799E-3</v>
          </cell>
          <cell r="O273">
            <v>4.6580144661323231E-3</v>
          </cell>
        </row>
        <row r="274">
          <cell r="A274" t="str">
            <v>RHNS-SHPLTBR</v>
          </cell>
          <cell r="B274" t="str">
            <v>VAR_ncap</v>
          </cell>
          <cell r="C274" t="str">
            <v>-</v>
          </cell>
          <cell r="D274"/>
          <cell r="E274">
            <v>7.6731033805745704E-8</v>
          </cell>
          <cell r="F274">
            <v>2.2629825528254201E-5</v>
          </cell>
          <cell r="G274">
            <v>1.05886831907755E-4</v>
          </cell>
          <cell r="H274">
            <v>3.4951186464765499E-6</v>
          </cell>
          <cell r="I274">
            <v>2.58807858711874E-5</v>
          </cell>
          <cell r="J274">
            <v>8.7330840170285197E-5</v>
          </cell>
          <cell r="K274">
            <v>2.20610807516546E-4</v>
          </cell>
          <cell r="L274">
            <v>1.7705576218477701E-5</v>
          </cell>
          <cell r="M274">
            <v>9.2259960671220293E-5</v>
          </cell>
          <cell r="N274">
            <v>1.81198374694502E-4</v>
          </cell>
          <cell r="O274">
            <v>7.8910370231640405E-5</v>
          </cell>
        </row>
        <row r="275">
          <cell r="A275" t="str">
            <v>RHNS-SHPLTBR</v>
          </cell>
          <cell r="B275" t="str">
            <v>VAR_cap</v>
          </cell>
          <cell r="C275" t="str">
            <v>-</v>
          </cell>
          <cell r="D275"/>
          <cell r="E275">
            <v>7.6731033805745704E-8</v>
          </cell>
          <cell r="F275">
            <v>2.2647353009338116E-5</v>
          </cell>
          <cell r="G275">
            <v>1.2839918117170382E-4</v>
          </cell>
          <cell r="H275">
            <v>1.3173315374981947E-4</v>
          </cell>
          <cell r="I275">
            <v>1.1955312814296107E-4</v>
          </cell>
          <cell r="J275">
            <v>1.1654069348697172E-4</v>
          </cell>
          <cell r="K275">
            <v>3.3355186261161372E-4</v>
          </cell>
          <cell r="L275">
            <v>3.1773645496424531E-4</v>
          </cell>
          <cell r="M275">
            <v>3.3025985701087065E-4</v>
          </cell>
          <cell r="N275">
            <v>3.2415001201590383E-4</v>
          </cell>
          <cell r="O275">
            <v>3.52019236846865E-4</v>
          </cell>
        </row>
        <row r="276">
          <cell r="A276" t="str">
            <v>D-RHNM_KEV_WOD_ELC_CHP</v>
          </cell>
          <cell r="B276" t="str">
            <v>VAR_fout</v>
          </cell>
          <cell r="C276" t="str">
            <v>ELC5</v>
          </cell>
          <cell r="D276"/>
          <cell r="E276"/>
          <cell r="F276"/>
          <cell r="G276">
            <v>2.7062551011063573E-4</v>
          </cell>
          <cell r="H276">
            <v>3.3448769338970423E-4</v>
          </cell>
          <cell r="I276">
            <v>1.1753590510840319E-3</v>
          </cell>
          <cell r="J276">
            <v>1.4326455251935071E-3</v>
          </cell>
          <cell r="K276">
            <v>6.4508720868324259E-4</v>
          </cell>
          <cell r="L276">
            <v>7.2576687016789908E-4</v>
          </cell>
          <cell r="M276">
            <v>1.3934843052722068E-3</v>
          </cell>
          <cell r="N276">
            <v>6.4267230420898434E-4</v>
          </cell>
          <cell r="O276">
            <v>9.5115844955607695E-4</v>
          </cell>
        </row>
        <row r="277">
          <cell r="A277" t="str">
            <v>D-RHNM_KEV_WOD_ELC_CHP</v>
          </cell>
          <cell r="B277" t="str">
            <v>VAR_fout</v>
          </cell>
          <cell r="C277" t="str">
            <v>RHNM_ELC</v>
          </cell>
          <cell r="D277"/>
          <cell r="E277"/>
          <cell r="F277"/>
          <cell r="G277">
            <v>1.3033833323558127E-4</v>
          </cell>
          <cell r="H277">
            <v>3.3419806421899515E-4</v>
          </cell>
          <cell r="I277">
            <v>1.1744870239746518E-3</v>
          </cell>
          <cell r="J277">
            <v>1.4315176680991433E-3</v>
          </cell>
          <cell r="K277">
            <v>6.4512966880012784E-4</v>
          </cell>
          <cell r="L277">
            <v>7.2592160485232418E-4</v>
          </cell>
          <cell r="M277">
            <v>1.4066402118195855E-3</v>
          </cell>
          <cell r="N277">
            <v>6.4544535026733957E-4</v>
          </cell>
          <cell r="O277">
            <v>9.5278540789875432E-4</v>
          </cell>
        </row>
        <row r="278">
          <cell r="A278" t="str">
            <v>D-RHNM_KEV_WOD_ELC_CHP</v>
          </cell>
          <cell r="B278" t="str">
            <v>VAR_fin</v>
          </cell>
          <cell r="C278" t="str">
            <v>RHNM_KEV_WOD_ELC_CHP</v>
          </cell>
          <cell r="D278"/>
          <cell r="E278"/>
          <cell r="F278"/>
          <cell r="G278">
            <v>4.0019468124747828E-4</v>
          </cell>
          <cell r="H278">
            <v>6.6739488285427349E-4</v>
          </cell>
          <cell r="I278">
            <v>2.3481598369578939E-3</v>
          </cell>
          <cell r="J278">
            <v>2.8615528523574926E-3</v>
          </cell>
          <cell r="K278">
            <v>1.2864619819632523E-3</v>
          </cell>
          <cell r="L278">
            <v>1.4499241035907373E-3</v>
          </cell>
          <cell r="M278">
            <v>2.7967578628492872E-3</v>
          </cell>
          <cell r="N278">
            <v>1.2857122480731062E-3</v>
          </cell>
          <cell r="O278">
            <v>1.900267872367971E-3</v>
          </cell>
        </row>
        <row r="279">
          <cell r="A279" t="str">
            <v>SCOM-SHLTHCHPNGA</v>
          </cell>
          <cell r="B279" t="str">
            <v>VAR_fout</v>
          </cell>
          <cell r="C279" t="str">
            <v>SCOM-SHLTHC-NGA</v>
          </cell>
          <cell r="D279">
            <v>0.68565024398575236</v>
          </cell>
          <cell r="E279">
            <v>0.74269036790797494</v>
          </cell>
          <cell r="F279">
            <v>1.4630466178434984</v>
          </cell>
          <cell r="G279">
            <v>1.6904817039328117</v>
          </cell>
          <cell r="H279">
            <v>1.6201714410410983</v>
          </cell>
          <cell r="I279">
            <v>1.0383948002459376</v>
          </cell>
          <cell r="J279"/>
          <cell r="K279"/>
          <cell r="L279">
            <v>2.9248979832916812E-3</v>
          </cell>
          <cell r="M279">
            <v>2.781611979635674E-3</v>
          </cell>
          <cell r="N279">
            <v>2.1144152795585956E-3</v>
          </cell>
          <cell r="O279">
            <v>4.9484718225918786E-3</v>
          </cell>
        </row>
        <row r="280">
          <cell r="A280" t="str">
            <v>SCOM-SHLTHCHPNGA</v>
          </cell>
          <cell r="B280" t="str">
            <v>VAR_fin</v>
          </cell>
          <cell r="C280" t="str">
            <v>SCOMLTHCHPC</v>
          </cell>
          <cell r="D280">
            <v>0.68565024398575236</v>
          </cell>
          <cell r="E280">
            <v>0.74269036790797494</v>
          </cell>
          <cell r="F280">
            <v>1.4630466178434984</v>
          </cell>
          <cell r="G280">
            <v>1.6904817039328117</v>
          </cell>
          <cell r="H280">
            <v>1.6201714410410983</v>
          </cell>
          <cell r="I280">
            <v>1.0383948002459376</v>
          </cell>
          <cell r="J280"/>
          <cell r="K280"/>
          <cell r="L280">
            <v>2.9248979832916812E-3</v>
          </cell>
          <cell r="M280">
            <v>2.781611979635674E-3</v>
          </cell>
          <cell r="N280">
            <v>2.1144152795585956E-3</v>
          </cell>
          <cell r="O280">
            <v>4.9484718225918786E-3</v>
          </cell>
        </row>
        <row r="281">
          <cell r="A281" t="str">
            <v>SCOM-SHLTHCHPNGA</v>
          </cell>
          <cell r="B281" t="str">
            <v>VAR_fin</v>
          </cell>
          <cell r="C281" t="str">
            <v>SCOM_LTH_CHPNGA_ON</v>
          </cell>
          <cell r="D281">
            <v>0.69257600402601283</v>
          </cell>
          <cell r="E281">
            <v>0.75019229081613603</v>
          </cell>
          <cell r="F281">
            <v>1.4778248665085856</v>
          </cell>
          <cell r="G281">
            <v>1.7075572766998084</v>
          </cell>
          <cell r="H281">
            <v>1.6365368091324257</v>
          </cell>
          <cell r="I281">
            <v>1.0488836366120577</v>
          </cell>
          <cell r="J281"/>
          <cell r="L281">
            <v>2.9544424073653314E-3</v>
          </cell>
          <cell r="M281">
            <v>2.8097090703390654E-3</v>
          </cell>
          <cell r="N281">
            <v>2.1357730096551474E-3</v>
          </cell>
          <cell r="O281">
            <v>4.9984563864564398E-3</v>
          </cell>
        </row>
        <row r="282">
          <cell r="A282" t="str">
            <v>SCOM-SHLTHCHPNGA</v>
          </cell>
          <cell r="B282" t="str">
            <v>VAR_ncap</v>
          </cell>
          <cell r="C282" t="str">
            <v>-</v>
          </cell>
          <cell r="D282">
            <v>1.6464361725895401E-8</v>
          </cell>
          <cell r="E282">
            <v>2.75931152595193E-2</v>
          </cell>
          <cell r="F282">
            <v>7.0452274039754195E-2</v>
          </cell>
          <cell r="G282">
            <v>3.9518353163625702E-2</v>
          </cell>
          <cell r="H282">
            <v>4.6389749384868097E-2</v>
          </cell>
          <cell r="I282">
            <v>3.3616170524235899E-2</v>
          </cell>
          <cell r="J282">
            <v>3.5042331274749899E-7</v>
          </cell>
          <cell r="K282">
            <v>3.0353137394866702E-7</v>
          </cell>
          <cell r="L282">
            <v>3.4628227498115601E-4</v>
          </cell>
          <cell r="M282">
            <v>2.6621450601187202E-4</v>
          </cell>
          <cell r="N282">
            <v>1.68709349258009E-4</v>
          </cell>
          <cell r="O282">
            <v>5.2102103520985097E-4</v>
          </cell>
        </row>
        <row r="283">
          <cell r="A283" t="str">
            <v>SCOM-SHLTHCHPNGA</v>
          </cell>
          <cell r="B283" t="str">
            <v>VAR_cap</v>
          </cell>
          <cell r="C283" t="str">
            <v>-</v>
          </cell>
          <cell r="D283">
            <v>7.5969285422888624E-2</v>
          </cell>
          <cell r="E283">
            <v>6.7871250871322314E-2</v>
          </cell>
          <cell r="F283">
            <v>0.12448503320557129</v>
          </cell>
          <cell r="G283">
            <v>0.13062438801538079</v>
          </cell>
          <cell r="H283">
            <v>0.12613565447699948</v>
          </cell>
          <cell r="I283">
            <v>8.0236614096269393E-2</v>
          </cell>
          <cell r="J283">
            <v>4.3858814399722057E-8</v>
          </cell>
          <cell r="K283">
            <v>9.481241798614537E-9</v>
          </cell>
          <cell r="L283">
            <v>3.4635284867839001E-4</v>
          </cell>
          <cell r="M283">
            <v>3.5583934866049305E-4</v>
          </cell>
          <cell r="N283">
            <v>2.7062144935081597E-4</v>
          </cell>
          <cell r="O283">
            <v>6.3336075571141502E-4</v>
          </cell>
        </row>
        <row r="284">
          <cell r="A284" t="str">
            <v>ITOT-PROCESSCO2</v>
          </cell>
          <cell r="B284" t="str">
            <v>VAR_fout</v>
          </cell>
          <cell r="C284" t="str">
            <v>CO2</v>
          </cell>
          <cell r="D284">
            <v>2089.34680048464</v>
          </cell>
          <cell r="E284">
            <v>2111.0131698740802</v>
          </cell>
          <cell r="F284">
            <v>2102.26947106126</v>
          </cell>
          <cell r="G284">
            <v>2093.6571972331999</v>
          </cell>
          <cell r="H284">
            <v>2085.5351269845</v>
          </cell>
          <cell r="I284">
            <v>2077.4146512658499</v>
          </cell>
          <cell r="J284">
            <v>2070.58126809634</v>
          </cell>
          <cell r="K284">
            <v>2063.7494535333199</v>
          </cell>
          <cell r="L284">
            <v>2063.7495591718898</v>
          </cell>
          <cell r="M284">
            <v>2063.7491802370801</v>
          </cell>
          <cell r="N284">
            <v>2063.7493618446802</v>
          </cell>
          <cell r="O284">
            <v>2063.7497022121702</v>
          </cell>
        </row>
        <row r="285">
          <cell r="A285" t="str">
            <v>ITOT-PROCESSCO2</v>
          </cell>
          <cell r="B285" t="str">
            <v>VAR_fout</v>
          </cell>
          <cell r="C285" t="str">
            <v>CO2P</v>
          </cell>
          <cell r="D285">
            <v>2089.34680048464</v>
          </cell>
          <cell r="E285">
            <v>2111.0131698740802</v>
          </cell>
          <cell r="F285">
            <v>2102.26947106126</v>
          </cell>
          <cell r="G285">
            <v>2093.6571972332035</v>
          </cell>
          <cell r="H285">
            <v>2085.5351269845</v>
          </cell>
          <cell r="I285">
            <v>2077.4146512658472</v>
          </cell>
          <cell r="J285">
            <v>2070.5812680963404</v>
          </cell>
          <cell r="K285">
            <v>2063.749453533319</v>
          </cell>
          <cell r="L285">
            <v>2063.7495591718848</v>
          </cell>
          <cell r="M285">
            <v>2063.7491802370801</v>
          </cell>
          <cell r="N285">
            <v>2063.7493618446824</v>
          </cell>
          <cell r="O285">
            <v>2063.7497022121738</v>
          </cell>
        </row>
        <row r="286">
          <cell r="A286" t="str">
            <v>RHNM-SHWODBR</v>
          </cell>
          <cell r="B286" t="str">
            <v>VAR_fout</v>
          </cell>
          <cell r="C286" t="str">
            <v>RHNM-SHWOD</v>
          </cell>
          <cell r="D286"/>
          <cell r="E286">
            <v>8.1139172866212028E-2</v>
          </cell>
          <cell r="F286">
            <v>8.1139099005381243E-2</v>
          </cell>
          <cell r="G286">
            <v>8.1138508447590393E-2</v>
          </cell>
          <cell r="H286">
            <v>8.113863043600103E-2</v>
          </cell>
          <cell r="I286">
            <v>8.1138513565809922E-2</v>
          </cell>
          <cell r="J286">
            <v>8.1138381750301969E-2</v>
          </cell>
          <cell r="K286">
            <v>8.1138038544001534E-2</v>
          </cell>
          <cell r="L286">
            <v>8.1137293092292659E-2</v>
          </cell>
          <cell r="M286">
            <v>8.1136818670099892E-2</v>
          </cell>
          <cell r="N286">
            <v>8.1117665913198689E-2</v>
          </cell>
          <cell r="O286">
            <v>9.8384950166323076E-3</v>
          </cell>
        </row>
        <row r="287">
          <cell r="A287" t="str">
            <v>RHNM-SHWODBR</v>
          </cell>
          <cell r="B287" t="str">
            <v>VAR_fin</v>
          </cell>
          <cell r="C287" t="str">
            <v>RHNMWODBRC</v>
          </cell>
          <cell r="D287"/>
          <cell r="E287">
            <v>8.1139172866212028E-2</v>
          </cell>
          <cell r="F287">
            <v>8.1139099005381243E-2</v>
          </cell>
          <cell r="G287">
            <v>8.1138508447590393E-2</v>
          </cell>
          <cell r="H287">
            <v>8.113863043600103E-2</v>
          </cell>
          <cell r="I287">
            <v>8.1138513565809922E-2</v>
          </cell>
          <cell r="J287">
            <v>8.1138381750301969E-2</v>
          </cell>
          <cell r="K287">
            <v>8.1138038544001534E-2</v>
          </cell>
          <cell r="L287">
            <v>8.1137293092292659E-2</v>
          </cell>
          <cell r="M287">
            <v>8.1136818670099892E-2</v>
          </cell>
          <cell r="N287">
            <v>8.1117665913198689E-2</v>
          </cell>
          <cell r="O287">
            <v>9.8384950166323076E-3</v>
          </cell>
        </row>
        <row r="288">
          <cell r="A288" t="str">
            <v>RHNM-SHWODBR</v>
          </cell>
          <cell r="B288" t="str">
            <v>VAR_fin</v>
          </cell>
          <cell r="C288" t="str">
            <v>RWOD</v>
          </cell>
          <cell r="D288"/>
          <cell r="E288">
            <v>0.11269329564751661</v>
          </cell>
          <cell r="F288">
            <v>0.11269319306302956</v>
          </cell>
          <cell r="G288">
            <v>0.11269237284387557</v>
          </cell>
          <cell r="H288">
            <v>0.11269254227222364</v>
          </cell>
          <cell r="I288">
            <v>0.11269237995251377</v>
          </cell>
          <cell r="J288">
            <v>0.11269219687541943</v>
          </cell>
          <cell r="K288">
            <v>0.11269172020000197</v>
          </cell>
          <cell r="L288">
            <v>0.11269068485040648</v>
          </cell>
          <cell r="M288">
            <v>0.11269002593069434</v>
          </cell>
          <cell r="N288">
            <v>0.11266342487944266</v>
          </cell>
          <cell r="O288">
            <v>1.3664576411989308E-2</v>
          </cell>
        </row>
        <row r="289">
          <cell r="A289" t="str">
            <v>RHNM-SHWODBR</v>
          </cell>
          <cell r="B289" t="str">
            <v>VAR_ncap</v>
          </cell>
          <cell r="C289" t="str">
            <v>-</v>
          </cell>
          <cell r="D289"/>
          <cell r="E289">
            <v>6.3382827343595096E-3</v>
          </cell>
          <cell r="F289">
            <v>1.13921516924999E-4</v>
          </cell>
          <cell r="G289"/>
          <cell r="H289">
            <v>6.2870297953743397E-3</v>
          </cell>
          <cell r="I289"/>
          <cell r="J289">
            <v>6.3189625468368302E-3</v>
          </cell>
          <cell r="K289"/>
          <cell r="L289">
            <v>1.7015031584901399E-3</v>
          </cell>
          <cell r="M289">
            <v>4.9672589159454796E-3</v>
          </cell>
          <cell r="N289">
            <v>2.6304226168816501E-4</v>
          </cell>
          <cell r="O289">
            <v>1.11288191681632E-6</v>
          </cell>
        </row>
        <row r="290">
          <cell r="A290" t="str">
            <v>RHNM-SHWODBR</v>
          </cell>
          <cell r="B290" t="str">
            <v>VAR_cap</v>
          </cell>
          <cell r="C290" t="str">
            <v>-</v>
          </cell>
          <cell r="D290"/>
          <cell r="E290">
            <v>6.3382827343595096E-3</v>
          </cell>
          <cell r="F290">
            <v>6.452054213174449E-3</v>
          </cell>
          <cell r="G290">
            <v>6.4517141599802911E-3</v>
          </cell>
          <cell r="H290">
            <v>8.2217624802896992E-3</v>
          </cell>
          <cell r="I290">
            <v>6.310732521105587E-3</v>
          </cell>
          <cell r="J290">
            <v>8.0779305689389E-3</v>
          </cell>
          <cell r="K290">
            <v>6.3189002332205476E-3</v>
          </cell>
          <cell r="L290">
            <v>7.1828585616083591E-3</v>
          </cell>
          <cell r="M290">
            <v>6.6686064345770259E-3</v>
          </cell>
          <cell r="N290">
            <v>6.3920159087436854E-3</v>
          </cell>
          <cell r="O290">
            <v>1.5253081017524402E-3</v>
          </cell>
        </row>
        <row r="291">
          <cell r="A291" t="str">
            <v>RHNS-SHDEM</v>
          </cell>
          <cell r="B291" t="str">
            <v>VAR_fout</v>
          </cell>
          <cell r="C291" t="str">
            <v>RHNS-SHD</v>
          </cell>
          <cell r="D291"/>
          <cell r="E291">
            <v>0.40498900274511701</v>
          </cell>
          <cell r="F291">
            <v>0.99391635777870935</v>
          </cell>
          <cell r="G291">
            <v>1.8460248800363404</v>
          </cell>
          <cell r="H291">
            <v>2.5919174576310802</v>
          </cell>
          <cell r="I291">
            <v>3.3577558477160485</v>
          </cell>
          <cell r="J291">
            <v>4.1380724816408536</v>
          </cell>
          <cell r="K291">
            <v>4.9940828428825199</v>
          </cell>
          <cell r="L291">
            <v>4.9107134017925507</v>
          </cell>
          <cell r="M291">
            <v>4.8891371853700276</v>
          </cell>
          <cell r="N291">
            <v>4.8906557867632197</v>
          </cell>
          <cell r="O291">
            <v>4.7384836096024898</v>
          </cell>
        </row>
        <row r="292">
          <cell r="A292" t="str">
            <v>RHNS-SHDEM</v>
          </cell>
          <cell r="B292" t="str">
            <v>VAR_fin</v>
          </cell>
          <cell r="C292" t="str">
            <v>RHNS-SHLTHC-WOD</v>
          </cell>
          <cell r="D292"/>
          <cell r="E292">
            <v>2.3544749830671217E-5</v>
          </cell>
          <cell r="F292"/>
          <cell r="G292">
            <v>1.1258593546729118E-3</v>
          </cell>
          <cell r="H292">
            <v>1.5775512130457553E-3</v>
          </cell>
          <cell r="I292">
            <v>4.0979945755940357E-3</v>
          </cell>
          <cell r="J292">
            <v>3.9190276652869708E-3</v>
          </cell>
          <cell r="K292">
            <v>6.8468908551946837E-3</v>
          </cell>
          <cell r="L292">
            <v>3.035374650969399E-3</v>
          </cell>
          <cell r="M292">
            <v>8.6957241565238166E-3</v>
          </cell>
          <cell r="N292">
            <v>1.1297888984252671E-2</v>
          </cell>
          <cell r="O292">
            <v>0.19869941736561941</v>
          </cell>
        </row>
        <row r="293">
          <cell r="A293" t="str">
            <v>RHNS-SHDEM</v>
          </cell>
          <cell r="B293" t="str">
            <v>VAR_fin</v>
          </cell>
          <cell r="C293" t="str">
            <v>RHNS-SHLFO</v>
          </cell>
          <cell r="D293"/>
          <cell r="E293">
            <v>1.139715947892585E-5</v>
          </cell>
          <cell r="F293"/>
          <cell r="G293">
            <v>4.5746488733816213E-4</v>
          </cell>
          <cell r="H293">
            <v>4.9930713309167293E-4</v>
          </cell>
          <cell r="I293">
            <v>4.2663671502932801E-6</v>
          </cell>
          <cell r="J293"/>
          <cell r="K293">
            <v>5.2467355186905242E-5</v>
          </cell>
          <cell r="M293">
            <v>1.2001191929483161E-3</v>
          </cell>
          <cell r="O293">
            <v>7.0764855793690171E-2</v>
          </cell>
        </row>
        <row r="294">
          <cell r="A294" t="str">
            <v>RHNS-SHDEM</v>
          </cell>
          <cell r="B294" t="str">
            <v>VAR_fin</v>
          </cell>
          <cell r="C294" t="str">
            <v>RHNS-SHNGAH</v>
          </cell>
          <cell r="D294"/>
          <cell r="E294">
            <v>2.2932353183943524E-5</v>
          </cell>
          <cell r="F294">
            <v>2.2786232360868723E-3</v>
          </cell>
          <cell r="G294">
            <v>2.077072372765095E-3</v>
          </cell>
          <cell r="H294">
            <v>2.0724352360973787E-2</v>
          </cell>
          <cell r="I294">
            <v>0.79093065116997674</v>
          </cell>
          <cell r="J294">
            <v>0.77996780288301437</v>
          </cell>
          <cell r="K294">
            <v>0.77383887067340962</v>
          </cell>
          <cell r="L294">
            <v>7.6597185874902954E-2</v>
          </cell>
          <cell r="M294">
            <v>8.8029689742018784E-3</v>
          </cell>
          <cell r="N294">
            <v>1.1817754844658484E-2</v>
          </cell>
          <cell r="O294">
            <v>0.19747895537962792</v>
          </cell>
        </row>
        <row r="295">
          <cell r="A295" t="str">
            <v>RHNS-SHDEM</v>
          </cell>
          <cell r="B295" t="str">
            <v>VAR_fin</v>
          </cell>
          <cell r="C295" t="str">
            <v>RHNS-SHCON</v>
          </cell>
          <cell r="D295"/>
          <cell r="E295"/>
          <cell r="F295">
            <v>7.661126737878055E-5</v>
          </cell>
          <cell r="G295">
            <v>6.8316153147754625E-5</v>
          </cell>
          <cell r="H295">
            <v>1.283544897187952E-4</v>
          </cell>
          <cell r="I295">
            <v>1.2155815438976304E-4</v>
          </cell>
          <cell r="J295">
            <v>1.2459396599068991E-4</v>
          </cell>
          <cell r="K295">
            <v>2.6840620467417919E-4</v>
          </cell>
          <cell r="L295">
            <v>2.3092406991980741E-4</v>
          </cell>
          <cell r="M295">
            <v>2.3759009817547267E-4</v>
          </cell>
          <cell r="N295">
            <v>3.4792898946149885E-4</v>
          </cell>
          <cell r="O295">
            <v>1.6636077911051435</v>
          </cell>
        </row>
        <row r="296">
          <cell r="A296" t="str">
            <v>RHNS-SHDEM</v>
          </cell>
          <cell r="B296" t="str">
            <v>VAR_fin</v>
          </cell>
          <cell r="C296" t="str">
            <v>RHNS-SHWOD</v>
          </cell>
          <cell r="D296"/>
          <cell r="E296">
            <v>2.644393849992277E-2</v>
          </cell>
          <cell r="F296">
            <v>9.3633213647045091E-2</v>
          </cell>
          <cell r="G296">
            <v>0.10650035270639799</v>
          </cell>
          <cell r="H296">
            <v>0.23067270915011284</v>
          </cell>
          <cell r="I296">
            <v>0.15183337676842523</v>
          </cell>
          <cell r="J296">
            <v>0.16064993192641294</v>
          </cell>
          <cell r="K296">
            <v>0.24130529399263137</v>
          </cell>
          <cell r="L296">
            <v>0.15568022447821467</v>
          </cell>
          <cell r="M296">
            <v>0.13571169159175442</v>
          </cell>
          <cell r="N296">
            <v>0.12726110366999618</v>
          </cell>
          <cell r="O296">
            <v>0.21189036623891602</v>
          </cell>
        </row>
        <row r="297">
          <cell r="A297" t="str">
            <v>RHNS-SHDEM</v>
          </cell>
          <cell r="B297" t="str">
            <v>VAR_fin</v>
          </cell>
          <cell r="C297" t="str">
            <v>RHNS-SHNST</v>
          </cell>
          <cell r="D297"/>
          <cell r="E297">
            <v>1.9270084528934637E-5</v>
          </cell>
          <cell r="F297">
            <v>6.3784888376698461E-4</v>
          </cell>
          <cell r="G297">
            <v>1.8273579363940089E-5</v>
          </cell>
          <cell r="H297">
            <v>6.7341572527399504E-5</v>
          </cell>
          <cell r="I297">
            <v>7.1120717692970499E-4</v>
          </cell>
          <cell r="J297">
            <v>7.9812775511932464E-4</v>
          </cell>
          <cell r="K297">
            <v>1.0577608210639708E-4</v>
          </cell>
          <cell r="L297">
            <v>7.1556181709217504E-4</v>
          </cell>
          <cell r="M297">
            <v>2.1879038722458248E-3</v>
          </cell>
          <cell r="N297">
            <v>7.0917732011867409E-3</v>
          </cell>
          <cell r="O297">
            <v>6.484778403974148E-2</v>
          </cell>
        </row>
        <row r="298">
          <cell r="A298" t="str">
            <v>RHNS-SHDEM</v>
          </cell>
          <cell r="B298" t="str">
            <v>VAR_fin</v>
          </cell>
          <cell r="C298" t="str">
            <v>RHNS-SHPLT</v>
          </cell>
          <cell r="D298"/>
          <cell r="E298">
            <v>3.564895040653532E-5</v>
          </cell>
          <cell r="F298">
            <v>1.0698031243396599E-3</v>
          </cell>
          <cell r="G298">
            <v>1.7113354485572385E-3</v>
          </cell>
          <cell r="H298">
            <v>1.9331620798033659E-3</v>
          </cell>
          <cell r="I298">
            <v>2.069786296571089E-3</v>
          </cell>
          <cell r="J298">
            <v>2.128072040249424E-3</v>
          </cell>
          <cell r="K298">
            <v>4.1665105351332259E-3</v>
          </cell>
          <cell r="L298">
            <v>4.3442307525244127E-3</v>
          </cell>
          <cell r="M298">
            <v>9.3020263275226615E-3</v>
          </cell>
          <cell r="N298">
            <v>1.2145807951299938E-2</v>
          </cell>
          <cell r="O298">
            <v>0.19793800832738545</v>
          </cell>
        </row>
        <row r="299">
          <cell r="A299" t="str">
            <v>RHNS-SHDEM</v>
          </cell>
          <cell r="B299" t="str">
            <v>VAR_fin</v>
          </cell>
          <cell r="C299" t="str">
            <v>RHNS-SHLTHD</v>
          </cell>
          <cell r="D299"/>
          <cell r="E299">
            <v>5.3758616065001208E-2</v>
          </cell>
          <cell r="F299">
            <v>6.9076088008238251E-2</v>
          </cell>
          <cell r="G299">
            <v>0.11101329847677398</v>
          </cell>
          <cell r="H299">
            <v>0.17401769407437911</v>
          </cell>
          <cell r="I299">
            <v>0.24787939415520166</v>
          </cell>
          <cell r="J299">
            <v>0.33934384147832042</v>
          </cell>
          <cell r="K299">
            <v>0.45156285685582626</v>
          </cell>
          <cell r="L299">
            <v>0.47261331113721955</v>
          </cell>
          <cell r="M299">
            <v>0.46931360461395549</v>
          </cell>
          <cell r="N299">
            <v>0.48100756441980186</v>
          </cell>
          <cell r="O299">
            <v>0.33798506896274488</v>
          </cell>
        </row>
        <row r="300">
          <cell r="A300" t="str">
            <v>RHNS-SHDEM</v>
          </cell>
          <cell r="B300" t="str">
            <v>VAR_fin</v>
          </cell>
          <cell r="C300" t="str">
            <v>RHNS-SHELCB</v>
          </cell>
          <cell r="D300"/>
          <cell r="E300">
            <v>6.8885122694557946E-2</v>
          </cell>
          <cell r="F300">
            <v>7.195028576892594E-2</v>
          </cell>
          <cell r="G300">
            <v>1.9045835638380013E-3</v>
          </cell>
          <cell r="H300">
            <v>1.6579606477789002E-3</v>
          </cell>
          <cell r="I300">
            <v>1.3498067563026746E-3</v>
          </cell>
          <cell r="J300">
            <v>1.6982770497369556E-3</v>
          </cell>
          <cell r="K300">
            <v>1.6748262864032628E-3</v>
          </cell>
          <cell r="L300">
            <v>1.6225025313964412E-3</v>
          </cell>
          <cell r="M300">
            <v>8.7161355018126902E-3</v>
          </cell>
          <cell r="N300">
            <v>1.1766329439424765E-2</v>
          </cell>
          <cell r="O300">
            <v>0.19770825994174979</v>
          </cell>
        </row>
        <row r="301">
          <cell r="A301" t="str">
            <v>RHNS-SHDEM</v>
          </cell>
          <cell r="B301" t="str">
            <v>VAR_fin</v>
          </cell>
          <cell r="C301" t="str">
            <v>RHNS-SHELCH</v>
          </cell>
          <cell r="D301"/>
          <cell r="E301">
            <v>0.24149137437134949</v>
          </cell>
          <cell r="F301">
            <v>0.73827876664223679</v>
          </cell>
          <cell r="G301">
            <v>1.6094987091694177</v>
          </cell>
          <cell r="H301">
            <v>2.1417105032199761</v>
          </cell>
          <cell r="I301">
            <v>2.1416306139128114</v>
          </cell>
          <cell r="J301">
            <v>2.8364427623090345</v>
          </cell>
          <cell r="K301">
            <v>3.4968688214302883</v>
          </cell>
          <cell r="L301">
            <v>4.1904547382483939</v>
          </cell>
          <cell r="M301">
            <v>4.2262802826686574</v>
          </cell>
          <cell r="N301">
            <v>4.2055866356179035</v>
          </cell>
          <cell r="O301">
            <v>1.1993084105361256</v>
          </cell>
        </row>
        <row r="302">
          <cell r="A302" t="str">
            <v>RHNS-SHDEM</v>
          </cell>
          <cell r="B302" t="str">
            <v>VAR_fin</v>
          </cell>
          <cell r="C302" t="str">
            <v>RHNS-SHSOL</v>
          </cell>
          <cell r="D302"/>
          <cell r="E302">
            <v>1.3336123210763173E-2</v>
          </cell>
          <cell r="F302">
            <v>1.454141194357822E-2</v>
          </cell>
          <cell r="G302">
            <v>9.5858967837613839E-3</v>
          </cell>
          <cell r="H302">
            <v>1.6200030833837347E-2</v>
          </cell>
          <cell r="I302">
            <v>1.5254423457536798E-2</v>
          </cell>
          <cell r="J302">
            <v>1.3076466234286628E-2</v>
          </cell>
          <cell r="K302">
            <v>1.7399023389700105E-2</v>
          </cell>
          <cell r="L302">
            <v>3.7562482770393522E-3</v>
          </cell>
          <cell r="M302">
            <v>8.5776179180197549E-3</v>
          </cell>
          <cell r="N302">
            <v>1.1147367742102142E-2</v>
          </cell>
          <cell r="O302">
            <v>0.197364730026584</v>
          </cell>
        </row>
        <row r="303">
          <cell r="A303" t="str">
            <v>RHNS-SHDEM</v>
          </cell>
          <cell r="B303" t="str">
            <v>VAR_fin</v>
          </cell>
          <cell r="C303" t="str">
            <v>RHNS-SHLTHC-NGA</v>
          </cell>
          <cell r="D303"/>
          <cell r="E303">
            <v>9.7507662767947509E-4</v>
          </cell>
          <cell r="F303">
            <v>2.4444375816217558E-3</v>
          </cell>
          <cell r="G303">
            <v>2.0268549788798862E-3</v>
          </cell>
          <cell r="H303">
            <v>2.7536652019288193E-3</v>
          </cell>
          <cell r="I303">
            <v>1.9404403368949328E-3</v>
          </cell>
          <cell r="J303"/>
          <cell r="K303">
            <v>4.4035472532264112E-5</v>
          </cell>
          <cell r="L303">
            <v>1.7008745732826451E-3</v>
          </cell>
          <cell r="M303">
            <v>8.4262614524170283E-3</v>
          </cell>
          <cell r="N303">
            <v>1.1242281650636943E-2</v>
          </cell>
          <cell r="O303">
            <v>0.19851740899324197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</v>
          </cell>
          <cell r="D304"/>
          <cell r="E304">
            <v>2.1788549840156497E-5</v>
          </cell>
          <cell r="F304"/>
          <cell r="G304">
            <v>1.0218753642907135E-4</v>
          </cell>
          <cell r="H304">
            <v>4.8905663062209481E-5</v>
          </cell>
          <cell r="I304"/>
          <cell r="J304"/>
          <cell r="K304">
            <v>2.9976277295449856E-5</v>
          </cell>
          <cell r="L304">
            <v>2.3620318372612451E-5</v>
          </cell>
          <cell r="M304">
            <v>1.7725746652356589E-3</v>
          </cell>
          <cell r="O304">
            <v>2.4521313983495701E-3</v>
          </cell>
        </row>
        <row r="305">
          <cell r="A305" t="str">
            <v>RES-ELCSPEC</v>
          </cell>
          <cell r="B305" t="str">
            <v>VAR_fout</v>
          </cell>
          <cell r="C305" t="str">
            <v>RHSA-ELS</v>
          </cell>
          <cell r="D305">
            <v>44.57690563477184</v>
          </cell>
          <cell r="E305">
            <v>44.827338231160248</v>
          </cell>
          <cell r="F305">
            <v>44.633490753724523</v>
          </cell>
          <cell r="G305">
            <v>44.838272425177777</v>
          </cell>
          <cell r="H305">
            <v>45.030086229070832</v>
          </cell>
          <cell r="I305">
            <v>45.051866461391974</v>
          </cell>
          <cell r="J305">
            <v>44.87346663741728</v>
          </cell>
          <cell r="K305">
            <v>44.932088396366808</v>
          </cell>
          <cell r="L305">
            <v>45.475839277680095</v>
          </cell>
          <cell r="M305">
            <v>45.859518897111919</v>
          </cell>
          <cell r="N305">
            <v>46.272794227279846</v>
          </cell>
          <cell r="O305">
            <v>46.288977645984509</v>
          </cell>
        </row>
        <row r="306">
          <cell r="A306" t="str">
            <v>RES-ELCSPEC</v>
          </cell>
          <cell r="B306" t="str">
            <v>VAR_fin</v>
          </cell>
          <cell r="C306" t="str">
            <v>RHSA_ELC</v>
          </cell>
          <cell r="D306">
            <v>44.57690563477184</v>
          </cell>
          <cell r="E306">
            <v>44.827338231160248</v>
          </cell>
          <cell r="F306">
            <v>44.633490753724523</v>
          </cell>
          <cell r="G306">
            <v>44.838272425177777</v>
          </cell>
          <cell r="H306">
            <v>45.030086229070832</v>
          </cell>
          <cell r="I306">
            <v>45.051866461391974</v>
          </cell>
          <cell r="J306">
            <v>44.87346663741728</v>
          </cell>
          <cell r="K306">
            <v>44.932088396366808</v>
          </cell>
          <cell r="L306">
            <v>45.475839277680095</v>
          </cell>
          <cell r="M306">
            <v>45.859518897111919</v>
          </cell>
          <cell r="N306">
            <v>46.272794227279846</v>
          </cell>
          <cell r="O306">
            <v>46.288977645984509</v>
          </cell>
        </row>
        <row r="307">
          <cell r="A307" t="str">
            <v>RES-ELCSPEC</v>
          </cell>
          <cell r="B307" t="str">
            <v>VAR_ncap</v>
          </cell>
          <cell r="C307" t="str">
            <v>-</v>
          </cell>
          <cell r="D307">
            <v>0.19321155505177401</v>
          </cell>
          <cell r="E307">
            <v>1.6538527373454299E-6</v>
          </cell>
          <cell r="F307">
            <v>1.56704814031402E-6</v>
          </cell>
          <cell r="G307">
            <v>2.12473402491935E-6</v>
          </cell>
          <cell r="H307">
            <v>1.40516745307199E-3</v>
          </cell>
          <cell r="I307">
            <v>2.3051723139166499E-3</v>
          </cell>
          <cell r="J307">
            <v>3.0588789385329598</v>
          </cell>
          <cell r="K307">
            <v>1.6867075692060201</v>
          </cell>
          <cell r="L307">
            <v>5.7477566839794603E-2</v>
          </cell>
          <cell r="M307">
            <v>4.1964259069474402E-2</v>
          </cell>
          <cell r="N307">
            <v>0.524854396694027</v>
          </cell>
          <cell r="O307">
            <v>2.5817256089259302</v>
          </cell>
        </row>
        <row r="308">
          <cell r="A308" t="str">
            <v>RES-ELCSPEC</v>
          </cell>
          <cell r="B308" t="str">
            <v>VAR_cap</v>
          </cell>
          <cell r="C308" t="str">
            <v>-</v>
          </cell>
          <cell r="D308">
            <v>4.7117482391822438</v>
          </cell>
          <cell r="E308">
            <v>4.742363691878694</v>
          </cell>
          <cell r="F308">
            <v>4.7582468297570681</v>
          </cell>
          <cell r="G308">
            <v>4.7582464067316312</v>
          </cell>
          <cell r="H308">
            <v>4.7596497423392625</v>
          </cell>
          <cell r="I308">
            <v>4.7619519911932677</v>
          </cell>
          <cell r="J308">
            <v>4.7430949392036741</v>
          </cell>
          <cell r="K308">
            <v>4.7492924875987317</v>
          </cell>
          <cell r="L308">
            <v>4.8067657327111695</v>
          </cell>
          <cell r="M308">
            <v>4.8473217293325828</v>
          </cell>
          <cell r="N308">
            <v>4.8910038971652749</v>
          </cell>
          <cell r="O308">
            <v>4.8927169297690938</v>
          </cell>
        </row>
        <row r="309">
          <cell r="A309" t="str">
            <v>SCOM-SHCONBR1</v>
          </cell>
          <cell r="B309" t="str">
            <v>VAR_fout</v>
          </cell>
          <cell r="C309" t="str">
            <v>SCOM-SHCON</v>
          </cell>
          <cell r="D309"/>
          <cell r="E309">
            <v>1.519752881104744</v>
          </cell>
          <cell r="F309">
            <v>1.5195915296545004</v>
          </cell>
          <cell r="G309">
            <v>2.6177934303904182</v>
          </cell>
          <cell r="H309">
            <v>2.6177918272241811</v>
          </cell>
          <cell r="I309">
            <v>2.6177922662201207</v>
          </cell>
          <cell r="J309">
            <v>2.6177951254602525</v>
          </cell>
          <cell r="K309">
            <v>2.6177984450309024</v>
          </cell>
          <cell r="L309">
            <v>2.6177925744628276</v>
          </cell>
          <cell r="M309">
            <v>2.6177960873056563</v>
          </cell>
          <cell r="N309">
            <v>2.6177920211654482</v>
          </cell>
          <cell r="O309">
            <v>2.6177961440527091</v>
          </cell>
        </row>
        <row r="310">
          <cell r="A310" t="str">
            <v>SCOM-SHCONBR1</v>
          </cell>
          <cell r="B310" t="str">
            <v>VAR_fin</v>
          </cell>
          <cell r="C310" t="str">
            <v>CON</v>
          </cell>
          <cell r="D310"/>
          <cell r="E310">
            <v>1.519752881104744</v>
          </cell>
          <cell r="F310">
            <v>1.5195915296545004</v>
          </cell>
          <cell r="G310">
            <v>2.6177934303904182</v>
          </cell>
          <cell r="H310">
            <v>2.6177918272241811</v>
          </cell>
          <cell r="I310">
            <v>2.6177922662201207</v>
          </cell>
          <cell r="J310">
            <v>2.6177951254602525</v>
          </cell>
          <cell r="K310">
            <v>2.6177984450309024</v>
          </cell>
          <cell r="L310">
            <v>2.6177925744628276</v>
          </cell>
          <cell r="M310">
            <v>2.6177960873056563</v>
          </cell>
          <cell r="N310">
            <v>2.6177920211654482</v>
          </cell>
          <cell r="O310">
            <v>2.6177961440527091</v>
          </cell>
        </row>
        <row r="311">
          <cell r="A311" t="str">
            <v>SCOM-SHCONBR1</v>
          </cell>
          <cell r="B311" t="str">
            <v>VAR_ncap</v>
          </cell>
          <cell r="C311" t="str">
            <v>-</v>
          </cell>
          <cell r="D311"/>
          <cell r="E311">
            <v>0.117431406911934</v>
          </cell>
          <cell r="F311">
            <v>1.38714611158107E-6</v>
          </cell>
          <cell r="G311">
            <v>8.4868343102875402E-2</v>
          </cell>
          <cell r="H311">
            <v>2.9478885773536001E-7</v>
          </cell>
          <cell r="I311">
            <v>3.4367278786936598E-7</v>
          </cell>
          <cell r="J311">
            <v>3.5024638650772798E-7</v>
          </cell>
          <cell r="K311">
            <v>3.8179316075338497E-2</v>
          </cell>
          <cell r="L311">
            <v>0.102023402747384</v>
          </cell>
          <cell r="M311">
            <v>6.2112394356751803E-2</v>
          </cell>
          <cell r="N311">
            <v>4.5197667966406302E-6</v>
          </cell>
          <cell r="O311">
            <v>4.64456669242015E-7</v>
          </cell>
        </row>
        <row r="312">
          <cell r="A312" t="str">
            <v>SCOM-SHCONBR1</v>
          </cell>
          <cell r="B312" t="str">
            <v>VAR_cap</v>
          </cell>
          <cell r="C312" t="str">
            <v>-</v>
          </cell>
          <cell r="D312"/>
          <cell r="E312">
            <v>0.117431406911934</v>
          </cell>
          <cell r="F312">
            <v>0.11743272240091773</v>
          </cell>
          <cell r="G312">
            <v>0.20230098042636502</v>
          </cell>
          <cell r="H312">
            <v>0.20230119132283506</v>
          </cell>
          <cell r="I312">
            <v>0.2023014780553247</v>
          </cell>
          <cell r="J312">
            <v>0.20230168314595912</v>
          </cell>
          <cell r="K312">
            <v>0.20229925573699961</v>
          </cell>
          <cell r="L312">
            <v>0.20230157269890356</v>
          </cell>
          <cell r="M312">
            <v>0.20231547650837159</v>
          </cell>
          <cell r="N312">
            <v>0.2023197615801465</v>
          </cell>
          <cell r="O312">
            <v>0.20231987209413257</v>
          </cell>
        </row>
        <row r="313">
          <cell r="A313" t="str">
            <v>RHSA-WHSTG-SOL</v>
          </cell>
          <cell r="B313" t="str">
            <v>VAR_fout</v>
          </cell>
          <cell r="C313" t="str">
            <v>RHSA-WHASOL</v>
          </cell>
          <cell r="D313">
            <v>8.8631107281281907E-6</v>
          </cell>
          <cell r="E313">
            <v>7.297945756443368E-6</v>
          </cell>
          <cell r="F313">
            <v>0.49570009781427138</v>
          </cell>
          <cell r="G313">
            <v>0.51684680375174485</v>
          </cell>
          <cell r="H313">
            <v>0.25225050469540489</v>
          </cell>
          <cell r="I313">
            <v>0.2562882979026786</v>
          </cell>
          <cell r="J313">
            <v>0.28262851833042774</v>
          </cell>
          <cell r="K313">
            <v>1.0310057309165173</v>
          </cell>
          <cell r="L313">
            <v>0.89651918938536523</v>
          </cell>
          <cell r="M313">
            <v>0.84616259592550025</v>
          </cell>
          <cell r="N313">
            <v>0.65667130166688081</v>
          </cell>
          <cell r="O313">
            <v>0.49400745589395989</v>
          </cell>
        </row>
        <row r="314">
          <cell r="A314" t="str">
            <v>RHSA-WHSTG-SOL</v>
          </cell>
          <cell r="B314" t="str">
            <v>VAR_fin</v>
          </cell>
          <cell r="C314" t="str">
            <v>RHSA-WHASOL</v>
          </cell>
          <cell r="D314">
            <v>4.1646677018710852E-7</v>
          </cell>
          <cell r="E314">
            <v>9.0467078923617885E-7</v>
          </cell>
          <cell r="F314">
            <v>0.49572256658536967</v>
          </cell>
          <cell r="G314">
            <v>0.51686877615622961</v>
          </cell>
          <cell r="H314">
            <v>0.2522590750642319</v>
          </cell>
          <cell r="I314">
            <v>0.25629744698012036</v>
          </cell>
          <cell r="J314">
            <v>0.28263438070543606</v>
          </cell>
          <cell r="K314">
            <v>1.0310549722325677</v>
          </cell>
          <cell r="L314">
            <v>0.89656783127504613</v>
          </cell>
          <cell r="M314">
            <v>0.84619960644042724</v>
          </cell>
          <cell r="N314">
            <v>0.65670488764013391</v>
          </cell>
          <cell r="O314">
            <v>0.49402373346019474</v>
          </cell>
        </row>
        <row r="315">
          <cell r="A315" t="str">
            <v>RHSA-WHSTG-SOL</v>
          </cell>
          <cell r="B315" t="str">
            <v>VAR_ncap</v>
          </cell>
          <cell r="C315" t="str">
            <v>-</v>
          </cell>
          <cell r="D315">
            <v>6.8583236019968399E-3</v>
          </cell>
          <cell r="E315">
            <v>7.13845824422039E-2</v>
          </cell>
          <cell r="F315">
            <v>8.1727158672023502E-7</v>
          </cell>
          <cell r="G315">
            <v>7.2338183881067999E-7</v>
          </cell>
          <cell r="H315">
            <v>6.2227116186944903E-4</v>
          </cell>
          <cell r="I315">
            <v>3.6942865781564797E-2</v>
          </cell>
          <cell r="J315">
            <v>5.6828819773954804E-3</v>
          </cell>
          <cell r="K315">
            <v>0.118194155632805</v>
          </cell>
          <cell r="L315">
            <v>1.11241264149585E-2</v>
          </cell>
          <cell r="M315">
            <v>2.00663370273407E-3</v>
          </cell>
          <cell r="N315">
            <v>7.4329558500619106E-2</v>
          </cell>
          <cell r="O315">
            <v>5.0732401818368404E-3</v>
          </cell>
        </row>
        <row r="316">
          <cell r="A316" t="str">
            <v>RHSA-WHSTG-SOL</v>
          </cell>
          <cell r="B316" t="str">
            <v>VAR_cap</v>
          </cell>
          <cell r="C316" t="str">
            <v>-</v>
          </cell>
          <cell r="D316">
            <v>6.8593861549604363E-3</v>
          </cell>
          <cell r="E316">
            <v>7.8243968597164301E-2</v>
          </cell>
          <cell r="F316">
            <v>7.8244785868751096E-2</v>
          </cell>
          <cell r="G316">
            <v>7.8245509250589901E-2</v>
          </cell>
          <cell r="H316">
            <v>3.8976135547304773E-2</v>
          </cell>
          <cell r="I316">
            <v>3.7565894328680703E-2</v>
          </cell>
          <cell r="J316">
            <v>4.32480189208298E-2</v>
          </cell>
          <cell r="K316">
            <v>0.16081990339176599</v>
          </cell>
          <cell r="L316">
            <v>0.13992463011914799</v>
          </cell>
          <cell r="M316">
            <v>0.13132491575049801</v>
          </cell>
          <cell r="N316">
            <v>0.10486859441555101</v>
          </cell>
          <cell r="O316">
            <v>8.1409432385189995E-2</v>
          </cell>
        </row>
        <row r="317">
          <cell r="A317" t="str">
            <v>SCOM-SHCONBR2</v>
          </cell>
          <cell r="B317" t="str">
            <v>VAR_fout</v>
          </cell>
          <cell r="C317" t="str">
            <v>SCOM-SHCON</v>
          </cell>
          <cell r="D317"/>
          <cell r="E317">
            <v>2.3670437637401553</v>
          </cell>
          <cell r="F317">
            <v>2.3668472375878489</v>
          </cell>
          <cell r="G317">
            <v>4.0772695885110481</v>
          </cell>
          <cell r="H317">
            <v>4.0772677471686256</v>
          </cell>
          <cell r="I317">
            <v>4.0772682862948573</v>
          </cell>
          <cell r="J317">
            <v>4.0772712270567881</v>
          </cell>
          <cell r="K317">
            <v>4.077274096230922</v>
          </cell>
          <cell r="L317">
            <v>4.0772686682281334</v>
          </cell>
          <cell r="M317">
            <v>4.0772712896454744</v>
          </cell>
          <cell r="N317">
            <v>4.0772675971283627</v>
          </cell>
          <cell r="O317">
            <v>4.0772715152312413</v>
          </cell>
        </row>
        <row r="318">
          <cell r="A318" t="str">
            <v>SCOM-SHCONBR2</v>
          </cell>
          <cell r="B318" t="str">
            <v>VAR_fin</v>
          </cell>
          <cell r="C318" t="str">
            <v>CON</v>
          </cell>
          <cell r="D318"/>
          <cell r="E318">
            <v>2.3670437637401553</v>
          </cell>
          <cell r="F318">
            <v>2.3668472375878489</v>
          </cell>
          <cell r="G318">
            <v>4.0772695885110481</v>
          </cell>
          <cell r="H318">
            <v>4.0772677471686256</v>
          </cell>
          <cell r="I318">
            <v>4.0772682862948573</v>
          </cell>
          <cell r="J318">
            <v>4.0772712270567881</v>
          </cell>
          <cell r="K318">
            <v>4.077274096230922</v>
          </cell>
          <cell r="L318">
            <v>4.0772686682281334</v>
          </cell>
          <cell r="M318">
            <v>4.0772712896454744</v>
          </cell>
          <cell r="N318">
            <v>4.0772675971283627</v>
          </cell>
          <cell r="O318">
            <v>4.0772715152312413</v>
          </cell>
        </row>
        <row r="319">
          <cell r="A319" t="str">
            <v>SCOM-SHCONBR2</v>
          </cell>
          <cell r="B319" t="str">
            <v>VAR_ncap</v>
          </cell>
          <cell r="C319" t="str">
            <v>-</v>
          </cell>
          <cell r="D319"/>
          <cell r="E319">
            <v>0.18290195933415099</v>
          </cell>
          <cell r="F319">
            <v>1.1198846201710299E-6</v>
          </cell>
          <cell r="G319">
            <v>0.132182037915232</v>
          </cell>
          <cell r="H319">
            <v>3.4527897048768801E-7</v>
          </cell>
          <cell r="I319">
            <v>3.8872746016815897E-7</v>
          </cell>
          <cell r="J319">
            <v>4.2872399793334998E-7</v>
          </cell>
          <cell r="K319">
            <v>5.9466499449564302E-2</v>
          </cell>
          <cell r="L319">
            <v>0.15890131845882299</v>
          </cell>
          <cell r="M319">
            <v>9.6732520944673106E-2</v>
          </cell>
          <cell r="N319">
            <v>4.8051371811781904E-6</v>
          </cell>
          <cell r="O319">
            <v>5.1788374521652699E-7</v>
          </cell>
        </row>
        <row r="320">
          <cell r="A320" t="str">
            <v>SCOM-SHCONBR2</v>
          </cell>
          <cell r="B320" t="str">
            <v>VAR_cap</v>
          </cell>
          <cell r="C320" t="str">
            <v>-</v>
          </cell>
          <cell r="E320">
            <v>0.18290195933415099</v>
          </cell>
          <cell r="F320">
            <v>0.18290300698009807</v>
          </cell>
          <cell r="G320">
            <v>0.31508495862378499</v>
          </cell>
          <cell r="H320">
            <v>0.31508522777230641</v>
          </cell>
          <cell r="I320">
            <v>0.31508556733923304</v>
          </cell>
          <cell r="J320">
            <v>0.31508587122249515</v>
          </cell>
          <cell r="K320">
            <v>0.31508372039192817</v>
          </cell>
          <cell r="L320">
            <v>0.31508606455237892</v>
          </cell>
          <cell r="M320">
            <v>0.31510088714310125</v>
          </cell>
          <cell r="N320">
            <v>0.31510541125113384</v>
          </cell>
          <cell r="O320">
            <v>0.31510554909099253</v>
          </cell>
        </row>
        <row r="321">
          <cell r="A321" t="str">
            <v>SCOM-SHCONBR3</v>
          </cell>
          <cell r="B321" t="str">
            <v>VAR_fout</v>
          </cell>
          <cell r="C321" t="str">
            <v>SCOM-SHCON</v>
          </cell>
          <cell r="D321"/>
          <cell r="E321">
            <v>1.9020075537707728</v>
          </cell>
          <cell r="F321">
            <v>1.9018152247199094</v>
          </cell>
          <cell r="G321">
            <v>3.2762310042440053</v>
          </cell>
          <cell r="H321">
            <v>3.2762163864550895</v>
          </cell>
          <cell r="I321">
            <v>3.2762195960629987</v>
          </cell>
          <cell r="J321">
            <v>3.2762353737738179</v>
          </cell>
          <cell r="K321">
            <v>3.2762390949431808</v>
          </cell>
          <cell r="L321">
            <v>3.2762329783264632</v>
          </cell>
          <cell r="M321">
            <v>3.2762296396837325</v>
          </cell>
          <cell r="N321">
            <v>3.2762311194321057</v>
          </cell>
          <cell r="O321">
            <v>3.2762044284682017</v>
          </cell>
        </row>
        <row r="322">
          <cell r="A322" t="str">
            <v>SCOM-SHCONBR3</v>
          </cell>
          <cell r="B322" t="str">
            <v>VAR_fin</v>
          </cell>
          <cell r="C322" t="str">
            <v>CON</v>
          </cell>
          <cell r="D322"/>
          <cell r="E322">
            <v>1.9020075537707728</v>
          </cell>
          <cell r="F322">
            <v>1.9018152247199094</v>
          </cell>
          <cell r="G322">
            <v>3.2762310042440053</v>
          </cell>
          <cell r="H322">
            <v>3.2762163864550895</v>
          </cell>
          <cell r="I322">
            <v>3.2762195960629987</v>
          </cell>
          <cell r="J322">
            <v>3.2762353737738179</v>
          </cell>
          <cell r="K322">
            <v>3.2762390949431808</v>
          </cell>
          <cell r="L322">
            <v>3.2762329783264632</v>
          </cell>
          <cell r="M322">
            <v>3.2762296396837325</v>
          </cell>
          <cell r="N322">
            <v>3.2762311194321057</v>
          </cell>
          <cell r="O322">
            <v>3.2762044284682017</v>
          </cell>
        </row>
        <row r="323">
          <cell r="A323" t="str">
            <v>SCOM-SHCONBR3</v>
          </cell>
          <cell r="B323" t="str">
            <v>VAR_ncap</v>
          </cell>
          <cell r="C323" t="str">
            <v>-</v>
          </cell>
          <cell r="D323"/>
          <cell r="E323">
            <v>0.14696840430765301</v>
          </cell>
          <cell r="F323">
            <v>2.2969154601717699E-7</v>
          </cell>
          <cell r="G323">
            <v>0.106207935964256</v>
          </cell>
          <cell r="H323">
            <v>3.0453687403462601E-7</v>
          </cell>
          <cell r="I323">
            <v>4.3556394598629002E-7</v>
          </cell>
          <cell r="J323">
            <v>2.52172126972562E-6</v>
          </cell>
          <cell r="K323">
            <v>4.7786261602720599E-2</v>
          </cell>
          <cell r="L323">
            <v>0.12768000191683901</v>
          </cell>
          <cell r="M323">
            <v>7.7710672128906394E-2</v>
          </cell>
          <cell r="N323">
            <v>3.1232426870178101E-6</v>
          </cell>
          <cell r="O323">
            <v>6.1887887483790197E-7</v>
          </cell>
        </row>
        <row r="324">
          <cell r="A324" t="str">
            <v>SCOM-SHCONBR3</v>
          </cell>
          <cell r="B324" t="str">
            <v>VAR_cap</v>
          </cell>
          <cell r="C324" t="str">
            <v>-</v>
          </cell>
          <cell r="D324"/>
          <cell r="E324">
            <v>0.14696840430765301</v>
          </cell>
          <cell r="F324">
            <v>0.14696856427958052</v>
          </cell>
          <cell r="G324">
            <v>0.25317644462407213</v>
          </cell>
          <cell r="H324">
            <v>0.25317669341701199</v>
          </cell>
          <cell r="I324">
            <v>0.25317710997245813</v>
          </cell>
          <cell r="J324">
            <v>0.253179592077862</v>
          </cell>
          <cell r="K324">
            <v>0.25318063550544334</v>
          </cell>
          <cell r="L324">
            <v>0.25318132495490564</v>
          </cell>
          <cell r="M324">
            <v>0.25317976389291524</v>
          </cell>
          <cell r="N324">
            <v>0.25318261870464381</v>
          </cell>
          <cell r="O324">
            <v>0.25318284327148993</v>
          </cell>
        </row>
        <row r="325">
          <cell r="A325" t="str">
            <v>SCOM-SHCONBR4</v>
          </cell>
          <cell r="B325" t="str">
            <v>VAR_fout</v>
          </cell>
          <cell r="C325" t="str">
            <v>SCOM-SHCON</v>
          </cell>
          <cell r="D325"/>
          <cell r="E325">
            <v>0.52287148746344636</v>
          </cell>
          <cell r="F325">
            <v>0.52276609360883664</v>
          </cell>
          <cell r="G325">
            <v>1.7922311013027978</v>
          </cell>
          <cell r="H325">
            <v>1.7921591705198148</v>
          </cell>
          <cell r="I325">
            <v>1.7921674931608218</v>
          </cell>
          <cell r="J325">
            <v>2.9609289862378358</v>
          </cell>
          <cell r="K325">
            <v>3.6025689370186922</v>
          </cell>
          <cell r="L325">
            <v>3.6025610669954253</v>
          </cell>
          <cell r="M325">
            <v>3.6023472558303142</v>
          </cell>
          <cell r="N325">
            <v>3.60253721333835</v>
          </cell>
          <cell r="O325">
            <v>3.6023525844850957</v>
          </cell>
        </row>
        <row r="326">
          <cell r="A326" t="str">
            <v>SCOM-SHCONBR4</v>
          </cell>
          <cell r="B326" t="str">
            <v>VAR_fin</v>
          </cell>
          <cell r="C326" t="str">
            <v>CON</v>
          </cell>
          <cell r="D326"/>
          <cell r="E326">
            <v>0.52287148746344636</v>
          </cell>
          <cell r="F326">
            <v>0.52276609360883664</v>
          </cell>
          <cell r="G326">
            <v>1.7922311013027978</v>
          </cell>
          <cell r="H326">
            <v>1.7921591705198148</v>
          </cell>
          <cell r="I326">
            <v>1.7921674931608218</v>
          </cell>
          <cell r="J326">
            <v>2.9609289862378358</v>
          </cell>
          <cell r="K326">
            <v>3.6025689370186922</v>
          </cell>
          <cell r="L326">
            <v>3.6025610669954253</v>
          </cell>
          <cell r="M326">
            <v>3.6023472558303142</v>
          </cell>
          <cell r="N326">
            <v>3.60253721333835</v>
          </cell>
          <cell r="O326">
            <v>3.6023525844850957</v>
          </cell>
        </row>
        <row r="327">
          <cell r="A327" t="str">
            <v>SCOM-SHCONBR4</v>
          </cell>
          <cell r="B327" t="str">
            <v>VAR_ncap</v>
          </cell>
          <cell r="C327" t="str">
            <v>-</v>
          </cell>
          <cell r="D327"/>
          <cell r="E327">
            <v>4.0401886515805903E-2</v>
          </cell>
          <cell r="F327">
            <v>2.1025955554925299E-7</v>
          </cell>
          <cell r="G327">
            <v>9.8092217534759996E-2</v>
          </cell>
          <cell r="H327">
            <v>1.15379020513263E-7</v>
          </cell>
          <cell r="I327">
            <v>2.7485867064914901E-7</v>
          </cell>
          <cell r="J327">
            <v>9.0313180430724199E-2</v>
          </cell>
          <cell r="K327">
            <v>6.27265133059349E-2</v>
          </cell>
          <cell r="L327">
            <v>5.3583839370149301E-2</v>
          </cell>
          <cell r="M327">
            <v>7.1748539104815101E-2</v>
          </cell>
          <cell r="N327">
            <v>1.1768573826988299E-5</v>
          </cell>
          <cell r="O327">
            <v>4.9195833166367895E-7</v>
          </cell>
        </row>
        <row r="328">
          <cell r="A328" t="str">
            <v>SCOM-SHCONBR4</v>
          </cell>
          <cell r="B328" t="str">
            <v>VAR_cap</v>
          </cell>
          <cell r="C328" t="str">
            <v>-</v>
          </cell>
          <cell r="D328"/>
          <cell r="E328">
            <v>4.0401886515805903E-2</v>
          </cell>
          <cell r="F328">
            <v>4.0402030874663701E-2</v>
          </cell>
          <cell r="G328">
            <v>0.13849422053631608</v>
          </cell>
          <cell r="H328">
            <v>0.13849426176252821</v>
          </cell>
          <cell r="I328">
            <v>0.1384945204219481</v>
          </cell>
          <cell r="J328">
            <v>0.22880770922326252</v>
          </cell>
          <cell r="K328">
            <v>0.27839775205775841</v>
          </cell>
          <cell r="L328">
            <v>0.27839752224988867</v>
          </cell>
          <cell r="M328">
            <v>0.27837209096002202</v>
          </cell>
          <cell r="N328">
            <v>0.27838379461247481</v>
          </cell>
          <cell r="O328">
            <v>0.27838402344865865</v>
          </cell>
        </row>
        <row r="329">
          <cell r="A329" t="str">
            <v>RHEM-SHNGABR</v>
          </cell>
          <cell r="B329" t="str">
            <v>VAR_fout</v>
          </cell>
          <cell r="C329" t="str">
            <v>CO2_R</v>
          </cell>
          <cell r="D329">
            <v>1127.9631557432499</v>
          </cell>
          <cell r="E329">
            <v>1119.1258741260499</v>
          </cell>
          <cell r="F329">
            <v>1134.0352124552701</v>
          </cell>
          <cell r="G329">
            <v>1134.03294640231</v>
          </cell>
          <cell r="H329">
            <v>1042.9344548623201</v>
          </cell>
          <cell r="I329">
            <v>957.35587493170306</v>
          </cell>
          <cell r="J329">
            <v>936.51286263323504</v>
          </cell>
          <cell r="K329">
            <v>407.13420465660403</v>
          </cell>
          <cell r="L329">
            <v>245.18332582605001</v>
          </cell>
          <cell r="M329">
            <v>226.303286857411</v>
          </cell>
          <cell r="N329">
            <v>226.30311926515401</v>
          </cell>
          <cell r="O329">
            <v>174.493447477253</v>
          </cell>
        </row>
        <row r="330">
          <cell r="A330" t="str">
            <v>RHEM-SHNGABR</v>
          </cell>
          <cell r="B330" t="str">
            <v>VAR_fout</v>
          </cell>
          <cell r="C330" t="str">
            <v>RHEM-SHNGA</v>
          </cell>
          <cell r="D330">
            <v>18.99937939638458</v>
          </cell>
          <cell r="E330">
            <v>18.850524475527401</v>
          </cell>
          <cell r="F330">
            <v>19.101656947384885</v>
          </cell>
          <cell r="G330">
            <v>19.101618778053165</v>
          </cell>
          <cell r="H330">
            <v>17.567158370907958</v>
          </cell>
          <cell r="I330">
            <v>16.125675198317694</v>
          </cell>
          <cell r="J330">
            <v>15.774596090453434</v>
          </cell>
          <cell r="K330">
            <v>6.8577569933293283</v>
          </cell>
          <cell r="L330">
            <v>4.1298609846586531</v>
          </cell>
          <cell r="M330">
            <v>3.8118461438748246</v>
          </cell>
          <cell r="N330">
            <v>3.8118433209556035</v>
          </cell>
          <cell r="O330">
            <v>2.9391626791381293</v>
          </cell>
        </row>
        <row r="331">
          <cell r="A331" t="str">
            <v>RHEM-SHNGABR</v>
          </cell>
          <cell r="B331" t="str">
            <v>VAR_fin</v>
          </cell>
          <cell r="C331" t="str">
            <v>RNGA</v>
          </cell>
          <cell r="D331">
            <v>19.999346733036404</v>
          </cell>
          <cell r="E331">
            <v>19.842657342660413</v>
          </cell>
          <cell r="F331">
            <v>20.107007313036704</v>
          </cell>
          <cell r="G331">
            <v>20.106967134792832</v>
          </cell>
          <cell r="H331">
            <v>18.491745653587319</v>
          </cell>
          <cell r="I331">
            <v>16.97439494559757</v>
          </cell>
          <cell r="J331">
            <v>16.604837989950973</v>
          </cell>
          <cell r="K331">
            <v>7.2186915719256026</v>
          </cell>
          <cell r="L331">
            <v>4.3472220891143758</v>
          </cell>
          <cell r="M331">
            <v>4.012469625131394</v>
          </cell>
          <cell r="N331">
            <v>4.01246665363748</v>
          </cell>
          <cell r="O331">
            <v>3.0938554517243446</v>
          </cell>
        </row>
        <row r="332">
          <cell r="A332" t="str">
            <v>RHEM-SHNGABR</v>
          </cell>
          <cell r="B332" t="str">
            <v>VAR_ncap</v>
          </cell>
          <cell r="C332" t="str">
            <v>-</v>
          </cell>
          <cell r="D332"/>
          <cell r="E332">
            <v>1.0174462019492899E-6</v>
          </cell>
          <cell r="F332">
            <v>2.7473205733725501E-3</v>
          </cell>
          <cell r="G332">
            <v>1.3366906846967201E-2</v>
          </cell>
          <cell r="H332">
            <v>0.92100628854141298</v>
          </cell>
          <cell r="I332">
            <v>0.21810194636278599</v>
          </cell>
          <cell r="J332">
            <v>8.18791884385348E-7</v>
          </cell>
          <cell r="K332">
            <v>0.27424707221466899</v>
          </cell>
          <cell r="L332">
            <v>2.3087040964536299E-5</v>
          </cell>
          <cell r="M332">
            <v>1.10537912381653E-3</v>
          </cell>
          <cell r="N332">
            <v>0.226018510435542</v>
          </cell>
          <cell r="O332">
            <v>3.1361473787388902E-6</v>
          </cell>
        </row>
        <row r="333">
          <cell r="A333" t="str">
            <v>RHEM-SHNGABR</v>
          </cell>
          <cell r="B333" t="str">
            <v>VAR_cap</v>
          </cell>
          <cell r="C333" t="str">
            <v>-</v>
          </cell>
          <cell r="D333">
            <v>1.34683498965227</v>
          </cell>
          <cell r="E333">
            <v>1.3468358183898306</v>
          </cell>
          <cell r="F333">
            <v>1.3495828752799486</v>
          </cell>
          <cell r="G333">
            <v>1.362948678693451</v>
          </cell>
          <cell r="H333">
            <v>1.2864002533993772</v>
          </cell>
          <cell r="I333">
            <v>1.1505082749124758</v>
          </cell>
          <cell r="J333">
            <v>1.1300758215530438</v>
          </cell>
          <cell r="K333">
            <v>0.49234854475791273</v>
          </cell>
          <cell r="L333">
            <v>0.30778170443363989</v>
          </cell>
          <cell r="M333">
            <v>0.27537424660872784</v>
          </cell>
          <cell r="N333">
            <v>0.27571325274855712</v>
          </cell>
          <cell r="O333">
            <v>0.22712425668326719</v>
          </cell>
        </row>
        <row r="334">
          <cell r="A334" t="str">
            <v>SCOM-SHCONBR5</v>
          </cell>
          <cell r="B334" t="str">
            <v>VAR_fout</v>
          </cell>
          <cell r="C334" t="str">
            <v>SCOM-SHCON</v>
          </cell>
          <cell r="D334"/>
          <cell r="E334">
            <v>0.65259972752131867</v>
          </cell>
          <cell r="F334">
            <v>0.65248036846178115</v>
          </cell>
          <cell r="G334">
            <v>0.65265512879680854</v>
          </cell>
          <cell r="H334">
            <v>0.65263507271473487</v>
          </cell>
          <cell r="I334">
            <v>0.65264355396170592</v>
          </cell>
          <cell r="J334">
            <v>0.65268190173436669</v>
          </cell>
          <cell r="K334">
            <v>3.9968073717465238</v>
          </cell>
          <cell r="L334">
            <v>3.9967896034745327</v>
          </cell>
          <cell r="M334">
            <v>3.9967713151757103</v>
          </cell>
          <cell r="N334">
            <v>3.9967937643797802</v>
          </cell>
          <cell r="O334">
            <v>3.996659283965823</v>
          </cell>
        </row>
        <row r="335">
          <cell r="A335" t="str">
            <v>SCOM-SHCONBR5</v>
          </cell>
          <cell r="B335" t="str">
            <v>VAR_fin</v>
          </cell>
          <cell r="C335" t="str">
            <v>CON</v>
          </cell>
          <cell r="D335"/>
          <cell r="E335">
            <v>0.65259972752131867</v>
          </cell>
          <cell r="F335">
            <v>0.65248036846178115</v>
          </cell>
          <cell r="G335">
            <v>0.65265512879680854</v>
          </cell>
          <cell r="H335">
            <v>0.65263507271473487</v>
          </cell>
          <cell r="I335">
            <v>0.65264355396170592</v>
          </cell>
          <cell r="J335">
            <v>0.65268190173436669</v>
          </cell>
          <cell r="K335">
            <v>3.9968073717465238</v>
          </cell>
          <cell r="L335">
            <v>3.9967896034745327</v>
          </cell>
          <cell r="M335">
            <v>3.9967713151757103</v>
          </cell>
          <cell r="N335">
            <v>3.9967937643797802</v>
          </cell>
          <cell r="O335">
            <v>3.996659283965823</v>
          </cell>
        </row>
        <row r="336">
          <cell r="A336" t="str">
            <v>SCOM-SHCONBR5</v>
          </cell>
          <cell r="B336" t="str">
            <v>VAR_ncap</v>
          </cell>
          <cell r="C336" t="str">
            <v>-</v>
          </cell>
          <cell r="D336"/>
          <cell r="E336">
            <v>5.0426056416881603E-2</v>
          </cell>
          <cell r="F336">
            <v>1.5735973985749101E-7</v>
          </cell>
          <cell r="G336">
            <v>1.0269208427411101E-5</v>
          </cell>
          <cell r="H336">
            <v>1.00760038207752E-7</v>
          </cell>
          <cell r="I336">
            <v>1.9019549913917E-7</v>
          </cell>
          <cell r="J336">
            <v>1.1769778884442101E-6</v>
          </cell>
          <cell r="K336">
            <v>0.27482106986916999</v>
          </cell>
          <cell r="L336">
            <v>3.4028750977369897E-2</v>
          </cell>
          <cell r="M336">
            <v>1.48323689973443E-6</v>
          </cell>
          <cell r="N336">
            <v>1.2271470102245001E-6</v>
          </cell>
          <cell r="O336">
            <v>4.7793251894423201E-7</v>
          </cell>
        </row>
        <row r="337">
          <cell r="A337" t="str">
            <v>SCOM-SHCONBR5</v>
          </cell>
          <cell r="B337" t="str">
            <v>VAR_cap</v>
          </cell>
          <cell r="C337" t="str">
            <v>-</v>
          </cell>
          <cell r="D337"/>
          <cell r="E337">
            <v>5.0426056416881603E-2</v>
          </cell>
          <cell r="F337">
            <v>5.0426147613066637E-2</v>
          </cell>
          <cell r="G337">
            <v>5.0436389989657764E-2</v>
          </cell>
          <cell r="H337">
            <v>5.043641693210163E-2</v>
          </cell>
          <cell r="I337">
            <v>5.0436590711089281E-2</v>
          </cell>
          <cell r="J337">
            <v>5.0437776023249122E-2</v>
          </cell>
          <cell r="K337">
            <v>0.30886316642609452</v>
          </cell>
          <cell r="L337">
            <v>0.30885866117697941</v>
          </cell>
          <cell r="M337">
            <v>0.30885238866599762</v>
          </cell>
          <cell r="N337">
            <v>0.30885357079307191</v>
          </cell>
          <cell r="O337">
            <v>0.3088539042831977</v>
          </cell>
        </row>
        <row r="338">
          <cell r="A338" t="str">
            <v>RHES-SHSTG-ELCHP</v>
          </cell>
          <cell r="B338" t="str">
            <v>VAR_fout</v>
          </cell>
          <cell r="C338" t="str">
            <v>RHES-SHAELCH</v>
          </cell>
          <cell r="D338">
            <v>5.0839683457277324E-7</v>
          </cell>
          <cell r="E338">
            <v>7.3823599396755175E-7</v>
          </cell>
          <cell r="F338">
            <v>1.4861305594004375</v>
          </cell>
          <cell r="G338">
            <v>1.4708560624322693</v>
          </cell>
          <cell r="H338">
            <v>3.1875278954166615</v>
          </cell>
          <cell r="I338">
            <v>2.69289928466968</v>
          </cell>
          <cell r="J338">
            <v>3.6136872708363406</v>
          </cell>
          <cell r="K338">
            <v>4.3778904358492285</v>
          </cell>
          <cell r="L338">
            <v>4.8060639741788771</v>
          </cell>
          <cell r="M338">
            <v>4.7399399912924061</v>
          </cell>
          <cell r="N338">
            <v>4.371229606731859</v>
          </cell>
          <cell r="O338">
            <v>4.5937898524988006</v>
          </cell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7.003080733892029E-7</v>
          </cell>
          <cell r="E339">
            <v>9.6274923320516058E-7</v>
          </cell>
          <cell r="F339">
            <v>1.486196234185867</v>
          </cell>
          <cell r="G339">
            <v>1.4709139256669466</v>
          </cell>
          <cell r="H339">
            <v>3.1876294425767333</v>
          </cell>
          <cell r="I339">
            <v>2.6929908964902949</v>
          </cell>
          <cell r="J339">
            <v>3.613821566848785</v>
          </cell>
          <cell r="K339">
            <v>4.3780172322367514</v>
          </cell>
          <cell r="L339">
            <v>4.8062203452421404</v>
          </cell>
          <cell r="M339">
            <v>4.7401081235488478</v>
          </cell>
          <cell r="N339">
            <v>4.3713797748280543</v>
          </cell>
          <cell r="O339">
            <v>4.5939670300407753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3.95954368320904E-3</v>
          </cell>
          <cell r="E340">
            <v>0.14254681930523899</v>
          </cell>
          <cell r="F340">
            <v>2.30555555667826E-5</v>
          </cell>
          <cell r="G340">
            <v>5.2040115690416104E-3</v>
          </cell>
          <cell r="H340">
            <v>0.15939072279240801</v>
          </cell>
          <cell r="I340">
            <v>7.4618686233155804E-2</v>
          </cell>
          <cell r="J340">
            <v>6.8567906978659804E-2</v>
          </cell>
          <cell r="K340">
            <v>0.245512429404807</v>
          </cell>
          <cell r="L340">
            <v>0.10733824914446601</v>
          </cell>
          <cell r="M340">
            <v>7.5495439773750894E-2</v>
          </cell>
          <cell r="N340">
            <v>0.23770539128975199</v>
          </cell>
          <cell r="O340">
            <v>0.11631191731613701</v>
          </cell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3.95954368320904E-3</v>
          </cell>
          <cell r="E341">
            <v>0.14649992048469043</v>
          </cell>
          <cell r="F341">
            <v>0.14650211643494498</v>
          </cell>
          <cell r="G341">
            <v>0.151694955623562</v>
          </cell>
          <cell r="H341">
            <v>0.23861609921357477</v>
          </cell>
          <cell r="I341">
            <v>0.23819708651340243</v>
          </cell>
          <cell r="J341">
            <v>0.30254403409457431</v>
          </cell>
          <cell r="K341">
            <v>0.3886057274540583</v>
          </cell>
          <cell r="L341">
            <v>0.42365208276463789</v>
          </cell>
          <cell r="M341">
            <v>0.42818747411208108</v>
          </cell>
          <cell r="N341">
            <v>0.42976937852163694</v>
          </cell>
          <cell r="O341">
            <v>0.42934217355762372</v>
          </cell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4.3336395030492306E-4</v>
          </cell>
          <cell r="I342">
            <v>4.4200013763985113E-4</v>
          </cell>
          <cell r="J342">
            <v>8.9189997946869097E-4</v>
          </cell>
          <cell r="K342">
            <v>3.4998016854746954</v>
          </cell>
          <cell r="L342">
            <v>3.4997461978657247</v>
          </cell>
          <cell r="M342">
            <v>3.4997741468994357</v>
          </cell>
          <cell r="N342">
            <v>3.4994959177280669</v>
          </cell>
          <cell r="O342">
            <v>3.4992269161433902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4.3336395030492306E-4</v>
          </cell>
          <cell r="I343">
            <v>4.4200013763985113E-4</v>
          </cell>
          <cell r="J343">
            <v>8.9189997946869097E-4</v>
          </cell>
          <cell r="K343">
            <v>3.4998016854746954</v>
          </cell>
          <cell r="L343">
            <v>3.4997461978657247</v>
          </cell>
          <cell r="M343">
            <v>3.4997741468994357</v>
          </cell>
          <cell r="N343">
            <v>3.4994959177280669</v>
          </cell>
          <cell r="O343">
            <v>3.4992269161433902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3.3195063474173098E-5</v>
          </cell>
          <cell r="I344">
            <v>8.2388139288395301E-7</v>
          </cell>
          <cell r="J344">
            <v>3.4570750473613899E-5</v>
          </cell>
          <cell r="K344">
            <v>0.27037640990571299</v>
          </cell>
          <cell r="L344">
            <v>3.7520098929711402E-7</v>
          </cell>
          <cell r="M344">
            <v>9.3353241688622897E-7</v>
          </cell>
          <cell r="N344">
            <v>2.1169185701426999E-6</v>
          </cell>
          <cell r="O344">
            <v>4.2793939850702301E-7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3.3195063474173098E-5</v>
          </cell>
          <cell r="I345">
            <v>3.3989746461822817E-5</v>
          </cell>
          <cell r="J345">
            <v>6.8535925684854297E-5</v>
          </cell>
          <cell r="K345">
            <v>0.2704448678094093</v>
          </cell>
          <cell r="L345">
            <v>0.27044526199985364</v>
          </cell>
          <cell r="M345">
            <v>0.27044593982179493</v>
          </cell>
          <cell r="N345">
            <v>0.27042068917713141</v>
          </cell>
          <cell r="O345">
            <v>0.27041458684467723</v>
          </cell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1.2080578110777898</v>
          </cell>
          <cell r="F346">
            <v>2.8025049217268294</v>
          </cell>
          <cell r="G346">
            <v>5.1042307618571909</v>
          </cell>
          <cell r="H346">
            <v>7.1934634103047488</v>
          </cell>
          <cell r="I346">
            <v>8.8969416294061237</v>
          </cell>
          <cell r="J346">
            <v>10.284794376888298</v>
          </cell>
          <cell r="K346">
            <v>11.568474406511099</v>
          </cell>
          <cell r="L346">
            <v>12.515511464951903</v>
          </cell>
          <cell r="M346">
            <v>13.591742775948493</v>
          </cell>
          <cell r="N346">
            <v>13.595964469620199</v>
          </cell>
          <cell r="O346">
            <v>13.595270877560104</v>
          </cell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2.653425545647429E-5</v>
          </cell>
          <cell r="F347">
            <v>1.8958485777200267E-4</v>
          </cell>
          <cell r="G347">
            <v>3.666529975329656E-4</v>
          </cell>
          <cell r="H347">
            <v>5.190178073848187E-5</v>
          </cell>
          <cell r="I347">
            <v>1.1253519878338199E-5</v>
          </cell>
          <cell r="J347"/>
          <cell r="K347">
            <v>1.404633565752127E-4</v>
          </cell>
          <cell r="L347">
            <v>2.1530054323864575E-4</v>
          </cell>
          <cell r="M347">
            <v>3.3460613547736302E-6</v>
          </cell>
          <cell r="O347">
            <v>2.965467952403867E-3</v>
          </cell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0.34647851129093016</v>
          </cell>
          <cell r="F348">
            <v>0.37790687680349377</v>
          </cell>
          <cell r="G348">
            <v>0.43827796058814589</v>
          </cell>
          <cell r="H348">
            <v>0.50786787234407926</v>
          </cell>
          <cell r="I348">
            <v>0.58855978424993427</v>
          </cell>
          <cell r="J348">
            <v>0.6824410505376215</v>
          </cell>
          <cell r="K348">
            <v>0.79172880072153939</v>
          </cell>
          <cell r="L348">
            <v>0.91487887835987824</v>
          </cell>
          <cell r="M348">
            <v>1.0633001266433006</v>
          </cell>
          <cell r="N348">
            <v>1.2250908529312874</v>
          </cell>
          <cell r="O348">
            <v>0.93241122757456185</v>
          </cell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9.8068660217604081E-5</v>
          </cell>
          <cell r="G349">
            <v>8.7630199800223295E-5</v>
          </cell>
          <cell r="H349">
            <v>1.3122521147912146E-4</v>
          </cell>
          <cell r="I349">
            <v>1.3718637737167129E-4</v>
          </cell>
          <cell r="J349">
            <v>1.416602024323791E-4</v>
          </cell>
          <cell r="K349">
            <v>1.6590386077801442E-4</v>
          </cell>
          <cell r="L349">
            <v>1.7623561024885477E-4</v>
          </cell>
          <cell r="M349">
            <v>2.3134273946035866E-4</v>
          </cell>
          <cell r="N349">
            <v>1.8042655407602799E-3</v>
          </cell>
          <cell r="O349">
            <v>1.2868003700591093</v>
          </cell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0.15429575285353309</v>
          </cell>
          <cell r="F350">
            <v>0.15141613408478236</v>
          </cell>
          <cell r="G350">
            <v>2.5818575714261448E-2</v>
          </cell>
          <cell r="H350">
            <v>1.6897960752430812E-3</v>
          </cell>
          <cell r="I350">
            <v>1.6703971403034196E-3</v>
          </cell>
          <cell r="J350">
            <v>1.7667350727597854E-3</v>
          </cell>
          <cell r="K350">
            <v>1.2944826278807697E-3</v>
          </cell>
          <cell r="L350">
            <v>2.7419059988466744E-3</v>
          </cell>
          <cell r="M350">
            <v>0.14620167678677759</v>
          </cell>
          <cell r="N350">
            <v>5.9251401985566969E-3</v>
          </cell>
          <cell r="O350">
            <v>0.21102061227208901</v>
          </cell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8.1062749251246249E-2</v>
          </cell>
          <cell r="F351">
            <v>8.0718898324251637E-2</v>
          </cell>
          <cell r="G351">
            <v>8.0728054444621888E-2</v>
          </cell>
          <cell r="H351">
            <v>8.0567593869218315E-2</v>
          </cell>
          <cell r="I351">
            <v>8.0302426335836771E-2</v>
          </cell>
          <cell r="J351">
            <v>8.0341913590476183E-2</v>
          </cell>
          <cell r="K351">
            <v>8.0451321874613776E-2</v>
          </cell>
          <cell r="L351">
            <v>7.8948868345328646E-2</v>
          </cell>
          <cell r="M351">
            <v>8.0023329704502918E-2</v>
          </cell>
          <cell r="N351">
            <v>7.7162610190348896E-2</v>
          </cell>
          <cell r="O351">
            <v>0.2112733995204239</v>
          </cell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0.52859886625002006</v>
          </cell>
          <cell r="F352">
            <v>2.0785606436686122</v>
          </cell>
          <cell r="G352">
            <v>4.3059716909825649</v>
          </cell>
          <cell r="H352">
            <v>4.3057847943264838</v>
          </cell>
          <cell r="I352">
            <v>4.3053912702617714</v>
          </cell>
          <cell r="J352">
            <v>5.5370926959683242</v>
          </cell>
          <cell r="K352">
            <v>8.5786741682322187</v>
          </cell>
          <cell r="L352">
            <v>10.881791904512227</v>
          </cell>
          <cell r="M352">
            <v>11.597992632317016</v>
          </cell>
          <cell r="N352">
            <v>11.587872562052789</v>
          </cell>
          <cell r="O352">
            <v>9.4894074611007859</v>
          </cell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1.6298317347544316E-5</v>
          </cell>
          <cell r="G353">
            <v>1.220463816490782E-4</v>
          </cell>
          <cell r="H353">
            <v>4.6327826327001648E-4</v>
          </cell>
          <cell r="I353">
            <v>7.7680634851424405E-4</v>
          </cell>
          <cell r="J353">
            <v>9.5221575395309252E-4</v>
          </cell>
          <cell r="K353">
            <v>1.6443583135092904E-4</v>
          </cell>
          <cell r="L353">
            <v>7.5094332338841361E-4</v>
          </cell>
          <cell r="M353">
            <v>8.8124205065271679E-4</v>
          </cell>
          <cell r="N353">
            <v>2.5177871281971136E-3</v>
          </cell>
          <cell r="O353">
            <v>0.11515546823674176</v>
          </cell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7.3462098887346103E-2</v>
          </cell>
          <cell r="F354">
            <v>7.6156107506529153E-2</v>
          </cell>
          <cell r="G354">
            <v>0.2054788773456864</v>
          </cell>
          <cell r="H354">
            <v>0.32266459411129184</v>
          </cell>
          <cell r="I354">
            <v>0.4181448318499536</v>
          </cell>
          <cell r="J354">
            <v>0.49617297666779475</v>
          </cell>
          <cell r="K354">
            <v>0.56873659862648529</v>
          </cell>
          <cell r="L354">
            <v>0.61911450355314535</v>
          </cell>
          <cell r="M354">
            <v>0.68170094157842487</v>
          </cell>
          <cell r="N354">
            <v>0.67491060036822237</v>
          </cell>
          <cell r="O354">
            <v>0.48357264331227134</v>
          </cell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2.5638907744401896E-3</v>
          </cell>
          <cell r="F355">
            <v>1.2218560254997722E-2</v>
          </cell>
          <cell r="G355">
            <v>1.3796575154394888E-2</v>
          </cell>
          <cell r="H355">
            <v>1.4066916484973997E-2</v>
          </cell>
          <cell r="I355">
            <v>7.5283748384583999E-3</v>
          </cell>
          <cell r="J355"/>
          <cell r="K355">
            <v>1.5265896381038484E-4</v>
          </cell>
          <cell r="L355">
            <v>3.0267516028128468E-3</v>
          </cell>
          <cell r="M355">
            <v>5.3107323790190213E-3</v>
          </cell>
          <cell r="N355">
            <v>5.0128521552702645E-3</v>
          </cell>
          <cell r="O355">
            <v>0.21076796481578397</v>
          </cell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2.1546354622115151E-2</v>
          </cell>
          <cell r="F356">
            <v>1.9583532900293538E-2</v>
          </cell>
          <cell r="G356">
            <v>2.6825806300315436E-2</v>
          </cell>
          <cell r="H356">
            <v>1.6392110418552777E-2</v>
          </cell>
          <cell r="I356">
            <v>5.1276716529262897E-3</v>
          </cell>
          <cell r="J356">
            <v>3.0233825259745836E-3</v>
          </cell>
          <cell r="K356">
            <v>1.3523153195376914E-3</v>
          </cell>
          <cell r="L356">
            <v>2.6430781308749958E-3</v>
          </cell>
          <cell r="M356">
            <v>5.1984948179358854E-3</v>
          </cell>
          <cell r="N356">
            <v>4.6280211853752529E-3</v>
          </cell>
          <cell r="O356">
            <v>0.2105341607441738</v>
          </cell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2.3671118159861375E-5</v>
          </cell>
          <cell r="F357">
            <v>5.2562954909294462E-4</v>
          </cell>
          <cell r="G357">
            <v>1.3477412642386971E-3</v>
          </cell>
          <cell r="H357">
            <v>2.1136288318310743E-3</v>
          </cell>
          <cell r="I357">
            <v>4.7291260813427877E-3</v>
          </cell>
          <cell r="J357">
            <v>6.9915647338142763E-3</v>
          </cell>
          <cell r="K357">
            <v>3.169468614725811E-3</v>
          </cell>
          <cell r="L357">
            <v>4.1760005815462209E-3</v>
          </cell>
          <cell r="M357">
            <v>6.8569030820354307E-3</v>
          </cell>
          <cell r="N357">
            <v>5.5027783552725161E-3</v>
          </cell>
          <cell r="O357">
            <v>0.21081544643714242</v>
          </cell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1.0781345013526341E-5</v>
          </cell>
          <cell r="F358">
            <v>5.2078369400472228E-3</v>
          </cell>
          <cell r="G358">
            <v>5.3503565877362413E-3</v>
          </cell>
          <cell r="H358">
            <v>1.9414591799700296</v>
          </cell>
          <cell r="I358">
            <v>3.4845327683746246</v>
          </cell>
          <cell r="J358">
            <v>3.4759510522725399</v>
          </cell>
          <cell r="K358">
            <v>1.542321819068547</v>
          </cell>
          <cell r="L358">
            <v>6.7605550868030878E-3</v>
          </cell>
          <cell r="M358">
            <v>3.746361982665692E-3</v>
          </cell>
          <cell r="N358">
            <v>5.5993284156388027E-3</v>
          </cell>
          <cell r="O358">
            <v>0.21056484376781637</v>
          </cell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1.3462119294173255E-5</v>
          </cell>
          <cell r="F359"/>
          <cell r="G359">
            <v>1.2497786430006573E-4</v>
          </cell>
          <cell r="H359">
            <v>2.8490820329573561E-4</v>
          </cell>
          <cell r="I359">
            <v>1.0485703205028691E-4</v>
          </cell>
          <cell r="J359"/>
          <cell r="K359">
            <v>2.1168142109935053E-4</v>
          </cell>
          <cell r="L359">
            <v>3.5508827488521977E-4</v>
          </cell>
          <cell r="M359">
            <v>3.8924337422147369E-4</v>
          </cell>
          <cell r="O359">
            <v>2.0067884303243386E-2</v>
          </cell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8.5199150952139403E-3</v>
          </cell>
          <cell r="F360">
            <v>8.6692170213013443E-3</v>
          </cell>
          <cell r="G360">
            <v>8.8847959782093963E-3</v>
          </cell>
          <cell r="H360">
            <v>1.2031663173470321E-2</v>
          </cell>
          <cell r="I360">
            <v>1.5195614143672292E-2</v>
          </cell>
          <cell r="J360">
            <v>2.0028040760351307E-2</v>
          </cell>
          <cell r="K360">
            <v>2.3696439233586067E-2</v>
          </cell>
          <cell r="L360">
            <v>2.4145004790573681E-2</v>
          </cell>
          <cell r="M360">
            <v>2.4838697690922226E-2</v>
          </cell>
          <cell r="N360">
            <v>2.5250692961673062E-2</v>
          </cell>
          <cell r="O360">
            <v>4.9685636348701857E-2</v>
          </cell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8.5200647784040295E-3</v>
          </cell>
          <cell r="F361">
            <v>8.6693691583142104E-3</v>
          </cell>
          <cell r="G361">
            <v>8.884944547028888E-3</v>
          </cell>
          <cell r="H361">
            <v>1.2031811687383953E-2</v>
          </cell>
          <cell r="I361">
            <v>1.5195733000713595E-2</v>
          </cell>
          <cell r="J361">
            <v>2.0028116069186756E-2</v>
          </cell>
          <cell r="K361">
            <v>2.3696738548844937E-2</v>
          </cell>
          <cell r="L361">
            <v>2.4145154473763759E-2</v>
          </cell>
          <cell r="M361">
            <v>2.4839266977809086E-2</v>
          </cell>
          <cell r="N361">
            <v>2.5251026681572225E-2</v>
          </cell>
          <cell r="O361">
            <v>4.9686186005006384E-2</v>
          </cell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3.2211624553716499E-4</v>
          </cell>
          <cell r="F362">
            <v>4.5365782750923198E-6</v>
          </cell>
          <cell r="G362">
            <v>1.78900807759645E-6</v>
          </cell>
          <cell r="H362">
            <v>1.1531067003189101E-4</v>
          </cell>
          <cell r="I362">
            <v>2.3566286641457499E-4</v>
          </cell>
          <cell r="J362">
            <v>3.62453418077181E-4</v>
          </cell>
          <cell r="K362">
            <v>1.6082431975243501E-4</v>
          </cell>
          <cell r="L362">
            <v>1.14756555188795E-4</v>
          </cell>
          <cell r="M362">
            <v>2.7745352491423999E-4</v>
          </cell>
          <cell r="N362">
            <v>3.7074231692594802E-4</v>
          </cell>
          <cell r="O362">
            <v>1.0455910721004599E-3</v>
          </cell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3.2211624553716499E-4</v>
          </cell>
          <cell r="F363">
            <v>3.2646998693192645E-4</v>
          </cell>
          <cell r="G363">
            <v>3.278578314573803E-4</v>
          </cell>
          <cell r="H363">
            <v>4.4225688718221433E-4</v>
          </cell>
          <cell r="I363">
            <v>5.5312032525376526E-4</v>
          </cell>
          <cell r="J363">
            <v>7.1402249415995691E-4</v>
          </cell>
          <cell r="K363">
            <v>8.7239585887304353E-4</v>
          </cell>
          <cell r="L363">
            <v>8.7505880775394225E-4</v>
          </cell>
          <cell r="M363">
            <v>9.1291846664748192E-4</v>
          </cell>
          <cell r="N363">
            <v>9.2128750727460103E-4</v>
          </cell>
          <cell r="O363">
            <v>1.8051859526616188E-3</v>
          </cell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2.3554235009667329E-4</v>
          </cell>
          <cell r="K364">
            <v>9.0277123637745008E-4</v>
          </cell>
          <cell r="L364">
            <v>8.9667460188766262E-4</v>
          </cell>
          <cell r="M364">
            <v>9.1236898474043946E-4</v>
          </cell>
          <cell r="N364">
            <v>9.2453995369665783E-4</v>
          </cell>
          <cell r="O364">
            <v>9.4147417514282622E-4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2.3554235009667329E-4</v>
          </cell>
          <cell r="K365">
            <v>9.0277123637745008E-4</v>
          </cell>
          <cell r="L365">
            <v>8.9667460188766262E-4</v>
          </cell>
          <cell r="M365">
            <v>9.1236898474043946E-4</v>
          </cell>
          <cell r="N365">
            <v>9.2453995369665783E-4</v>
          </cell>
          <cell r="O365">
            <v>9.4147417514282622E-4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1.7790977134047501E-5</v>
          </cell>
          <cell r="K366">
            <v>5.1235725857609302E-5</v>
          </cell>
          <cell r="L366">
            <v>1.7568845286986999E-7</v>
          </cell>
          <cell r="M366">
            <v>7.7426985458226004E-7</v>
          </cell>
          <cell r="N366">
            <v>1.48947790040628E-6</v>
          </cell>
          <cell r="O366">
            <v>6.3484486758344398E-7</v>
          </cell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1.7790977134047501E-5</v>
          </cell>
          <cell r="K367">
            <v>6.8994730605420981E-5</v>
          </cell>
          <cell r="L367">
            <v>6.915492323291172E-5</v>
          </cell>
          <cell r="M367">
            <v>6.981368856988689E-5</v>
          </cell>
          <cell r="N367">
            <v>7.1314035377501793E-5</v>
          </cell>
          <cell r="O367">
            <v>7.1917098690097689E-5</v>
          </cell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6.7251607282293568E-5</v>
          </cell>
          <cell r="K368">
            <v>1.3885283370881801E-4</v>
          </cell>
          <cell r="L368">
            <v>1.3117926697976055E-4</v>
          </cell>
          <cell r="M368">
            <v>1.516593816470296E-4</v>
          </cell>
          <cell r="N368">
            <v>1.5322373465301244E-4</v>
          </cell>
          <cell r="O368">
            <v>2.1667184540635585E-4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6.7251607282293568E-5</v>
          </cell>
          <cell r="K369">
            <v>1.3885283370881801E-4</v>
          </cell>
          <cell r="L369">
            <v>1.3117926697976055E-4</v>
          </cell>
          <cell r="M369">
            <v>1.516593816470296E-4</v>
          </cell>
          <cell r="N369">
            <v>1.5322373465301244E-4</v>
          </cell>
          <cell r="O369">
            <v>2.1667184540635585E-4</v>
          </cell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4.7226882637926102E-6</v>
          </cell>
          <cell r="K370">
            <v>5.1795848354221804E-6</v>
          </cell>
          <cell r="L370">
            <v>8.8738791006691396E-8</v>
          </cell>
          <cell r="M370">
            <v>1.0434246923644701E-6</v>
          </cell>
          <cell r="N370">
            <v>7.1134440399488996E-7</v>
          </cell>
          <cell r="O370">
            <v>4.1724326127843197E-6</v>
          </cell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4.7226882637926102E-6</v>
          </cell>
          <cell r="K371">
            <v>9.8825284431302912E-6</v>
          </cell>
          <cell r="L371">
            <v>9.9601111431750648E-6</v>
          </cell>
          <cell r="M371">
            <v>1.0951127218646132E-5</v>
          </cell>
          <cell r="N371">
            <v>1.1657308605745422E-5</v>
          </cell>
          <cell r="O371">
            <v>1.5846261756505492E-5</v>
          </cell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49.866375817220479</v>
          </cell>
          <cell r="F372">
            <v>51.516130096709503</v>
          </cell>
          <cell r="G372">
            <v>52.865798450726615</v>
          </cell>
          <cell r="H372">
            <v>52.97022966347064</v>
          </cell>
          <cell r="I372">
            <v>53.410836657231279</v>
          </cell>
          <cell r="J372">
            <v>53.734795507581595</v>
          </cell>
          <cell r="K372">
            <v>54.451307211266091</v>
          </cell>
          <cell r="L372">
            <v>55.191186225092572</v>
          </cell>
          <cell r="M372">
            <v>56.821509363469431</v>
          </cell>
          <cell r="N372">
            <v>55.432717569193983</v>
          </cell>
          <cell r="O372">
            <v>55.766180535478505</v>
          </cell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49.866375817220479</v>
          </cell>
          <cell r="F373">
            <v>51.516130096709503</v>
          </cell>
          <cell r="G373">
            <v>52.865798450726615</v>
          </cell>
          <cell r="H373">
            <v>52.97022966347064</v>
          </cell>
          <cell r="I373">
            <v>53.410836657231279</v>
          </cell>
          <cell r="J373">
            <v>53.734795507581595</v>
          </cell>
          <cell r="K373">
            <v>54.451307211266091</v>
          </cell>
          <cell r="L373">
            <v>55.191186225092572</v>
          </cell>
          <cell r="M373">
            <v>56.821509363469431</v>
          </cell>
          <cell r="N373">
            <v>55.432717569193983</v>
          </cell>
          <cell r="O373">
            <v>55.766180535478505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8.3498197763724705E-2</v>
          </cell>
          <cell r="E374">
            <v>9.8050575001329701E-2</v>
          </cell>
          <cell r="F374">
            <v>8.9719075610239396E-2</v>
          </cell>
          <cell r="G374">
            <v>7.3400023786978699E-2</v>
          </cell>
          <cell r="H374">
            <v>5.6849526932819701E-3</v>
          </cell>
          <cell r="I374">
            <v>2.39638636410398E-2</v>
          </cell>
          <cell r="J374">
            <v>1.7640143102066299</v>
          </cell>
          <cell r="K374">
            <v>1.09416303039813</v>
          </cell>
          <cell r="L374">
            <v>0.113634682652599</v>
          </cell>
          <cell r="M374">
            <v>9.4349743117013496E-2</v>
          </cell>
          <cell r="N374">
            <v>0.224593142723749</v>
          </cell>
          <cell r="O374">
            <v>1.5059949467156399</v>
          </cell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2.6138254297964347</v>
          </cell>
          <cell r="E375">
            <v>2.7118757363108719</v>
          </cell>
          <cell r="F375">
            <v>2.8015941454376883</v>
          </cell>
          <cell r="G375">
            <v>2.8749926033833693</v>
          </cell>
          <cell r="H375">
            <v>2.880673249527137</v>
          </cell>
          <cell r="I375">
            <v>2.9046336737230916</v>
          </cell>
          <cell r="J375">
            <v>2.9222513211657635</v>
          </cell>
          <cell r="K375">
            <v>2.961218099266135</v>
          </cell>
          <cell r="L375">
            <v>3.0014541230068454</v>
          </cell>
          <cell r="M375">
            <v>3.0901164682181399</v>
          </cell>
          <cell r="N375">
            <v>3.0145896894970372</v>
          </cell>
          <cell r="O375">
            <v>3.0327258839180176</v>
          </cell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0.34658081740661223</v>
          </cell>
          <cell r="F376">
            <v>0.37871826354040555</v>
          </cell>
          <cell r="G376">
            <v>0.43903803748916514</v>
          </cell>
          <cell r="H376">
            <v>0.50896556886630973</v>
          </cell>
          <cell r="I376">
            <v>0.59003086477248967</v>
          </cell>
          <cell r="J376">
            <v>0.68400676743506461</v>
          </cell>
          <cell r="K376">
            <v>0.79295012144295407</v>
          </cell>
          <cell r="L376">
            <v>0.91924593391933085</v>
          </cell>
          <cell r="M376">
            <v>1.0656587695802897</v>
          </cell>
          <cell r="N376">
            <v>1.2353909379767698</v>
          </cell>
          <cell r="O376">
            <v>1.4321602932377477</v>
          </cell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0.34658081740661223</v>
          </cell>
          <cell r="F377">
            <v>0.37871826354040555</v>
          </cell>
          <cell r="G377">
            <v>0.43903803748916514</v>
          </cell>
          <cell r="H377">
            <v>0.50896556886630973</v>
          </cell>
          <cell r="I377">
            <v>0.59003086477248967</v>
          </cell>
          <cell r="J377">
            <v>0.68400676743506461</v>
          </cell>
          <cell r="K377">
            <v>0.79295012144295407</v>
          </cell>
          <cell r="L377">
            <v>0.91924593391933085</v>
          </cell>
          <cell r="M377">
            <v>1.0656587695802897</v>
          </cell>
          <cell r="N377">
            <v>1.2353909379767698</v>
          </cell>
          <cell r="O377">
            <v>1.4321602932377477</v>
          </cell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0.35008163374405321</v>
          </cell>
          <cell r="F378">
            <v>0.38254370054586456</v>
          </cell>
          <cell r="G378">
            <v>0.44347276514057049</v>
          </cell>
          <cell r="H378">
            <v>0.51410663521849431</v>
          </cell>
          <cell r="I378">
            <v>0.59599077249746368</v>
          </cell>
          <cell r="J378">
            <v>0.69091592670208557</v>
          </cell>
          <cell r="K378">
            <v>0.80095971862924664</v>
          </cell>
          <cell r="L378">
            <v>0.9285312463831632</v>
          </cell>
          <cell r="M378">
            <v>1.0764229995760504</v>
          </cell>
          <cell r="N378">
            <v>1.2478696343199691</v>
          </cell>
          <cell r="O378">
            <v>1.4466265588260085</v>
          </cell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2.8454927925244001E-2</v>
          </cell>
          <cell r="F379">
            <v>2.3251965859667398E-3</v>
          </cell>
          <cell r="G379">
            <v>3.5057656001619701E-3</v>
          </cell>
          <cell r="H379">
            <v>8.1868490937637498E-3</v>
          </cell>
          <cell r="I379">
            <v>6.7932711680473001E-3</v>
          </cell>
          <cell r="J379">
            <v>6.5674252977158502E-3</v>
          </cell>
          <cell r="K379">
            <v>1.0805346088861899E-2</v>
          </cell>
          <cell r="L379">
            <v>6.52794126759063E-3</v>
          </cell>
          <cell r="M379">
            <v>1.0700635625211801E-2</v>
          </cell>
          <cell r="N379">
            <v>1.37205481614248E-2</v>
          </cell>
          <cell r="O379">
            <v>1.35291324918309E-2</v>
          </cell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2.8454927925244001E-2</v>
          </cell>
          <cell r="F380">
            <v>3.0780124511210798E-2</v>
          </cell>
          <cell r="G380">
            <v>3.4285890111372702E-2</v>
          </cell>
          <cell r="H380">
            <v>4.24727392051365E-2</v>
          </cell>
          <cell r="I380">
            <v>4.9266010373183802E-2</v>
          </cell>
          <cell r="J380">
            <v>5.58334356708996E-2</v>
          </cell>
          <cell r="K380">
            <v>6.6638781759761595E-2</v>
          </cell>
          <cell r="L380">
            <v>7.3166723027352207E-2</v>
          </cell>
          <cell r="M380">
            <v>8.3867358652564006E-2</v>
          </cell>
          <cell r="N380">
            <v>9.7587906813988795E-2</v>
          </cell>
          <cell r="O380">
            <v>0.11111703930582</v>
          </cell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2.3416377541397672E-5</v>
          </cell>
          <cell r="K381">
            <v>4.4201159871522127E-5</v>
          </cell>
          <cell r="L381">
            <v>3.5838035256495475E-5</v>
          </cell>
          <cell r="M381">
            <v>5.1703657725450367E-5</v>
          </cell>
          <cell r="N381">
            <v>4.6965842151255241E-5</v>
          </cell>
          <cell r="O381">
            <v>8.423201078420338E-5</v>
          </cell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2.3416377541397672E-5</v>
          </cell>
          <cell r="K382">
            <v>4.4201159871522127E-5</v>
          </cell>
          <cell r="L382">
            <v>3.5838035256495475E-5</v>
          </cell>
          <cell r="M382">
            <v>5.1703657725450367E-5</v>
          </cell>
          <cell r="N382">
            <v>4.6965842151255241E-5</v>
          </cell>
          <cell r="O382">
            <v>8.423201078420338E-5</v>
          </cell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1.3170207247036699E-6</v>
          </cell>
          <cell r="K383">
            <v>1.1933170424353299E-6</v>
          </cell>
          <cell r="L383">
            <v>4.3308739311548499E-8</v>
          </cell>
          <cell r="M383">
            <v>6.0544965683509802E-7</v>
          </cell>
          <cell r="N383">
            <v>2.5574754849711098E-7</v>
          </cell>
          <cell r="O383">
            <v>2.11913704946767E-6</v>
          </cell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1.3170207247036699E-6</v>
          </cell>
          <cell r="K384">
            <v>2.4995594727124764E-6</v>
          </cell>
          <cell r="L384">
            <v>2.5536465064505499E-6</v>
          </cell>
          <cell r="M384">
            <v>3.1178731922449403E-6</v>
          </cell>
          <cell r="N384">
            <v>3.3710234625293632E-6</v>
          </cell>
          <cell r="O384">
            <v>5.5145523589488445E-6</v>
          </cell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2.3674018836551256</v>
          </cell>
          <cell r="E385">
            <v>2.307501594358655</v>
          </cell>
          <cell r="F385">
            <v>0.36048270175434666</v>
          </cell>
          <cell r="G385">
            <v>1.791272182910718E-4</v>
          </cell>
          <cell r="H385">
            <v>1.0958960905864447E-4</v>
          </cell>
          <cell r="I385">
            <v>6.8449417797748736E-4</v>
          </cell>
          <cell r="J385">
            <v>4.258499247052392E-4</v>
          </cell>
          <cell r="K385">
            <v>2.5576891690215335E-4</v>
          </cell>
          <cell r="L385">
            <v>1.9676373286489664E-4</v>
          </cell>
          <cell r="M385">
            <v>4.2237721989780243E-4</v>
          </cell>
          <cell r="N385">
            <v>2.2274843318829853E-4</v>
          </cell>
          <cell r="O385">
            <v>8.9016276793262792E-5</v>
          </cell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330.012262578692</v>
          </cell>
          <cell r="E386">
            <v>321.17927597154198</v>
          </cell>
          <cell r="F386">
            <v>50.062541502064299</v>
          </cell>
          <cell r="G386">
            <v>2.4783721097884098E-2</v>
          </cell>
          <cell r="H386">
            <v>1.51062554048124E-2</v>
          </cell>
          <cell r="I386">
            <v>9.4003867108908207E-2</v>
          </cell>
          <cell r="J386">
            <v>5.8267583793617198E-2</v>
          </cell>
          <cell r="K386">
            <v>3.4867321465925902E-2</v>
          </cell>
          <cell r="L386">
            <v>2.68235265243763E-2</v>
          </cell>
          <cell r="M386">
            <v>5.7579953359597501E-2</v>
          </cell>
          <cell r="N386">
            <v>3.0365852583169501E-2</v>
          </cell>
          <cell r="O386">
            <v>1.21350130275521E-2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3.5600028325641038</v>
          </cell>
          <cell r="E387">
            <v>3.4647171086466249</v>
          </cell>
          <cell r="F387">
            <v>0.54004899139227924</v>
          </cell>
          <cell r="G387">
            <v>2.6735405715085325E-4</v>
          </cell>
          <cell r="H387">
            <v>1.6295852648125556E-4</v>
          </cell>
          <cell r="I387">
            <v>1.0140654488555371E-3</v>
          </cell>
          <cell r="J387">
            <v>6.2856077447267849E-4</v>
          </cell>
          <cell r="K387">
            <v>3.7613076015022593E-4</v>
          </cell>
          <cell r="L387">
            <v>2.8935843068367116E-4</v>
          </cell>
          <cell r="M387">
            <v>6.2114297043794483E-4</v>
          </cell>
          <cell r="N387">
            <v>3.275712252769094E-4</v>
          </cell>
          <cell r="O387">
            <v>1.3090628940185694E-4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5.48563057901805E-6</v>
          </cell>
          <cell r="F388">
            <v>4.8787718144815097E-6</v>
          </cell>
          <cell r="G388">
            <v>3.9538087293663002E-6</v>
          </cell>
          <cell r="H388">
            <v>6.9152622248141298E-6</v>
          </cell>
          <cell r="I388">
            <v>5.7698274508463001E-5</v>
          </cell>
          <cell r="J388">
            <v>6.6883628320577702E-6</v>
          </cell>
          <cell r="K388">
            <v>1.0182955350268701E-5</v>
          </cell>
          <cell r="L388">
            <v>1.08177748885776E-5</v>
          </cell>
          <cell r="M388">
            <v>2.7687318529217401E-5</v>
          </cell>
          <cell r="N388">
            <v>6.3699888449574502E-6</v>
          </cell>
          <cell r="O388">
            <v>3.2433636772768099E-6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0.14331935166633</v>
          </cell>
          <cell r="F389">
            <v>3.6124437757901473E-2</v>
          </cell>
          <cell r="G389">
            <v>1.6996328363827473E-5</v>
          </cell>
          <cell r="H389">
            <v>1.0370508939566703E-5</v>
          </cell>
          <cell r="I389">
            <v>6.4385869573132645E-5</v>
          </cell>
          <cell r="J389">
            <v>4.0326793359779605E-5</v>
          </cell>
          <cell r="K389">
            <v>2.4215138928426195E-5</v>
          </cell>
          <cell r="L389">
            <v>1.8640665538828703E-5</v>
          </cell>
          <cell r="M389">
            <v>3.9930005614314873E-5</v>
          </cell>
          <cell r="N389">
            <v>2.1072962744488298E-5</v>
          </cell>
          <cell r="O389">
            <v>8.3006987884947014E-6</v>
          </cell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25.418927951999976</v>
          </cell>
          <cell r="G390">
            <v>25.509072923999994</v>
          </cell>
          <cell r="H390">
            <v>25.499829726000012</v>
          </cell>
          <cell r="I390">
            <v>25.33969431720001</v>
          </cell>
          <cell r="J390">
            <v>25.129286488799984</v>
          </cell>
          <cell r="K390">
            <v>24.930159425999989</v>
          </cell>
          <cell r="L390">
            <v>25.250286988188904</v>
          </cell>
          <cell r="M390">
            <v>24.785394604187807</v>
          </cell>
          <cell r="N390">
            <v>24.326761510807483</v>
          </cell>
          <cell r="O390">
            <v>23.897883426756486</v>
          </cell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6.1964180277393108</v>
          </cell>
          <cell r="E391">
            <v>5.1103137489815511</v>
          </cell>
          <cell r="F391">
            <v>6.2023062978265537</v>
          </cell>
          <cell r="G391">
            <v>9.7303940696514672</v>
          </cell>
          <cell r="H391">
            <v>7.2871995279398636</v>
          </cell>
          <cell r="I391">
            <v>8.2247758973372154</v>
          </cell>
          <cell r="J391">
            <v>5.1981085016014177</v>
          </cell>
          <cell r="K391">
            <v>1.4301341105817542</v>
          </cell>
          <cell r="L391">
            <v>0.74196083777954525</v>
          </cell>
          <cell r="M391">
            <v>0.5959763450284562</v>
          </cell>
          <cell r="N391">
            <v>0.6445513934020547</v>
          </cell>
          <cell r="O391">
            <v>0.48698132088073454</v>
          </cell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6.8083181558045158</v>
          </cell>
          <cell r="E392">
            <v>5.9729386583293307</v>
          </cell>
          <cell r="F392">
            <v>3.7012571337111519</v>
          </cell>
          <cell r="G392">
            <v>1.0252665543774464</v>
          </cell>
          <cell r="H392">
            <v>0.39273012250553796</v>
          </cell>
          <cell r="I392">
            <v>7.4909963385931866E-2</v>
          </cell>
          <cell r="J392">
            <v>8.64607362871532E-2</v>
          </cell>
          <cell r="K392">
            <v>0.16517574658423634</v>
          </cell>
          <cell r="L392">
            <v>0.22241199298808101</v>
          </cell>
          <cell r="M392">
            <v>0.22541276209992495</v>
          </cell>
          <cell r="N392">
            <v>0.28386234220710743</v>
          </cell>
          <cell r="O392">
            <v>0.22338544072779531</v>
          </cell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0.5599791125904594</v>
          </cell>
          <cell r="E393">
            <v>0.59700209249191116</v>
          </cell>
          <cell r="F393">
            <v>0.37097897751887338</v>
          </cell>
          <cell r="G393">
            <v>0.28961187993927301</v>
          </cell>
          <cell r="H393">
            <v>0.28400837997787753</v>
          </cell>
          <cell r="I393">
            <v>0.22772996236949192</v>
          </cell>
          <cell r="J393">
            <v>0.21609538063088954</v>
          </cell>
          <cell r="K393">
            <v>0.24799756894344191</v>
          </cell>
          <cell r="L393">
            <v>0.29255549109122536</v>
          </cell>
          <cell r="M393">
            <v>0.29351528760876533</v>
          </cell>
          <cell r="N393">
            <v>0.35074312642002076</v>
          </cell>
          <cell r="O393">
            <v>0.27380850582298516</v>
          </cell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5.2747382668575864E-2</v>
          </cell>
          <cell r="E394">
            <v>1.3376615120887298E-4</v>
          </cell>
          <cell r="F394">
            <v>0.14429339753891077</v>
          </cell>
          <cell r="G394">
            <v>5.2336830339100589E-2</v>
          </cell>
          <cell r="H394">
            <v>1.7408995156745271</v>
          </cell>
          <cell r="I394">
            <v>3.3531283382779242</v>
          </cell>
          <cell r="J394">
            <v>3.7133389081666914</v>
          </cell>
          <cell r="K394">
            <v>1.7622515314797691</v>
          </cell>
          <cell r="L394">
            <v>0.89339234703429504</v>
          </cell>
          <cell r="M394">
            <v>0.81914496571902462</v>
          </cell>
          <cell r="N394">
            <v>0.85912731415804144</v>
          </cell>
          <cell r="O394">
            <v>0.82776904591309552</v>
          </cell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4.300752181685541E-2</v>
          </cell>
          <cell r="E395">
            <v>1.6644876305896021E-4</v>
          </cell>
          <cell r="F395">
            <v>8.5744743391655276E-2</v>
          </cell>
          <cell r="G395">
            <v>2.5862544070829829E-2</v>
          </cell>
          <cell r="H395">
            <v>4.6461361896052378E-2</v>
          </cell>
          <cell r="I395">
            <v>4.3320079128080641E-2</v>
          </cell>
          <cell r="J395">
            <v>5.0273618364138378E-2</v>
          </cell>
          <cell r="K395">
            <v>0.1014182178512066</v>
          </cell>
          <cell r="L395">
            <v>0.13361132333408332</v>
          </cell>
          <cell r="M395">
            <v>0.13344037194679792</v>
          </cell>
          <cell r="N395">
            <v>0.17332283149075475</v>
          </cell>
          <cell r="O395">
            <v>0.13872381796320252</v>
          </cell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0.27519448288838427</v>
          </cell>
          <cell r="E396">
            <v>0.19460751158060358</v>
          </cell>
          <cell r="F396">
            <v>0.21806195955166868</v>
          </cell>
          <cell r="G396">
            <v>0.1598382283769012</v>
          </cell>
          <cell r="H396">
            <v>0.18684858631709961</v>
          </cell>
          <cell r="I396">
            <v>0.18530342487349327</v>
          </cell>
          <cell r="J396">
            <v>0.19743383017618246</v>
          </cell>
          <cell r="K396">
            <v>0.24689872974171265</v>
          </cell>
          <cell r="L396">
            <v>0.30235936366129051</v>
          </cell>
          <cell r="M396">
            <v>0.30769232765933369</v>
          </cell>
          <cell r="N396">
            <v>0.36720562719800737</v>
          </cell>
          <cell r="O396">
            <v>0.30929747230863092</v>
          </cell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1.2809243314130945</v>
          </cell>
          <cell r="E397">
            <v>1.4631317690608014</v>
          </cell>
          <cell r="F397">
            <v>1.3683342051080367</v>
          </cell>
          <cell r="G397">
            <v>0.97846565273173447</v>
          </cell>
          <cell r="H397">
            <v>1.004362950152655</v>
          </cell>
          <cell r="I397">
            <v>1.3003496913385861</v>
          </cell>
          <cell r="J397">
            <v>1.0869736133295804</v>
          </cell>
          <cell r="K397">
            <v>1.2837616282186568</v>
          </cell>
          <cell r="L397">
            <v>1.2544169354156229</v>
          </cell>
          <cell r="M397">
            <v>1.2217881533252681</v>
          </cell>
          <cell r="N397">
            <v>1.2734891690565193</v>
          </cell>
          <cell r="O397">
            <v>1.1283074958950801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6.4505505318310385</v>
          </cell>
          <cell r="E398">
            <v>6.9684635125852674</v>
          </cell>
          <cell r="F398">
            <v>6.7285670608203674</v>
          </cell>
          <cell r="G398">
            <v>4.337024354151513</v>
          </cell>
          <cell r="H398">
            <v>2.1162574908792569</v>
          </cell>
          <cell r="I398">
            <v>1.3173244568449454</v>
          </cell>
          <cell r="J398">
            <v>0.87443957706411202</v>
          </cell>
          <cell r="K398">
            <v>0.90483465092085025</v>
          </cell>
          <cell r="L398">
            <v>2.4776593820222526</v>
          </cell>
          <cell r="M398">
            <v>2.4280000305396965</v>
          </cell>
          <cell r="N398">
            <v>2.3380258066275204</v>
          </cell>
          <cell r="O398">
            <v>0.89402683274575223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1.6601926213169378</v>
          </cell>
          <cell r="E399">
            <v>1.9868703206264779</v>
          </cell>
          <cell r="F399">
            <v>1.8006483435591965</v>
          </cell>
          <cell r="G399">
            <v>1.512536089236683</v>
          </cell>
          <cell r="H399">
            <v>1.0156702569101219</v>
          </cell>
          <cell r="I399">
            <v>1.0261296158680306</v>
          </cell>
          <cell r="J399">
            <v>1.1538103316927886</v>
          </cell>
          <cell r="K399">
            <v>2.7840529691234019</v>
          </cell>
          <cell r="L399">
            <v>2.6533216991432775</v>
          </cell>
          <cell r="M399">
            <v>2.5385573157769659</v>
          </cell>
          <cell r="N399">
            <v>2.4219551856770889</v>
          </cell>
          <cell r="O399">
            <v>1.8695737711862177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3.1113628943447087</v>
          </cell>
          <cell r="E400">
            <v>3.6352116943211592</v>
          </cell>
          <cell r="F400">
            <v>4.7987904771886631</v>
          </cell>
          <cell r="G400">
            <v>7.3977824395711371</v>
          </cell>
          <cell r="H400">
            <v>11.425439699513175</v>
          </cell>
          <cell r="I400">
            <v>9.5867655707718935</v>
          </cell>
          <cell r="J400">
            <v>12.552406774763009</v>
          </cell>
          <cell r="K400">
            <v>16.003693525567186</v>
          </cell>
          <cell r="L400">
            <v>16.278637668611292</v>
          </cell>
          <cell r="M400">
            <v>16.221922921673578</v>
          </cell>
          <cell r="N400">
            <v>15.614510634457581</v>
          </cell>
          <cell r="O400">
            <v>17.74605821022827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2.0629141318768631E-3</v>
          </cell>
          <cell r="G401">
            <v>2.4770644829400861E-3</v>
          </cell>
          <cell r="H401">
            <v>1.7903195352462777</v>
          </cell>
          <cell r="I401">
            <v>3.4311919672250091</v>
          </cell>
          <cell r="J401">
            <v>3.8172216771495489</v>
          </cell>
          <cell r="K401">
            <v>1.8950918327715358</v>
          </cell>
          <cell r="L401">
            <v>0.94307791735698809</v>
          </cell>
          <cell r="M401">
            <v>0.85269544435782307</v>
          </cell>
          <cell r="N401">
            <v>0.85267667913909817</v>
          </cell>
          <cell r="O401">
            <v>0.85267623553527128</v>
          </cell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6.8399974743007103E-2</v>
          </cell>
          <cell r="G402">
            <v>8.1699670665392299E-2</v>
          </cell>
          <cell r="H402">
            <v>57.436872461825999</v>
          </cell>
          <cell r="I402">
            <v>107.15350329539901</v>
          </cell>
          <cell r="J402">
            <v>117.069767586316</v>
          </cell>
          <cell r="K402">
            <v>57.095715474526997</v>
          </cell>
          <cell r="L402">
            <v>28.413244946011801</v>
          </cell>
          <cell r="M402">
            <v>25.6901832594985</v>
          </cell>
          <cell r="N402">
            <v>25.689617897139499</v>
          </cell>
          <cell r="O402">
            <v>25.689604532152401</v>
          </cell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1.2127655096277846E-3</v>
          </cell>
          <cell r="G403">
            <v>1.4485757210175947E-3</v>
          </cell>
          <cell r="H403">
            <v>1.0183842635075542</v>
          </cell>
          <cell r="I403">
            <v>1.8998848102021091</v>
          </cell>
          <cell r="J403">
            <v>2.0757050990481511</v>
          </cell>
          <cell r="K403">
            <v>1.0123353807540252</v>
          </cell>
          <cell r="L403">
            <v>0.50378093875907459</v>
          </cell>
          <cell r="M403">
            <v>0.4554997031825978</v>
          </cell>
          <cell r="N403">
            <v>0.45548967902729581</v>
          </cell>
          <cell r="O403">
            <v>0.45548944205943942</v>
          </cell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8.0712390959334603E-7</v>
          </cell>
          <cell r="F404">
            <v>1.6913351112125699E-4</v>
          </cell>
          <cell r="G404">
            <v>6.8083248267063202E-6</v>
          </cell>
          <cell r="H404">
            <v>0.122204405950437</v>
          </cell>
          <cell r="I404">
            <v>0.112281302590708</v>
          </cell>
          <cell r="J404">
            <v>2.6425431031112698E-2</v>
          </cell>
          <cell r="K404">
            <v>1.38726633626439E-6</v>
          </cell>
          <cell r="L404">
            <v>2.4290977891096799E-2</v>
          </cell>
          <cell r="M404">
            <v>3.4009467416545799E-2</v>
          </cell>
          <cell r="N404">
            <v>7.6956660185763604E-3</v>
          </cell>
          <cell r="O404">
            <v>1.6610530954102101E-2</v>
          </cell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7.0358336776856026E-7</v>
          </cell>
          <cell r="F405">
            <v>1.6983868387736412E-4</v>
          </cell>
          <cell r="G405">
            <v>1.7661920939855249E-4</v>
          </cell>
          <cell r="H405">
            <v>0.12238035689020862</v>
          </cell>
          <cell r="I405">
            <v>0.2345263963594241</v>
          </cell>
          <cell r="J405">
            <v>0.26091097952398351</v>
          </cell>
          <cell r="K405">
            <v>0.13870738575023964</v>
          </cell>
          <cell r="L405">
            <v>6.4468604970957855E-2</v>
          </cell>
          <cell r="M405">
            <v>5.8301477068182207E-2</v>
          </cell>
          <cell r="N405">
            <v>5.8295326900102959E-2</v>
          </cell>
          <cell r="O405">
            <v>5.8315232504083339E-2</v>
          </cell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5.3128589616224177E-6</v>
          </cell>
          <cell r="E406">
            <v>5.5044305023626352E-6</v>
          </cell>
          <cell r="F406">
            <v>3.6564562789322859E-3</v>
          </cell>
          <cell r="G406">
            <v>1.1615376118828432E-2</v>
          </cell>
          <cell r="H406">
            <v>0.15191756058124989</v>
          </cell>
          <cell r="I406">
            <v>0.14482338732145045</v>
          </cell>
          <cell r="J406">
            <v>0.83872747367373868</v>
          </cell>
          <cell r="K406">
            <v>9.4867554562057657E-2</v>
          </cell>
          <cell r="L406">
            <v>9.8201118098410669E-3</v>
          </cell>
          <cell r="M406">
            <v>0.30608021811657798</v>
          </cell>
          <cell r="N406">
            <v>0.42406541439640111</v>
          </cell>
          <cell r="O406">
            <v>1.86133454657307</v>
          </cell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5.2372128749784818E-6</v>
          </cell>
          <cell r="E407">
            <v>4.805903701006527E-6</v>
          </cell>
          <cell r="F407">
            <v>4.7564802507662719E-3</v>
          </cell>
          <cell r="G407">
            <v>1.4554378030878508E-2</v>
          </cell>
          <cell r="H407">
            <v>0.18418089328386394</v>
          </cell>
          <cell r="I407">
            <v>0.17041876950315873</v>
          </cell>
          <cell r="J407">
            <v>0.95858113440417314</v>
          </cell>
          <cell r="K407">
            <v>0.10546074450143783</v>
          </cell>
          <cell r="L407">
            <v>1.0959558752235515E-2</v>
          </cell>
          <cell r="M407">
            <v>0.34016480765101254</v>
          </cell>
          <cell r="N407">
            <v>0.47125464318404603</v>
          </cell>
          <cell r="O407">
            <v>2.0682315157253259</v>
          </cell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6.71633470829993E-3</v>
          </cell>
          <cell r="E408">
            <v>9.4619260832228699E-2</v>
          </cell>
          <cell r="F408">
            <v>3.6804709275561598E-5</v>
          </cell>
          <cell r="G408">
            <v>4.0460469201337202E-5</v>
          </cell>
          <cell r="H408">
            <v>4.5660174157669799E-2</v>
          </cell>
          <cell r="I408">
            <v>5.01849011931879E-2</v>
          </cell>
          <cell r="J408">
            <v>1.1009957827908901E-4</v>
          </cell>
          <cell r="K408">
            <v>0.141545020858828</v>
          </cell>
          <cell r="L408">
            <v>4.1889672764425998E-2</v>
          </cell>
          <cell r="M408">
            <v>6.1338352115319602E-3</v>
          </cell>
          <cell r="N408">
            <v>0.129646675070726</v>
          </cell>
          <cell r="O408">
            <v>6.2260492619989602E-2</v>
          </cell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6.71633470829993E-3</v>
          </cell>
          <cell r="E409">
            <v>0.1013217540854157</v>
          </cell>
          <cell r="F409">
            <v>0.1013211436148484</v>
          </cell>
          <cell r="G409">
            <v>0.10132152677244094</v>
          </cell>
          <cell r="H409">
            <v>9.5850972691978772E-2</v>
          </cell>
          <cell r="I409">
            <v>9.5853189330656063E-2</v>
          </cell>
          <cell r="J409">
            <v>9.5866150051202872E-2</v>
          </cell>
          <cell r="K409">
            <v>0.191706333522631</v>
          </cell>
          <cell r="L409">
            <v>0.19106568669094143</v>
          </cell>
          <cell r="M409">
            <v>0.18927760866919324</v>
          </cell>
          <cell r="N409">
            <v>0.18911082826141554</v>
          </cell>
          <cell r="O409">
            <v>0.19778873165772559</v>
          </cell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1928.7105586410501</v>
          </cell>
          <cell r="E410">
            <v>1525.2580621596601</v>
          </cell>
          <cell r="F410">
            <v>1531.64744911394</v>
          </cell>
          <cell r="G410">
            <v>1323.8564836405101</v>
          </cell>
          <cell r="H410">
            <v>826.667055991442</v>
          </cell>
          <cell r="I410">
            <v>544.71178663117598</v>
          </cell>
          <cell r="J410">
            <v>268.890596821244</v>
          </cell>
          <cell r="K410">
            <v>268.89042887319499</v>
          </cell>
          <cell r="L410">
            <v>214.82583651543899</v>
          </cell>
          <cell r="M410">
            <v>98.078219889283005</v>
          </cell>
          <cell r="N410">
            <v>98.077710684623995</v>
          </cell>
          <cell r="O410">
            <v>0.10799073634383401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23.443734176154813</v>
          </cell>
          <cell r="E411">
            <v>18.539715251262312</v>
          </cell>
          <cell r="F411">
            <v>18.617379102187762</v>
          </cell>
          <cell r="G411">
            <v>16.091652192600129</v>
          </cell>
          <cell r="H411">
            <v>10.04824836262779</v>
          </cell>
          <cell r="I411">
            <v>6.6210444440130409</v>
          </cell>
          <cell r="J411">
            <v>3.2684010807647916</v>
          </cell>
          <cell r="K411">
            <v>3.2683990393338411</v>
          </cell>
          <cell r="L411">
            <v>2.6112367057224959</v>
          </cell>
          <cell r="M411">
            <v>1.1921538487220633</v>
          </cell>
          <cell r="N411">
            <v>1.1921476592714924</v>
          </cell>
          <cell r="O411">
            <v>1.312641808792644E-3</v>
          </cell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26.169749778033264</v>
          </cell>
          <cell r="E412">
            <v>20.695496094432304</v>
          </cell>
          <cell r="F412">
            <v>20.782190625697954</v>
          </cell>
          <cell r="G412">
            <v>17.962774540576866</v>
          </cell>
          <cell r="H412">
            <v>11.216649335026355</v>
          </cell>
          <cell r="I412">
            <v>7.3909333328517608</v>
          </cell>
          <cell r="J412">
            <v>3.6484477180630197</v>
          </cell>
          <cell r="K412">
            <v>3.6484454392563772</v>
          </cell>
          <cell r="L412">
            <v>2.9148688808065031</v>
          </cell>
          <cell r="M412">
            <v>1.3307763892711399</v>
          </cell>
          <cell r="N412">
            <v>1.3307694801170131</v>
          </cell>
          <cell r="O412">
            <v>1.465274577256903E-3</v>
          </cell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1.55056089919329E-7</v>
          </cell>
          <cell r="F413">
            <v>1.6820974065426599E-7</v>
          </cell>
          <cell r="G413">
            <v>3.88390803285287E-7</v>
          </cell>
          <cell r="H413">
            <v>0.28156481966331398</v>
          </cell>
          <cell r="I413">
            <v>0.18682511898919499</v>
          </cell>
          <cell r="J413">
            <v>6.3356615996116504E-7</v>
          </cell>
          <cell r="K413">
            <v>5.0104458702547698E-2</v>
          </cell>
          <cell r="L413">
            <v>0.111182038764036</v>
          </cell>
          <cell r="M413">
            <v>1.68632166628428E-6</v>
          </cell>
          <cell r="N413">
            <v>1.53572985592815E-4</v>
          </cell>
          <cell r="O413">
            <v>1.80841349088292E-6</v>
          </cell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1.6558732834935459</v>
          </cell>
          <cell r="F414">
            <v>1.6558719622907871</v>
          </cell>
          <cell r="G414">
            <v>1.6558709353901739</v>
          </cell>
          <cell r="H414">
            <v>0.71098935019092879</v>
          </cell>
          <cell r="I414">
            <v>0.46838996568727242</v>
          </cell>
          <cell r="J414">
            <v>0.25439335586872597</v>
          </cell>
          <cell r="K414">
            <v>0.23692946791067165</v>
          </cell>
          <cell r="L414">
            <v>0.18999288570939793</v>
          </cell>
          <cell r="M414">
            <v>0.16128333327112868</v>
          </cell>
          <cell r="N414">
            <v>8.4964000604445422E-2</v>
          </cell>
          <cell r="O414">
            <v>1.5620981214423574E-4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1.7699247266040451E-3</v>
          </cell>
          <cell r="G415">
            <v>1.8672869679827236E-3</v>
          </cell>
          <cell r="H415">
            <v>4.1362405925183232</v>
          </cell>
          <cell r="I415">
            <v>6.9592784898104556</v>
          </cell>
          <cell r="J415">
            <v>6.9585052490544745</v>
          </cell>
          <cell r="K415">
            <v>2.824101702128873</v>
          </cell>
          <cell r="L415">
            <v>0.37416603063977122</v>
          </cell>
          <cell r="M415">
            <v>2.7953845462239391E-3</v>
          </cell>
          <cell r="N415">
            <v>2.7726550074969464E-3</v>
          </cell>
          <cell r="O415">
            <v>2.7731535265343183E-3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4.9911877290233997E-2</v>
          </cell>
          <cell r="G416">
            <v>5.0632204324146897E-2</v>
          </cell>
          <cell r="H416">
            <v>108.50417182234099</v>
          </cell>
          <cell r="I416">
            <v>176.80329136275199</v>
          </cell>
          <cell r="J416">
            <v>172.13144563450501</v>
          </cell>
          <cell r="K416">
            <v>68.068092307721599</v>
          </cell>
          <cell r="L416">
            <v>9.0183607384970497</v>
          </cell>
          <cell r="M416">
            <v>6.7375935216679506E-2</v>
          </cell>
          <cell r="N416">
            <v>6.6828095052490599E-2</v>
          </cell>
          <cell r="O416">
            <v>6.6840110639545106E-2</v>
          </cell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1.7699247266040451E-3</v>
          </cell>
          <cell r="G417">
            <v>1.8672869679827236E-3</v>
          </cell>
          <cell r="H417">
            <v>4.1362405925183232</v>
          </cell>
          <cell r="I417">
            <v>6.9592784898104556</v>
          </cell>
          <cell r="J417">
            <v>6.9585052490544745</v>
          </cell>
          <cell r="K417">
            <v>2.824101702128873</v>
          </cell>
          <cell r="L417">
            <v>0.37416603063977122</v>
          </cell>
          <cell r="M417">
            <v>2.7953845462239391E-3</v>
          </cell>
          <cell r="N417">
            <v>2.7726550074969464E-3</v>
          </cell>
          <cell r="O417">
            <v>2.7731535265343183E-3</v>
          </cell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8.8496236330202213E-4</v>
          </cell>
          <cell r="G418">
            <v>8.9773411922246303E-4</v>
          </cell>
          <cell r="H418">
            <v>1.9238328337294515</v>
          </cell>
          <cell r="I418">
            <v>3.1348101305452509</v>
          </cell>
          <cell r="J418">
            <v>3.0519759864274008</v>
          </cell>
          <cell r="K418">
            <v>1.2068810692858425</v>
          </cell>
          <cell r="L418">
            <v>0.15990001309391941</v>
          </cell>
          <cell r="M418">
            <v>1.19460878043758E-3</v>
          </cell>
          <cell r="N418">
            <v>1.1848953023491232E-3</v>
          </cell>
          <cell r="O418">
            <v>1.1851083446727843E-3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1.8628857500526299E-7</v>
          </cell>
          <cell r="F419">
            <v>1.5680946196043499E-4</v>
          </cell>
          <cell r="G419">
            <v>2.8168233433582E-6</v>
          </cell>
          <cell r="H419">
            <v>0.33459490836252898</v>
          </cell>
          <cell r="I419">
            <v>0.228566710122204</v>
          </cell>
          <cell r="J419">
            <v>4.5198429524000802E-7</v>
          </cell>
          <cell r="K419">
            <v>2.2090727022685899E-6</v>
          </cell>
          <cell r="L419">
            <v>3.6638587307737201E-7</v>
          </cell>
          <cell r="M419">
            <v>2.5754388137177699E-4</v>
          </cell>
          <cell r="N419">
            <v>5.6808632289131601E-6</v>
          </cell>
          <cell r="O419">
            <v>5.5235470317211299E-5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1.8628857500526299E-7</v>
          </cell>
          <cell r="F420">
            <v>1.5695463003177003E-4</v>
          </cell>
          <cell r="G420">
            <v>1.5974979321817825E-4</v>
          </cell>
          <cell r="H420">
            <v>0.33475449218781594</v>
          </cell>
          <cell r="I420">
            <v>0.56319661165134138</v>
          </cell>
          <cell r="J420">
            <v>0.56316187747133972</v>
          </cell>
          <cell r="K420">
            <v>0.22856923410226446</v>
          </cell>
          <cell r="L420">
            <v>3.5122619616127247E-2</v>
          </cell>
          <cell r="M420">
            <v>2.5987514225689351E-4</v>
          </cell>
          <cell r="N420">
            <v>2.6360983708989479E-4</v>
          </cell>
          <cell r="O420">
            <v>3.1822200201749029E-4</v>
          </cell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4.7545956579840481E-6</v>
          </cell>
          <cell r="E421">
            <v>3.3517346601907484E-6</v>
          </cell>
          <cell r="F421">
            <v>6.0358242681159163E-7</v>
          </cell>
          <cell r="G421">
            <v>3.7630590113213984E-4</v>
          </cell>
          <cell r="H421">
            <v>9.2030295958220668E-4</v>
          </cell>
          <cell r="I421">
            <v>5.2406297232431235E-3</v>
          </cell>
          <cell r="J421">
            <v>8.4680287631033919E-3</v>
          </cell>
          <cell r="K421">
            <v>8.6257690787445249E-3</v>
          </cell>
          <cell r="L421">
            <v>4.951534135798066E-3</v>
          </cell>
          <cell r="M421">
            <v>4.2330416893839318E-3</v>
          </cell>
          <cell r="N421">
            <v>6.1278262722258099E-3</v>
          </cell>
          <cell r="O421">
            <v>5.9651979706560583E-3</v>
          </cell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3.7063553867013636E-6</v>
          </cell>
          <cell r="E422">
            <v>1.1188787369445243E-5</v>
          </cell>
          <cell r="F422">
            <v>9.7565910960211214E-6</v>
          </cell>
          <cell r="G422">
            <v>1.5254372987550023E-4</v>
          </cell>
          <cell r="H422">
            <v>8.0659936561468503E-5</v>
          </cell>
          <cell r="I422">
            <v>2.2170556622870344E-5</v>
          </cell>
          <cell r="J422">
            <v>5.7083189830651661E-5</v>
          </cell>
          <cell r="K422">
            <v>8.703020334096734E-5</v>
          </cell>
          <cell r="L422">
            <v>4.4616351305342138E-5</v>
          </cell>
          <cell r="M422">
            <v>2.5393654959467892E-4</v>
          </cell>
          <cell r="N422">
            <v>2.7831491635030333E-5</v>
          </cell>
          <cell r="O422">
            <v>4.7836380364108314E-5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G423"/>
          <cell r="H423">
            <v>1.9835763084177723E-7</v>
          </cell>
          <cell r="I423">
            <v>7.1716816182280165E-6</v>
          </cell>
          <cell r="J423">
            <v>1.1220523852313772E-5</v>
          </cell>
          <cell r="K423">
            <v>1.4776462995277494E-5</v>
          </cell>
          <cell r="L423">
            <v>9.1054842435826426E-6</v>
          </cell>
          <cell r="M423">
            <v>1.0832145848182753E-5</v>
          </cell>
          <cell r="N423">
            <v>1.4437633837827511E-5</v>
          </cell>
          <cell r="O423">
            <v>1.8509986867741533E-5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8.4609510446854096E-6</v>
          </cell>
          <cell r="E424">
            <v>1.4788296628052165E-5</v>
          </cell>
          <cell r="F424">
            <v>1.0705803874011084E-5</v>
          </cell>
          <cell r="G424">
            <v>5.2922966722179136E-4</v>
          </cell>
          <cell r="H424">
            <v>1.0019700371164699E-3</v>
          </cell>
          <cell r="I424">
            <v>5.2703922702623147E-3</v>
          </cell>
          <cell r="J424">
            <v>8.5367079758833179E-3</v>
          </cell>
          <cell r="K424">
            <v>8.7278803414468815E-3</v>
          </cell>
          <cell r="L424">
            <v>5.0056367030445964E-3</v>
          </cell>
          <cell r="M424">
            <v>4.4981954865814426E-3</v>
          </cell>
          <cell r="N424">
            <v>6.1704336209013845E-3</v>
          </cell>
          <cell r="O424">
            <v>6.0315443378879119E-3</v>
          </cell>
        </row>
        <row r="425">
          <cell r="A425" t="str">
            <v>ITOT-SWHCONBR</v>
          </cell>
          <cell r="B425" t="str">
            <v>VAR_ncap</v>
          </cell>
          <cell r="C425" t="str">
            <v>-</v>
          </cell>
          <cell r="G425"/>
          <cell r="H425"/>
          <cell r="I425"/>
          <cell r="J425"/>
          <cell r="K425"/>
          <cell r="O425">
            <v>1.9052738556284102E-8</v>
          </cell>
        </row>
        <row r="426">
          <cell r="A426" t="str">
            <v>ITOT-SWHCONBR</v>
          </cell>
          <cell r="B426" t="str">
            <v>VAR_cap</v>
          </cell>
          <cell r="C426" t="str">
            <v>-</v>
          </cell>
          <cell r="G426"/>
          <cell r="O426">
            <v>1.9052738556284102E-8</v>
          </cell>
        </row>
        <row r="427">
          <cell r="A427" t="str">
            <v>ITOT-SWHSOLBR</v>
          </cell>
          <cell r="B427" t="str">
            <v>VAR_fout</v>
          </cell>
          <cell r="C427" t="str">
            <v>ITOT-SWHASOL</v>
          </cell>
          <cell r="D427">
            <v>6.7631876321587028E-2</v>
          </cell>
          <cell r="E427">
            <v>8.5490310982655707E-2</v>
          </cell>
          <cell r="F427">
            <v>8.4131742236063761E-2</v>
          </cell>
          <cell r="G427">
            <v>8.5802905691877776E-2</v>
          </cell>
          <cell r="H427">
            <v>8.5792429311437823E-2</v>
          </cell>
          <cell r="I427">
            <v>5.9139034626635438E-2</v>
          </cell>
          <cell r="J427">
            <v>5.9870474676014675E-2</v>
          </cell>
          <cell r="K427">
            <v>5.658712858573163E-2</v>
          </cell>
          <cell r="L427">
            <v>5.298908523133216E-2</v>
          </cell>
          <cell r="M427">
            <v>5.0125400229749609E-2</v>
          </cell>
          <cell r="N427">
            <v>9.5066754204313625E-3</v>
          </cell>
          <cell r="O427">
            <v>1.0185431668041319E-3</v>
          </cell>
        </row>
        <row r="428">
          <cell r="A428" t="str">
            <v>ITOT-SWHSOLBR</v>
          </cell>
          <cell r="B428" t="str">
            <v>VAR_fin</v>
          </cell>
          <cell r="C428" t="str">
            <v>SOL</v>
          </cell>
          <cell r="D428">
            <v>6.7631876321587028E-2</v>
          </cell>
          <cell r="E428">
            <v>8.5490310982655707E-2</v>
          </cell>
          <cell r="F428">
            <v>8.4131742236063761E-2</v>
          </cell>
          <cell r="G428">
            <v>8.5802905691877776E-2</v>
          </cell>
          <cell r="H428">
            <v>8.5792429311437823E-2</v>
          </cell>
          <cell r="I428">
            <v>5.9139034626635438E-2</v>
          </cell>
          <cell r="J428">
            <v>5.9870474676014675E-2</v>
          </cell>
          <cell r="K428">
            <v>5.658712858573163E-2</v>
          </cell>
          <cell r="L428">
            <v>5.298908523133216E-2</v>
          </cell>
          <cell r="M428">
            <v>5.0125400229749609E-2</v>
          </cell>
          <cell r="N428">
            <v>9.5066754204313625E-3</v>
          </cell>
          <cell r="O428">
            <v>1.0185431668041319E-3</v>
          </cell>
        </row>
        <row r="429">
          <cell r="A429" t="str">
            <v>ITOT-SWHSOLBR</v>
          </cell>
          <cell r="B429" t="str">
            <v>VAR_ncap</v>
          </cell>
          <cell r="C429" t="str">
            <v>-</v>
          </cell>
          <cell r="E429">
            <v>2.6498828574487302E-3</v>
          </cell>
          <cell r="F429">
            <v>3.4422914021406702E-8</v>
          </cell>
          <cell r="G429">
            <v>9.3240371384983306E-8</v>
          </cell>
          <cell r="H429">
            <v>8.5663707825565493E-3</v>
          </cell>
          <cell r="I429">
            <v>3.90457529183676E-3</v>
          </cell>
          <cell r="J429">
            <v>2.59296909030278E-7</v>
          </cell>
          <cell r="K429">
            <v>8.5668767560183098E-3</v>
          </cell>
          <cell r="L429">
            <v>3.3045301356189301E-3</v>
          </cell>
          <cell r="M429">
            <v>6.0294246337877901E-4</v>
          </cell>
          <cell r="N429">
            <v>8.0968431413051302E-3</v>
          </cell>
          <cell r="O429">
            <v>2.84311951487486E-2</v>
          </cell>
        </row>
        <row r="430">
          <cell r="A430" t="str">
            <v>ITOT-SWHSOLBR</v>
          </cell>
          <cell r="B430" t="str">
            <v>VAR_cap</v>
          </cell>
          <cell r="C430" t="str">
            <v>-</v>
          </cell>
          <cell r="D430">
            <v>9.8214799778629808E-3</v>
          </cell>
          <cell r="E430">
            <v>1.2471362835311712E-2</v>
          </cell>
          <cell r="F430">
            <v>1.2471397258225731E-2</v>
          </cell>
          <cell r="G430">
            <v>1.247149049859712E-2</v>
          </cell>
          <cell r="H430">
            <v>1.2471198246699311E-2</v>
          </cell>
          <cell r="I430">
            <v>1.24710288047834E-2</v>
          </cell>
          <cell r="J430">
            <v>1.2471205371302301E-2</v>
          </cell>
          <cell r="K430">
            <v>1.2471711344764101E-2</v>
          </cell>
          <cell r="L430">
            <v>1.247158574896E-2</v>
          </cell>
          <cell r="M430">
            <v>1.2474349355016E-2</v>
          </cell>
          <cell r="N430">
            <v>1.24741161345231E-2</v>
          </cell>
          <cell r="O430">
            <v>3.7130980753432498E-2</v>
          </cell>
        </row>
        <row r="431">
          <cell r="A431" t="str">
            <v>SCOM-SHNGAHP</v>
          </cell>
          <cell r="B431" t="str">
            <v>VAR_fout</v>
          </cell>
          <cell r="C431" t="str">
            <v>SCOM-SHANGAH</v>
          </cell>
          <cell r="F431">
            <v>1.5586736625574271E-3</v>
          </cell>
          <cell r="G431">
            <v>1.5364872617343521E-3</v>
          </cell>
          <cell r="H431">
            <v>0.40353542913964768</v>
          </cell>
          <cell r="I431">
            <v>0.83660997762416223</v>
          </cell>
          <cell r="J431">
            <v>1.303151200433079</v>
          </cell>
          <cell r="K431">
            <v>0.89658005148162545</v>
          </cell>
          <cell r="L431">
            <v>1.7686170676385622</v>
          </cell>
          <cell r="M431">
            <v>2.7080594219906322</v>
          </cell>
          <cell r="N431">
            <v>3.7200923852771788</v>
          </cell>
          <cell r="O431">
            <v>4.457923073488554</v>
          </cell>
        </row>
        <row r="432">
          <cell r="A432" t="str">
            <v>SCOM-SHNGAHP</v>
          </cell>
          <cell r="B432" t="str">
            <v>VAR_fout</v>
          </cell>
          <cell r="C432" t="str">
            <v>CO2_S</v>
          </cell>
          <cell r="F432">
            <v>4.43985831152722E-2</v>
          </cell>
          <cell r="G432">
            <v>4.2479353706773297E-2</v>
          </cell>
          <cell r="H432">
            <v>10.837808668321999</v>
          </cell>
          <cell r="I432">
            <v>21.844816082408698</v>
          </cell>
          <cell r="J432">
            <v>33.107084551543103</v>
          </cell>
          <cell r="K432">
            <v>22.1785591682297</v>
          </cell>
          <cell r="L432">
            <v>43.750001146848597</v>
          </cell>
          <cell r="M432">
            <v>66.988838333452506</v>
          </cell>
          <cell r="N432">
            <v>92.023337951593305</v>
          </cell>
          <cell r="O432">
            <v>110.274939186296</v>
          </cell>
        </row>
        <row r="433">
          <cell r="A433" t="str">
            <v>SCOM-SHNGAHP</v>
          </cell>
          <cell r="B433" t="str">
            <v>VAR_fin</v>
          </cell>
          <cell r="C433" t="str">
            <v>SCOMELCHPC</v>
          </cell>
          <cell r="F433">
            <v>1.5586736625574271E-3</v>
          </cell>
          <cell r="G433">
            <v>1.5364872617343521E-3</v>
          </cell>
          <cell r="H433">
            <v>0.40353542913964768</v>
          </cell>
          <cell r="I433">
            <v>0.83660997762416223</v>
          </cell>
          <cell r="J433">
            <v>1.303151200433079</v>
          </cell>
          <cell r="K433">
            <v>0.89658005148162545</v>
          </cell>
          <cell r="L433">
            <v>1.7686170676385622</v>
          </cell>
          <cell r="M433">
            <v>2.7080594219906322</v>
          </cell>
          <cell r="N433">
            <v>3.7200923852771788</v>
          </cell>
          <cell r="O433">
            <v>4.457923073488554</v>
          </cell>
        </row>
        <row r="434">
          <cell r="A434" t="str">
            <v>SCOM-SHNGAHP</v>
          </cell>
          <cell r="B434" t="str">
            <v>VAR_fin</v>
          </cell>
          <cell r="C434" t="str">
            <v>SNGA</v>
          </cell>
          <cell r="F434">
            <v>7.8720892048354926E-4</v>
          </cell>
          <cell r="G434">
            <v>7.531800302619377E-4</v>
          </cell>
          <cell r="H434">
            <v>0.19215972816173701</v>
          </cell>
          <cell r="I434">
            <v>0.38731943408526054</v>
          </cell>
          <cell r="J434">
            <v>0.58700504524012564</v>
          </cell>
          <cell r="K434">
            <v>0.39323686468492369</v>
          </cell>
          <cell r="L434">
            <v>0.77570924019235099</v>
          </cell>
          <cell r="M434">
            <v>1.1877453605222079</v>
          </cell>
          <cell r="N434">
            <v>1.6316194672268309</v>
          </cell>
          <cell r="O434">
            <v>1.9552294181967353</v>
          </cell>
        </row>
        <row r="435">
          <cell r="A435" t="str">
            <v>SCOM-SHNGAHP</v>
          </cell>
          <cell r="B435" t="str">
            <v>VAR_ncap</v>
          </cell>
          <cell r="C435" t="str">
            <v>-</v>
          </cell>
          <cell r="D435">
            <v>4.9514509423736799E-7</v>
          </cell>
          <cell r="E435">
            <v>3.0129312648059401E-5</v>
          </cell>
          <cell r="F435">
            <v>9.4013435276912397E-5</v>
          </cell>
          <cell r="G435">
            <v>2.0454791932962002E-6</v>
          </cell>
          <cell r="H435">
            <v>3.1204301244646099E-2</v>
          </cell>
          <cell r="I435">
            <v>3.3720406238852398E-2</v>
          </cell>
          <cell r="J435">
            <v>3.5813912689159101E-2</v>
          </cell>
          <cell r="K435">
            <v>1.0917709327201E-4</v>
          </cell>
          <cell r="L435">
            <v>0.100998673726986</v>
          </cell>
          <cell r="M435">
            <v>0.10913774570005599</v>
          </cell>
          <cell r="N435">
            <v>0.110713592027086</v>
          </cell>
          <cell r="O435">
            <v>0.12914117324650301</v>
          </cell>
        </row>
        <row r="436">
          <cell r="A436" t="str">
            <v>SCOM-SHNGAHP</v>
          </cell>
          <cell r="B436" t="str">
            <v>VAR_cap</v>
          </cell>
          <cell r="C436" t="str">
            <v>-</v>
          </cell>
          <cell r="D436">
            <v>4.9514509423736799E-7</v>
          </cell>
          <cell r="E436">
            <v>3.0530853922873026E-5</v>
          </cell>
          <cell r="F436">
            <v>1.2443383230074242E-4</v>
          </cell>
          <cell r="G436">
            <v>1.2641228131348434E-4</v>
          </cell>
          <cell r="H436">
            <v>3.1315305375436017E-2</v>
          </cell>
          <cell r="I436">
            <v>6.4945608591261389E-2</v>
          </cell>
          <cell r="J436">
            <v>0.10073835374141073</v>
          </cell>
          <cell r="K436">
            <v>6.9642992671081594E-2</v>
          </cell>
          <cell r="L436">
            <v>0.13735693203595689</v>
          </cell>
          <cell r="M436">
            <v>0.21024496820918193</v>
          </cell>
          <cell r="N436">
            <v>0.28885029854748367</v>
          </cell>
          <cell r="O436">
            <v>0.34899162975679837</v>
          </cell>
        </row>
        <row r="437">
          <cell r="A437" t="str">
            <v>D-RHNM_LTH_CHPNGA</v>
          </cell>
          <cell r="B437" t="str">
            <v>VAR_fout</v>
          </cell>
          <cell r="C437" t="str">
            <v>RHSA_LTH</v>
          </cell>
          <cell r="D437">
            <v>6.1885654249733411E-6</v>
          </cell>
          <cell r="E437">
            <v>1.3067266867792741E-3</v>
          </cell>
          <cell r="F437">
            <v>9.5663676643158765E-4</v>
          </cell>
          <cell r="G437">
            <v>3.5452644315709509E-4</v>
          </cell>
          <cell r="H437">
            <v>1.1002105435788334E-4</v>
          </cell>
          <cell r="I437">
            <v>1.3287875569187111E-5</v>
          </cell>
          <cell r="J437">
            <v>9.0809485913247231E-6</v>
          </cell>
          <cell r="K437">
            <v>1.0882831451357049E-5</v>
          </cell>
          <cell r="L437">
            <v>7.9436772487451925E-5</v>
          </cell>
          <cell r="M437">
            <v>2.7883165886311278E-4</v>
          </cell>
          <cell r="N437">
            <v>5.5034385401285399E-6</v>
          </cell>
          <cell r="O437">
            <v>1.0683041531678049E-5</v>
          </cell>
        </row>
        <row r="438">
          <cell r="A438" t="str">
            <v>D-RHNM_LTH_CHPNGA</v>
          </cell>
          <cell r="B438" t="str">
            <v>VAR_fout</v>
          </cell>
          <cell r="C438" t="str">
            <v>LTH</v>
          </cell>
          <cell r="F438">
            <v>3.9921314092021183E-6</v>
          </cell>
          <cell r="G438">
            <v>1.0059285023049401E-5</v>
          </cell>
          <cell r="H438">
            <v>1.6195114251917406E-5</v>
          </cell>
          <cell r="I438">
            <v>1.2140579777923588E-5</v>
          </cell>
          <cell r="J438">
            <v>6.6079007624552742E-6</v>
          </cell>
          <cell r="K438">
            <v>8.8518743289526257E-6</v>
          </cell>
          <cell r="L438">
            <v>3.0545004020019538E-6</v>
          </cell>
          <cell r="M438">
            <v>1.2185295187775058E-5</v>
          </cell>
          <cell r="N438">
            <v>5.6917591986360149E-6</v>
          </cell>
          <cell r="O438">
            <v>1.3243067226250019E-5</v>
          </cell>
        </row>
        <row r="439">
          <cell r="A439" t="str">
            <v>D-RHNM_LTH_CHPNGA</v>
          </cell>
          <cell r="B439" t="str">
            <v>VAR_fout</v>
          </cell>
          <cell r="C439" t="str">
            <v>RHNM_LTH_CHPNGA_ON</v>
          </cell>
          <cell r="D439">
            <v>5.3391611873327234E-6</v>
          </cell>
          <cell r="E439">
            <v>2.6401000526663711E-3</v>
          </cell>
          <cell r="F439">
            <v>1.4319516704682511E-2</v>
          </cell>
          <cell r="G439">
            <v>1.4163811764099017E-2</v>
          </cell>
          <cell r="H439">
            <v>1.4552871338392035E-2</v>
          </cell>
          <cell r="I439">
            <v>8.3737676073181791E-3</v>
          </cell>
          <cell r="J439">
            <v>2.4314025097899249E-6</v>
          </cell>
          <cell r="K439">
            <v>3.2360708123494411E-6</v>
          </cell>
          <cell r="L439">
            <v>1.6735317284239317E-3</v>
          </cell>
          <cell r="M439">
            <v>4.801364508445231E-3</v>
          </cell>
          <cell r="N439">
            <v>2.1404813535676023E-3</v>
          </cell>
          <cell r="O439">
            <v>4.1104102793574947E-3</v>
          </cell>
        </row>
        <row r="440">
          <cell r="A440" t="str">
            <v>D-RHNM_LTH_CHPNGA</v>
          </cell>
          <cell r="B440" t="str">
            <v>VAR_fin</v>
          </cell>
          <cell r="C440" t="str">
            <v>RHNM_LTH_CHPNGA</v>
          </cell>
          <cell r="D440">
            <v>1.1527726612306059E-5</v>
          </cell>
          <cell r="E440">
            <v>3.9473430663275631E-3</v>
          </cell>
          <cell r="F440">
            <v>1.5280974000068653E-2</v>
          </cell>
          <cell r="G440">
            <v>1.4528747324194265E-2</v>
          </cell>
          <cell r="H440">
            <v>1.4679457054015682E-2</v>
          </cell>
          <cell r="I440">
            <v>8.3995809715428707E-3</v>
          </cell>
          <cell r="J440">
            <v>1.812025186356993E-5</v>
          </cell>
          <cell r="K440">
            <v>2.2970776592659115E-5</v>
          </cell>
          <cell r="L440">
            <v>1.75688013691615E-3</v>
          </cell>
          <cell r="M440">
            <v>5.0928164578658078E-3</v>
          </cell>
          <cell r="N440">
            <v>2.1521459859849402E-3</v>
          </cell>
          <cell r="O440">
            <v>4.1343363881154241E-3</v>
          </cell>
        </row>
        <row r="441">
          <cell r="A441" t="str">
            <v>RHNM-SHELCHP</v>
          </cell>
          <cell r="B441" t="str">
            <v>VAR_fout</v>
          </cell>
          <cell r="C441" t="str">
            <v>RHNM-SHAELCH</v>
          </cell>
          <cell r="E441">
            <v>0.52871980754888992</v>
          </cell>
          <cell r="F441">
            <v>2.0799350717907408</v>
          </cell>
          <cell r="G441">
            <v>4.3075666920816698</v>
          </cell>
          <cell r="H441">
            <v>4.3075694699557934</v>
          </cell>
          <cell r="I441">
            <v>4.3075721836258012</v>
          </cell>
          <cell r="J441">
            <v>5.5393151343285636</v>
          </cell>
          <cell r="K441">
            <v>8.5804427479259093</v>
          </cell>
          <cell r="L441">
            <v>10.888258042572236</v>
          </cell>
          <cell r="M441">
            <v>11.602117655408065</v>
          </cell>
          <cell r="N441">
            <v>11.602146993597001</v>
          </cell>
          <cell r="O441">
            <v>11.602168046536601</v>
          </cell>
        </row>
        <row r="442">
          <cell r="A442" t="str">
            <v>RHNM-SHELCHP</v>
          </cell>
          <cell r="B442" t="str">
            <v>VAR_fin</v>
          </cell>
          <cell r="C442" t="str">
            <v>RHNM_ELC</v>
          </cell>
          <cell r="E442">
            <v>0.16251633428756854</v>
          </cell>
          <cell r="F442">
            <v>0.62398052153722094</v>
          </cell>
          <cell r="G442">
            <v>1.2425673150235572</v>
          </cell>
          <cell r="H442">
            <v>1.2021124102202214</v>
          </cell>
          <cell r="I442">
            <v>1.164208698277243</v>
          </cell>
          <cell r="J442">
            <v>1.457714509033833</v>
          </cell>
          <cell r="K442">
            <v>2.200113525109205</v>
          </cell>
          <cell r="L442">
            <v>2.7918610365569809</v>
          </cell>
          <cell r="M442">
            <v>2.9749019629251445</v>
          </cell>
          <cell r="N442">
            <v>2.9749094855376939</v>
          </cell>
          <cell r="O442">
            <v>2.9749148837273292</v>
          </cell>
        </row>
        <row r="443">
          <cell r="A443" t="str">
            <v>RHNM-SHELCHP</v>
          </cell>
          <cell r="B443" t="str">
            <v>VAR_fin</v>
          </cell>
          <cell r="C443" t="str">
            <v>RHNMELCHPC</v>
          </cell>
          <cell r="E443">
            <v>0.52871980754888992</v>
          </cell>
          <cell r="F443">
            <v>2.0799350717907408</v>
          </cell>
          <cell r="G443">
            <v>4.3075666920816698</v>
          </cell>
          <cell r="H443">
            <v>4.3075694699557934</v>
          </cell>
          <cell r="I443">
            <v>4.3075721836258012</v>
          </cell>
          <cell r="J443">
            <v>5.5393151343285636</v>
          </cell>
          <cell r="K443">
            <v>8.5804427479259093</v>
          </cell>
          <cell r="L443">
            <v>10.888258042572236</v>
          </cell>
          <cell r="M443">
            <v>11.602117655408065</v>
          </cell>
          <cell r="N443">
            <v>11.602146993597001</v>
          </cell>
          <cell r="O443">
            <v>11.602168046536601</v>
          </cell>
        </row>
        <row r="444">
          <cell r="A444" t="str">
            <v>RHNM-SHELCHP</v>
          </cell>
          <cell r="B444" t="str">
            <v>VAR_ncap</v>
          </cell>
          <cell r="C444" t="str">
            <v>-</v>
          </cell>
          <cell r="E444">
            <v>4.1171676121720902E-2</v>
          </cell>
          <cell r="F444">
            <v>0.120403130202876</v>
          </cell>
          <cell r="G444">
            <v>0.175737176220369</v>
          </cell>
          <cell r="H444">
            <v>1.7151953634815299E-2</v>
          </cell>
          <cell r="I444">
            <v>0.14973096151969101</v>
          </cell>
          <cell r="J444">
            <v>0.26315432583713899</v>
          </cell>
          <cell r="K444">
            <v>0.25446958681798398</v>
          </cell>
          <cell r="L444">
            <v>0.34100655897492099</v>
          </cell>
          <cell r="M444">
            <v>0.30863563644016101</v>
          </cell>
          <cell r="N444">
            <v>0.31586529228788901</v>
          </cell>
          <cell r="O444">
            <v>0.276179644688963</v>
          </cell>
        </row>
        <row r="445">
          <cell r="A445" t="str">
            <v>RHNM-SHELCHP</v>
          </cell>
          <cell r="B445" t="str">
            <v>VAR_cap</v>
          </cell>
          <cell r="C445" t="str">
            <v>-</v>
          </cell>
          <cell r="E445">
            <v>4.1171676121720902E-2</v>
          </cell>
          <cell r="F445">
            <v>0.16157471988801053</v>
          </cell>
          <cell r="G445">
            <v>0.3373115931074025</v>
          </cell>
          <cell r="H445">
            <v>0.33438563792814396</v>
          </cell>
          <cell r="I445">
            <v>0.33447043707226243</v>
          </cell>
          <cell r="J445">
            <v>0.4300369536055707</v>
          </cell>
          <cell r="K445">
            <v>0.66735445297702989</v>
          </cell>
          <cell r="L445">
            <v>0.84677004240861597</v>
          </cell>
          <cell r="M445">
            <v>0.90411134423389894</v>
          </cell>
          <cell r="N445">
            <v>0.9024752530051019</v>
          </cell>
          <cell r="O445">
            <v>0.90067997735044647</v>
          </cell>
        </row>
        <row r="446">
          <cell r="A446" t="str">
            <v>D-IH2R</v>
          </cell>
          <cell r="B446" t="str">
            <v>VAR_fout</v>
          </cell>
          <cell r="C446" t="str">
            <v>IH2</v>
          </cell>
          <cell r="G446">
            <v>1.5163353583651836E-3</v>
          </cell>
          <cell r="H446">
            <v>9.0010484463108611</v>
          </cell>
          <cell r="I446">
            <v>11.416898346568672</v>
          </cell>
          <cell r="J446">
            <v>4.7545322185472134</v>
          </cell>
          <cell r="K446">
            <v>4.7544987804821748</v>
          </cell>
          <cell r="L446">
            <v>1.4314558962912711</v>
          </cell>
          <cell r="M446">
            <v>0.57072466776660746</v>
          </cell>
          <cell r="N446">
            <v>0.33695594230322917</v>
          </cell>
          <cell r="O446">
            <v>0.48672493682999252</v>
          </cell>
        </row>
        <row r="447">
          <cell r="A447" t="str">
            <v>D-IH2R</v>
          </cell>
          <cell r="B447" t="str">
            <v>VAR_fin</v>
          </cell>
          <cell r="C447" t="str">
            <v>H2</v>
          </cell>
          <cell r="G447">
            <v>1.5163353583651836E-3</v>
          </cell>
          <cell r="H447">
            <v>9.0010484463108611</v>
          </cell>
          <cell r="I447">
            <v>11.416898346568672</v>
          </cell>
          <cell r="J447">
            <v>4.7545322185472134</v>
          </cell>
          <cell r="K447">
            <v>4.7544987804821748</v>
          </cell>
          <cell r="L447">
            <v>1.4314558962912711</v>
          </cell>
          <cell r="M447">
            <v>0.57072466776660746</v>
          </cell>
          <cell r="N447">
            <v>0.33695594230322917</v>
          </cell>
          <cell r="O447">
            <v>0.48672493682999252</v>
          </cell>
        </row>
        <row r="448">
          <cell r="A448" t="str">
            <v>D-IH2R</v>
          </cell>
          <cell r="B448" t="str">
            <v>VAR_ncap</v>
          </cell>
          <cell r="C448" t="str">
            <v>-</v>
          </cell>
          <cell r="G448">
            <v>1.6331637027943899E-4</v>
          </cell>
          <cell r="H448">
            <v>0.368005722297363</v>
          </cell>
          <cell r="I448">
            <v>0.32497371903018202</v>
          </cell>
          <cell r="J448">
            <v>0.167517991456894</v>
          </cell>
          <cell r="K448">
            <v>1.32382047632707E-6</v>
          </cell>
          <cell r="L448">
            <v>2.4696206253785699E-2</v>
          </cell>
          <cell r="M448">
            <v>1.3630143737183801E-3</v>
          </cell>
          <cell r="N448">
            <v>1.16329648734799E-2</v>
          </cell>
          <cell r="O448">
            <v>5.5228330400966599E-3</v>
          </cell>
        </row>
        <row r="449">
          <cell r="A449" t="str">
            <v>D-IH2R</v>
          </cell>
          <cell r="B449" t="str">
            <v>VAR_cap</v>
          </cell>
          <cell r="C449" t="str">
            <v>-</v>
          </cell>
          <cell r="G449">
            <v>1.6331637027943899E-4</v>
          </cell>
          <cell r="H449">
            <v>0.36812970916624999</v>
          </cell>
          <cell r="I449">
            <v>0.40225379382980497</v>
          </cell>
          <cell r="J449">
            <v>0.167517991456894</v>
          </cell>
          <cell r="K449">
            <v>0.16751931527736999</v>
          </cell>
          <cell r="L449">
            <v>5.0436430622805097E-2</v>
          </cell>
          <cell r="M449">
            <v>2.01119326943969E-2</v>
          </cell>
          <cell r="N449">
            <v>1.1874384600785401E-2</v>
          </cell>
          <cell r="O449">
            <v>1.71557979135766E-2</v>
          </cell>
        </row>
        <row r="450">
          <cell r="A450" t="str">
            <v>RHEM-SHSTG-ELC</v>
          </cell>
          <cell r="B450" t="str">
            <v>VAR_fout</v>
          </cell>
          <cell r="C450" t="str">
            <v>RHEM-SHAELCB</v>
          </cell>
          <cell r="D450">
            <v>2.3402160523019E-8</v>
          </cell>
          <cell r="E450">
            <v>0.82468117935833118</v>
          </cell>
          <cell r="F450">
            <v>0.73917870053498824</v>
          </cell>
          <cell r="G450">
            <v>0.59238244759759795</v>
          </cell>
          <cell r="H450">
            <v>0.44130557623638839</v>
          </cell>
          <cell r="I450">
            <v>0.25259383782008299</v>
          </cell>
          <cell r="J450">
            <v>0.21058030727088925</v>
          </cell>
          <cell r="K450">
            <v>9.8453737636283484E-2</v>
          </cell>
          <cell r="L450">
            <v>0.40271444658229993</v>
          </cell>
          <cell r="M450">
            <v>0.37317446548306821</v>
          </cell>
          <cell r="N450">
            <v>0.34079147568778478</v>
          </cell>
          <cell r="O450">
            <v>8.5067733837172366E-2</v>
          </cell>
        </row>
        <row r="451">
          <cell r="A451" t="str">
            <v>RHEM-SHSTG-ELC</v>
          </cell>
          <cell r="B451" t="str">
            <v>VAR_fin</v>
          </cell>
          <cell r="C451" t="str">
            <v>RHEM-SHAELCB</v>
          </cell>
          <cell r="D451">
            <v>5.3560512699262798E-8</v>
          </cell>
          <cell r="E451">
            <v>0.82471243559567275</v>
          </cell>
          <cell r="F451">
            <v>0.7392127460168092</v>
          </cell>
          <cell r="G451">
            <v>0.59240916229566987</v>
          </cell>
          <cell r="H451">
            <v>0.44132104720852655</v>
          </cell>
          <cell r="I451">
            <v>0.2526040486097898</v>
          </cell>
          <cell r="J451">
            <v>0.21058859951793918</v>
          </cell>
          <cell r="K451">
            <v>9.8458251580730988E-2</v>
          </cell>
          <cell r="L451">
            <v>0.4027299389786293</v>
          </cell>
          <cell r="M451">
            <v>0.37318927395616597</v>
          </cell>
          <cell r="N451">
            <v>0.34080554220472181</v>
          </cell>
          <cell r="O451">
            <v>8.507246155604653E-2</v>
          </cell>
        </row>
        <row r="452">
          <cell r="A452" t="str">
            <v>RHEM-SHSTG-ELC</v>
          </cell>
          <cell r="B452" t="str">
            <v>VAR_ncap</v>
          </cell>
          <cell r="C452" t="str">
            <v>-</v>
          </cell>
          <cell r="D452">
            <v>5.7050567039577402E-3</v>
          </cell>
          <cell r="E452">
            <v>7.1201704021476006E-2</v>
          </cell>
          <cell r="F452">
            <v>3.42818067801222E-5</v>
          </cell>
          <cell r="G452">
            <v>2.4579834226493399E-5</v>
          </cell>
          <cell r="H452">
            <v>1.6177495926052599E-3</v>
          </cell>
          <cell r="I452">
            <v>2.48422455035303E-2</v>
          </cell>
          <cell r="J452">
            <v>5.4415717853767999E-5</v>
          </cell>
          <cell r="K452">
            <v>3.2299755165281999E-4</v>
          </cell>
          <cell r="L452">
            <v>3.50870205777025E-2</v>
          </cell>
          <cell r="M452">
            <v>9.8286958050583994E-4</v>
          </cell>
          <cell r="N452">
            <v>8.7734871446040804E-3</v>
          </cell>
          <cell r="O452">
            <v>1.5507125639495E-3</v>
          </cell>
        </row>
        <row r="453">
          <cell r="A453" t="str">
            <v>RHEM-SHSTG-ELC</v>
          </cell>
          <cell r="B453" t="str">
            <v>VAR_cap</v>
          </cell>
          <cell r="C453" t="str">
            <v>-</v>
          </cell>
          <cell r="D453">
            <v>5.7050567039577402E-3</v>
          </cell>
          <cell r="E453">
            <v>7.6894405652339376E-2</v>
          </cell>
          <cell r="F453">
            <v>7.6894077788618315E-2</v>
          </cell>
          <cell r="G453">
            <v>7.4904541134988137E-2</v>
          </cell>
          <cell r="H453">
            <v>3.9004219679077419E-2</v>
          </cell>
          <cell r="I453">
            <v>2.6457386919608618E-2</v>
          </cell>
          <cell r="J453">
            <v>2.1150181796569932E-2</v>
          </cell>
          <cell r="K453">
            <v>1.1322527866082802E-2</v>
          </cell>
          <cell r="L453">
            <v>3.7023114694229788E-2</v>
          </cell>
          <cell r="M453">
            <v>3.6188000044398524E-2</v>
          </cell>
          <cell r="N453">
            <v>3.3552842271417992E-2</v>
          </cell>
          <cell r="O453">
            <v>1.1003754121292538E-2</v>
          </cell>
        </row>
        <row r="454">
          <cell r="A454" t="str">
            <v>RHNM-SHLTHCHPWOD</v>
          </cell>
          <cell r="B454" t="str">
            <v>VAR_fout</v>
          </cell>
          <cell r="C454" t="str">
            <v>RHNM-SHLTHC-WOD</v>
          </cell>
          <cell r="G454">
            <v>6.9349214159170297E-4</v>
          </cell>
          <cell r="H454">
            <v>1.4501132686872249E-3</v>
          </cell>
          <cell r="I454">
            <v>4.462311049420813E-3</v>
          </cell>
          <cell r="J454">
            <v>6.8796566197759073E-3</v>
          </cell>
          <cell r="K454">
            <v>3.0333942594399583E-3</v>
          </cell>
          <cell r="L454">
            <v>3.1298308155752034E-3</v>
          </cell>
          <cell r="M454">
            <v>6.5741037343905653E-3</v>
          </cell>
          <cell r="N454">
            <v>2.5325362132564682E-3</v>
          </cell>
          <cell r="O454">
            <v>3.4599807893212213E-3</v>
          </cell>
        </row>
        <row r="455">
          <cell r="A455" t="str">
            <v>RHNM-SHLTHCHPWOD</v>
          </cell>
          <cell r="B455" t="str">
            <v>VAR_fin</v>
          </cell>
          <cell r="C455" t="str">
            <v>RHNM_LTH_CHPWOD_ON</v>
          </cell>
          <cell r="G455">
            <v>7.004971127188925E-4</v>
          </cell>
          <cell r="H455">
            <v>1.4647608774618433E-3</v>
          </cell>
          <cell r="I455">
            <v>4.5073848984048632E-3</v>
          </cell>
          <cell r="J455">
            <v>6.9491481007837395E-3</v>
          </cell>
          <cell r="K455">
            <v>3.0640346054949096E-3</v>
          </cell>
          <cell r="L455">
            <v>3.1614452682577807E-3</v>
          </cell>
          <cell r="M455">
            <v>6.6405088226167341E-3</v>
          </cell>
          <cell r="N455">
            <v>2.5581173871277452E-3</v>
          </cell>
          <cell r="O455">
            <v>3.4949300902234579E-3</v>
          </cell>
        </row>
        <row r="456">
          <cell r="A456" t="str">
            <v>RHNM-SHLTHCHPWOD</v>
          </cell>
          <cell r="B456" t="str">
            <v>VAR_fin</v>
          </cell>
          <cell r="C456" t="str">
            <v>RHNMLTHCHPC</v>
          </cell>
          <cell r="G456">
            <v>6.9349214159170297E-4</v>
          </cell>
          <cell r="H456">
            <v>1.4501132686872249E-3</v>
          </cell>
          <cell r="I456">
            <v>4.462311049420813E-3</v>
          </cell>
          <cell r="J456">
            <v>6.8796566197759073E-3</v>
          </cell>
          <cell r="K456">
            <v>3.0333942594399583E-3</v>
          </cell>
          <cell r="L456">
            <v>3.1298308155752034E-3</v>
          </cell>
          <cell r="M456">
            <v>6.5741037343905653E-3</v>
          </cell>
          <cell r="N456">
            <v>2.5325362132564682E-3</v>
          </cell>
          <cell r="O456">
            <v>3.4599807893212213E-3</v>
          </cell>
        </row>
        <row r="457">
          <cell r="A457" t="str">
            <v>RHNM-SHLTHCHPWOD</v>
          </cell>
          <cell r="B457" t="str">
            <v>VAR_ncap</v>
          </cell>
          <cell r="C457" t="str">
            <v>-</v>
          </cell>
          <cell r="G457">
            <v>8.3335450946611894E-5</v>
          </cell>
          <cell r="H457">
            <v>1.5422077240540499E-4</v>
          </cell>
          <cell r="I457">
            <v>3.8806653413603402E-4</v>
          </cell>
          <cell r="J457">
            <v>4.0366403851081197E-4</v>
          </cell>
          <cell r="K457">
            <v>2.6878265424180203E-4</v>
          </cell>
          <cell r="L457">
            <v>2.0284799708543199E-4</v>
          </cell>
          <cell r="M457">
            <v>4.2189008290037598E-4</v>
          </cell>
          <cell r="N457">
            <v>2.05166402832697E-4</v>
          </cell>
          <cell r="O457">
            <v>3.3176474837079498E-4</v>
          </cell>
        </row>
        <row r="458">
          <cell r="A458" t="str">
            <v>RHNM-SHLTHCHPWOD</v>
          </cell>
          <cell r="B458" t="str">
            <v>VAR_cap</v>
          </cell>
          <cell r="C458" t="str">
            <v>-</v>
          </cell>
          <cell r="G458">
            <v>8.3335450946611894E-5</v>
          </cell>
          <cell r="H458">
            <v>1.875964609467796E-4</v>
          </cell>
          <cell r="I458">
            <v>4.6354425060855998E-4</v>
          </cell>
          <cell r="J458">
            <v>5.65365243727449E-4</v>
          </cell>
          <cell r="K458">
            <v>3.9660076211501096E-4</v>
          </cell>
          <cell r="L458">
            <v>3.1491973997916397E-4</v>
          </cell>
          <cell r="M458">
            <v>5.5710371179960199E-4</v>
          </cell>
          <cell r="N458">
            <v>3.3044315486394001E-4</v>
          </cell>
          <cell r="O458">
            <v>4.57435997565173E-4</v>
          </cell>
        </row>
        <row r="459">
          <cell r="A459" t="str">
            <v>ITOT-SWHDEM</v>
          </cell>
          <cell r="B459" t="str">
            <v>VAR_fout</v>
          </cell>
          <cell r="C459" t="str">
            <v>ITOT-SWHD</v>
          </cell>
          <cell r="D459">
            <v>72.708169056255471</v>
          </cell>
          <cell r="E459">
            <v>74.35269248141455</v>
          </cell>
          <cell r="F459">
            <v>76.093376262787288</v>
          </cell>
          <cell r="G459">
            <v>77.130034444764803</v>
          </cell>
          <cell r="H459">
            <v>77.659568671916603</v>
          </cell>
          <cell r="I459">
            <v>78.127545789073338</v>
          </cell>
          <cell r="J459">
            <v>78.429892796661278</v>
          </cell>
          <cell r="K459">
            <v>78.732239804249261</v>
          </cell>
          <cell r="L459">
            <v>78.176111803446162</v>
          </cell>
          <cell r="M459">
            <v>80.407440059609044</v>
          </cell>
          <cell r="N459">
            <v>77.870207574025486</v>
          </cell>
          <cell r="O459">
            <v>77.650484572634625</v>
          </cell>
        </row>
        <row r="460">
          <cell r="A460" t="str">
            <v>ITOT-SWHDEM</v>
          </cell>
          <cell r="B460" t="str">
            <v>VAR_fin</v>
          </cell>
          <cell r="C460" t="str">
            <v>ITOT-SWHNGAH</v>
          </cell>
          <cell r="F460">
            <v>6.0738628613698584E-3</v>
          </cell>
          <cell r="G460">
            <v>2.6653032170173736E-3</v>
          </cell>
          <cell r="H460">
            <v>2.6515462179049409E-3</v>
          </cell>
          <cell r="I460">
            <v>1.9538512005872728</v>
          </cell>
          <cell r="J460">
            <v>1.9893912445319415</v>
          </cell>
          <cell r="K460">
            <v>4.389592152255492E-2</v>
          </cell>
          <cell r="L460">
            <v>4.3730378901914953E-2</v>
          </cell>
          <cell r="M460">
            <v>4.3672292362638775E-2</v>
          </cell>
          <cell r="N460">
            <v>4.3503489223949483E-2</v>
          </cell>
          <cell r="O460">
            <v>4.3325498371371958E-2</v>
          </cell>
        </row>
        <row r="461">
          <cell r="A461" t="str">
            <v>ITOT-SWHDEM</v>
          </cell>
          <cell r="B461" t="str">
            <v>VAR_fin</v>
          </cell>
          <cell r="C461" t="str">
            <v>ITOT-SWH</v>
          </cell>
          <cell r="D461">
            <v>61.718505511891941</v>
          </cell>
          <cell r="E461">
            <v>58.48774500566396</v>
          </cell>
          <cell r="F461">
            <v>58.049134658439449</v>
          </cell>
          <cell r="G461">
            <v>54.942083409613993</v>
          </cell>
          <cell r="H461">
            <v>51.906669653517845</v>
          </cell>
          <cell r="I461">
            <v>50.626352675342368</v>
          </cell>
          <cell r="J461">
            <v>48.092868798730741</v>
          </cell>
          <cell r="K461">
            <v>47.954076909822845</v>
          </cell>
          <cell r="L461">
            <v>47.526199566147461</v>
          </cell>
          <cell r="M461">
            <v>49.516520223222919</v>
          </cell>
          <cell r="N461">
            <v>47.19960805956984</v>
          </cell>
          <cell r="O461">
            <v>47.01372556574988</v>
          </cell>
        </row>
        <row r="462">
          <cell r="A462" t="str">
            <v>ITOT-SWHDEM</v>
          </cell>
          <cell r="B462" t="str">
            <v>VAR_fin</v>
          </cell>
          <cell r="C462" t="str">
            <v>ITOT-SWHELCH</v>
          </cell>
          <cell r="D462">
            <v>1.1081275654045448</v>
          </cell>
          <cell r="E462">
            <v>1.4007908195364789</v>
          </cell>
          <cell r="F462">
            <v>3.5953344751198237</v>
          </cell>
          <cell r="G462">
            <v>5.9436042973291361</v>
          </cell>
          <cell r="H462">
            <v>8.1722311090389148</v>
          </cell>
          <cell r="I462">
            <v>8.1601020014358987</v>
          </cell>
          <cell r="J462">
            <v>10.899126108053027</v>
          </cell>
          <cell r="K462">
            <v>13.185702690691773</v>
          </cell>
          <cell r="L462">
            <v>13.135443717860531</v>
          </cell>
          <cell r="M462">
            <v>13.184769254293711</v>
          </cell>
          <cell r="N462">
            <v>13.073142903970531</v>
          </cell>
          <cell r="O462">
            <v>13.069615103184551</v>
          </cell>
        </row>
        <row r="463">
          <cell r="A463" t="str">
            <v>ITOT-SWHDEM</v>
          </cell>
          <cell r="B463" t="str">
            <v>VAR_fin</v>
          </cell>
          <cell r="C463" t="str">
            <v>ITOT-SWHC</v>
          </cell>
          <cell r="E463">
            <v>4.0435976004148806</v>
          </cell>
          <cell r="F463">
            <v>4.0436019829526186</v>
          </cell>
          <cell r="G463">
            <v>4.6123096818402436</v>
          </cell>
          <cell r="H463">
            <v>5.9485716529682851</v>
          </cell>
          <cell r="I463">
            <v>5.948586331351045</v>
          </cell>
          <cell r="J463">
            <v>5.9486378401170183</v>
          </cell>
          <cell r="K463">
            <v>5.9733812679699163</v>
          </cell>
          <cell r="L463">
            <v>6.0178020597257387</v>
          </cell>
          <cell r="M463">
            <v>6.0810603517061068</v>
          </cell>
          <cell r="N463">
            <v>6.0809835032612245</v>
          </cell>
          <cell r="O463">
            <v>6.0810695434129247</v>
          </cell>
        </row>
        <row r="464">
          <cell r="A464" t="str">
            <v>ITOT-SWHDEM</v>
          </cell>
          <cell r="B464" t="str">
            <v>VAR_fin</v>
          </cell>
          <cell r="C464" t="str">
            <v>ITOT-SWHELC</v>
          </cell>
          <cell r="D464">
            <v>9.8138947323064745</v>
          </cell>
          <cell r="E464">
            <v>10.335083452657312</v>
          </cell>
          <cell r="F464">
            <v>10.315195117434701</v>
          </cell>
          <cell r="G464">
            <v>11.543655458593765</v>
          </cell>
          <cell r="H464">
            <v>11.543761037399717</v>
          </cell>
          <cell r="I464">
            <v>11.379816224708096</v>
          </cell>
          <cell r="J464">
            <v>11.440231965100432</v>
          </cell>
          <cell r="K464">
            <v>11.518794497935509</v>
          </cell>
          <cell r="L464">
            <v>11.400111176100346</v>
          </cell>
          <cell r="M464">
            <v>11.531545083508556</v>
          </cell>
          <cell r="N464">
            <v>11.463758805004595</v>
          </cell>
          <cell r="O464">
            <v>11.442077091993697</v>
          </cell>
        </row>
        <row r="465">
          <cell r="A465" t="str">
            <v>ITOT-SWHDEM</v>
          </cell>
          <cell r="B465" t="str">
            <v>VAR_fin</v>
          </cell>
          <cell r="C465" t="str">
            <v>ITOT-SWHSOL</v>
          </cell>
          <cell r="D465">
            <v>6.7641246652504913E-2</v>
          </cell>
          <cell r="E465">
            <v>8.5503003789943688E-2</v>
          </cell>
          <cell r="F465">
            <v>8.4072433653647721E-2</v>
          </cell>
          <cell r="G465">
            <v>8.5750186315440888E-2</v>
          </cell>
          <cell r="H465">
            <v>8.5730021246883323E-2</v>
          </cell>
          <cell r="I465">
            <v>5.8899246679094151E-2</v>
          </cell>
          <cell r="J465">
            <v>5.972932718318915E-2</v>
          </cell>
          <cell r="K465">
            <v>5.6558584758221508E-2</v>
          </cell>
          <cell r="L465">
            <v>5.2899176542417388E-2</v>
          </cell>
          <cell r="M465">
            <v>5.0045159025869326E-2</v>
          </cell>
          <cell r="N465">
            <v>9.2881607948014297E-3</v>
          </cell>
          <cell r="O465">
            <v>8.5442340745741036E-4</v>
          </cell>
        </row>
        <row r="466">
          <cell r="A466" t="str">
            <v>D-RHNS_NKEV_GAS_ELC_CHP</v>
          </cell>
          <cell r="B466" t="str">
            <v>VAR_fout</v>
          </cell>
          <cell r="C466" t="str">
            <v>RHNS_ELC</v>
          </cell>
          <cell r="E466">
            <v>2.9912162476165166E-4</v>
          </cell>
          <cell r="F466">
            <v>6.222611653911561E-4</v>
          </cell>
          <cell r="G466">
            <v>6.2171214670489342E-4</v>
          </cell>
          <cell r="H466">
            <v>6.2224998204605175E-4</v>
          </cell>
          <cell r="I466">
            <v>3.8445312370683843E-4</v>
          </cell>
          <cell r="L466">
            <v>4.3520743985072844E-4</v>
          </cell>
          <cell r="M466">
            <v>7.0613479550828346E-4</v>
          </cell>
          <cell r="N466">
            <v>5.8572279734364521E-4</v>
          </cell>
          <cell r="O466">
            <v>1.3021848212845259E-3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ELC5</v>
          </cell>
          <cell r="E467">
            <v>2.9913854619408286E-4</v>
          </cell>
          <cell r="F467">
            <v>6.2254191399906827E-4</v>
          </cell>
          <cell r="G467">
            <v>6.2195701410141331E-4</v>
          </cell>
          <cell r="H467">
            <v>6.224740163602656E-4</v>
          </cell>
          <cell r="I467">
            <v>3.8450615268854395E-4</v>
          </cell>
          <cell r="L467">
            <v>4.3483941271504938E-4</v>
          </cell>
          <cell r="M467">
            <v>7.0274787680142431E-4</v>
          </cell>
          <cell r="N467">
            <v>5.8261508280836095E-4</v>
          </cell>
          <cell r="O467">
            <v>1.297800988886894E-3</v>
          </cell>
        </row>
        <row r="468">
          <cell r="A468" t="str">
            <v>D-RHNS_NKEV_GAS_ELC_CHP</v>
          </cell>
          <cell r="B468" t="str">
            <v>VAR_fin</v>
          </cell>
          <cell r="C468" t="str">
            <v>RHNS_NKEV_GAS_ELC_CHP</v>
          </cell>
          <cell r="E468">
            <v>5.9826017095573468E-4</v>
          </cell>
          <cell r="F468">
            <v>1.2429420592905873E-3</v>
          </cell>
          <cell r="G468">
            <v>1.2425206023944869E-3</v>
          </cell>
          <cell r="H468">
            <v>1.2429805220124308E-3</v>
          </cell>
          <cell r="I468">
            <v>7.6530955160259762E-4</v>
          </cell>
          <cell r="L468">
            <v>8.7004685256577782E-4</v>
          </cell>
          <cell r="M468">
            <v>1.4088826723097087E-3</v>
          </cell>
          <cell r="N468">
            <v>1.1683378801520075E-3</v>
          </cell>
          <cell r="O468">
            <v>2.5999858101714186E-3</v>
          </cell>
        </row>
        <row r="469">
          <cell r="A469" t="str">
            <v>RHNM-SHSTG-NGAHP</v>
          </cell>
          <cell r="B469" t="str">
            <v>VAR_fout</v>
          </cell>
          <cell r="C469" t="str">
            <v>RHNM-SHANGAH</v>
          </cell>
          <cell r="F469">
            <v>3.3203994530116098E-4</v>
          </cell>
          <cell r="G469">
            <v>3.5884393547551223E-4</v>
          </cell>
          <cell r="H469">
            <v>0.26335415583069172</v>
          </cell>
          <cell r="I469">
            <v>0.45798107025174117</v>
          </cell>
          <cell r="J469">
            <v>0.40201591594581598</v>
          </cell>
          <cell r="K469">
            <v>0.21405517322450787</v>
          </cell>
          <cell r="L469">
            <v>6.9071973819927017E-4</v>
          </cell>
          <cell r="M469">
            <v>1.5882746760189593E-4</v>
          </cell>
          <cell r="N469">
            <v>1.5100997524560179E-4</v>
          </cell>
          <cell r="O469">
            <v>1.3748625953050544E-4</v>
          </cell>
        </row>
        <row r="470">
          <cell r="A470" t="str">
            <v>RHNM-SHSTG-NGAHP</v>
          </cell>
          <cell r="B470" t="str">
            <v>VAR_fin</v>
          </cell>
          <cell r="C470" t="str">
            <v>RHNM-SHANGAH</v>
          </cell>
          <cell r="F470">
            <v>3.3425564966096748E-4</v>
          </cell>
          <cell r="G470">
            <v>3.5791329532358586E-4</v>
          </cell>
          <cell r="H470">
            <v>0.26337029414626684</v>
          </cell>
          <cell r="I470">
            <v>0.45800943358824964</v>
          </cell>
          <cell r="J470">
            <v>0.40204437660111758</v>
          </cell>
          <cell r="K470">
            <v>0.2140693157039581</v>
          </cell>
          <cell r="L470">
            <v>6.9224953814179971E-4</v>
          </cell>
          <cell r="M470">
            <v>1.6157879793047135E-4</v>
          </cell>
          <cell r="N470">
            <v>1.5255324762831086E-4</v>
          </cell>
          <cell r="O470">
            <v>1.4409099403640246E-4</v>
          </cell>
        </row>
        <row r="471">
          <cell r="A471" t="str">
            <v>RHNM-SHSTG-NGAHP</v>
          </cell>
          <cell r="B471" t="str">
            <v>VAR_ncap</v>
          </cell>
          <cell r="C471" t="str">
            <v>-</v>
          </cell>
          <cell r="D471">
            <v>1.06666878767448E-5</v>
          </cell>
          <cell r="E471">
            <v>2.13047375058333E-6</v>
          </cell>
          <cell r="F471">
            <v>1.02814530680794E-4</v>
          </cell>
          <cell r="G471">
            <v>2.0446934671503999E-5</v>
          </cell>
          <cell r="H471">
            <v>3.5420035759620397E-2</v>
          </cell>
          <cell r="I471">
            <v>2.8291492861132E-2</v>
          </cell>
          <cell r="J471">
            <v>7.78461563991274E-5</v>
          </cell>
          <cell r="K471">
            <v>1.23555873764629E-4</v>
          </cell>
          <cell r="L471">
            <v>6.60977136215634E-5</v>
          </cell>
          <cell r="M471">
            <v>4.1136279969276102E-5</v>
          </cell>
          <cell r="N471">
            <v>4.7088662385058899E-5</v>
          </cell>
          <cell r="O471">
            <v>5.8228003750852302E-5</v>
          </cell>
        </row>
        <row r="472">
          <cell r="A472" t="str">
            <v>RHNM-SHSTG-NGAHP</v>
          </cell>
          <cell r="B472" t="str">
            <v>VAR_cap</v>
          </cell>
          <cell r="C472" t="str">
            <v>-</v>
          </cell>
          <cell r="D472">
            <v>1.06666878767448E-5</v>
          </cell>
          <cell r="E472">
            <v>1.2079320111999913E-7</v>
          </cell>
          <cell r="F472">
            <v>1.019021456904689E-4</v>
          </cell>
          <cell r="G472">
            <v>1.025966865554943E-4</v>
          </cell>
          <cell r="H472">
            <v>3.5502846174728535E-2</v>
          </cell>
          <cell r="I472">
            <v>6.3716719768929481E-2</v>
          </cell>
          <cell r="J472">
            <v>6.369540361149309E-2</v>
          </cell>
          <cell r="K472">
            <v>2.8294327706235547E-2</v>
          </cell>
          <cell r="L472">
            <v>2.0572279386860039E-4</v>
          </cell>
          <cell r="M472">
            <v>7.0776341916146019E-5</v>
          </cell>
          <cell r="N472">
            <v>7.13425572833288E-5</v>
          </cell>
          <cell r="O472">
            <v>8.7293421199320992E-5</v>
          </cell>
        </row>
        <row r="473">
          <cell r="A473" t="str">
            <v>D-IBIO</v>
          </cell>
          <cell r="B473" t="str">
            <v>VAR_fout</v>
          </cell>
          <cell r="C473" t="str">
            <v>IBIO</v>
          </cell>
          <cell r="D473">
            <v>0.43672636444825019</v>
          </cell>
          <cell r="E473">
            <v>0.55206537324846738</v>
          </cell>
          <cell r="F473">
            <v>2.8956670014089534</v>
          </cell>
          <cell r="G473">
            <v>6.3347646795463506</v>
          </cell>
          <cell r="H473">
            <v>6.3347804753735115</v>
          </cell>
          <cell r="I473">
            <v>6.3347816822059366</v>
          </cell>
          <cell r="J473">
            <v>6.3347825780289613</v>
          </cell>
          <cell r="K473">
            <v>6.3347844294410445</v>
          </cell>
          <cell r="L473">
            <v>6.3347861514491237</v>
          </cell>
          <cell r="M473">
            <v>6.3347944420729023</v>
          </cell>
          <cell r="N473">
            <v>6.3348005298375467</v>
          </cell>
          <cell r="O473">
            <v>6.3348300350030797</v>
          </cell>
        </row>
        <row r="474">
          <cell r="A474" t="str">
            <v>D-IBIO</v>
          </cell>
          <cell r="B474" t="str">
            <v>VAR_fin</v>
          </cell>
          <cell r="C474" t="str">
            <v>BIO</v>
          </cell>
          <cell r="D474">
            <v>0.43672636444825019</v>
          </cell>
          <cell r="E474">
            <v>0.55206537324846738</v>
          </cell>
          <cell r="F474">
            <v>2.8956670014089534</v>
          </cell>
          <cell r="G474">
            <v>6.3347646795463506</v>
          </cell>
          <cell r="H474">
            <v>6.3347804753735115</v>
          </cell>
          <cell r="I474">
            <v>6.3347816822059366</v>
          </cell>
          <cell r="J474">
            <v>6.3347825780289613</v>
          </cell>
          <cell r="K474">
            <v>6.3347844294410445</v>
          </cell>
          <cell r="L474">
            <v>6.3347861514491237</v>
          </cell>
          <cell r="M474">
            <v>6.3347944420729023</v>
          </cell>
          <cell r="N474">
            <v>6.3348005298375467</v>
          </cell>
          <cell r="O474">
            <v>6.3348300350030797</v>
          </cell>
        </row>
        <row r="475">
          <cell r="A475" t="str">
            <v>D-RHES_KEV_WOD_ELC_CHP</v>
          </cell>
          <cell r="B475" t="str">
            <v>VAR_fout</v>
          </cell>
          <cell r="C475" t="str">
            <v>RHES_ELC</v>
          </cell>
          <cell r="G475">
            <v>9.2801077174172361E-5</v>
          </cell>
          <cell r="H475">
            <v>2.1763243126292841E-4</v>
          </cell>
          <cell r="I475">
            <v>1.0669192117957699E-3</v>
          </cell>
          <cell r="J475">
            <v>1.7208430471094603E-3</v>
          </cell>
          <cell r="K475">
            <v>1.7924142207125498E-3</v>
          </cell>
          <cell r="L475">
            <v>1.0354257713752204E-3</v>
          </cell>
          <cell r="M475">
            <v>9.6884101895064586E-4</v>
          </cell>
          <cell r="N475">
            <v>1.2880114922902898E-3</v>
          </cell>
          <cell r="O475">
            <v>1.3213025107924987E-3</v>
          </cell>
        </row>
        <row r="476">
          <cell r="A476" t="str">
            <v>D-RHES_KEV_WOD_ELC_CHP</v>
          </cell>
          <cell r="B476" t="str">
            <v>VAR_fout</v>
          </cell>
          <cell r="C476" t="str">
            <v>ELC5</v>
          </cell>
          <cell r="G476">
            <v>1.4567496554065986E-4</v>
          </cell>
          <cell r="H476">
            <v>2.1780611831751778E-4</v>
          </cell>
          <cell r="I476">
            <v>1.0672539009314681E-3</v>
          </cell>
          <cell r="J476">
            <v>1.7212461470323156E-3</v>
          </cell>
          <cell r="K476">
            <v>1.7922506953129171E-3</v>
          </cell>
          <cell r="L476">
            <v>1.0352145553263036E-3</v>
          </cell>
          <cell r="M476">
            <v>9.6329147162504372E-4</v>
          </cell>
          <cell r="N476">
            <v>1.2784029794938247E-3</v>
          </cell>
          <cell r="O476">
            <v>1.3183131839956473E-3</v>
          </cell>
        </row>
        <row r="477">
          <cell r="A477" t="str">
            <v>D-RHES_KEV_WOD_ELC_CHP</v>
          </cell>
          <cell r="B477" t="str">
            <v>VAR_fin</v>
          </cell>
          <cell r="C477" t="str">
            <v>RHES_KEV_WOD_ELC_CHP</v>
          </cell>
          <cell r="G477">
            <v>2.3774155287133164E-4</v>
          </cell>
          <cell r="H477">
            <v>4.3421752651441809E-4</v>
          </cell>
          <cell r="I477">
            <v>2.1323818145247688E-3</v>
          </cell>
          <cell r="J477">
            <v>3.4396393102445705E-3</v>
          </cell>
          <cell r="K477">
            <v>3.5811361721693317E-3</v>
          </cell>
          <cell r="L477">
            <v>2.0689683863075654E-3</v>
          </cell>
          <cell r="M477">
            <v>1.9289290639334456E-3</v>
          </cell>
          <cell r="N477">
            <v>2.5639999053489659E-3</v>
          </cell>
          <cell r="O477">
            <v>2.6361333173977033E-3</v>
          </cell>
        </row>
        <row r="478">
          <cell r="A478" t="str">
            <v>D-SNGA</v>
          </cell>
          <cell r="B478" t="str">
            <v>VAR_fout</v>
          </cell>
          <cell r="C478" t="str">
            <v>CO2</v>
          </cell>
          <cell r="D478">
            <v>1522.2449924058899</v>
          </cell>
          <cell r="E478">
            <v>1415.7305115297499</v>
          </cell>
          <cell r="F478">
            <v>1654.9090391418299</v>
          </cell>
          <cell r="G478">
            <v>1606.1786998871501</v>
          </cell>
          <cell r="H478">
            <v>1607.6175318582</v>
          </cell>
          <cell r="I478">
            <v>1560.02025747178</v>
          </cell>
          <cell r="J478">
            <v>1308.15156683282</v>
          </cell>
          <cell r="K478">
            <v>410.98344335493999</v>
          </cell>
          <cell r="L478">
            <v>179.493323821117</v>
          </cell>
          <cell r="M478">
            <v>88.085060296522798</v>
          </cell>
          <cell r="N478">
            <v>52.685107244897402</v>
          </cell>
          <cell r="O478">
            <v>27.368687717795599</v>
          </cell>
        </row>
        <row r="479">
          <cell r="A479" t="str">
            <v>D-SNGA</v>
          </cell>
          <cell r="B479" t="str">
            <v>VAR_fout</v>
          </cell>
          <cell r="C479" t="str">
            <v>SNGA</v>
          </cell>
          <cell r="D479">
            <v>27.209569693068662</v>
          </cell>
          <cell r="E479">
            <v>28.48835243138095</v>
          </cell>
          <cell r="F479">
            <v>29.256691471030791</v>
          </cell>
          <cell r="G479">
            <v>28.38783461282668</v>
          </cell>
          <cell r="H479">
            <v>28.413221239783386</v>
          </cell>
          <cell r="I479">
            <v>27.689747744658231</v>
          </cell>
          <cell r="J479">
            <v>23.237251879268374</v>
          </cell>
          <cell r="K479">
            <v>8.281103724913967</v>
          </cell>
          <cell r="L479">
            <v>4.9703814056563873</v>
          </cell>
          <cell r="M479">
            <v>3.3551357096142582</v>
          </cell>
          <cell r="N479">
            <v>2.7296384236551341</v>
          </cell>
          <cell r="O479">
            <v>2.2822934782044939</v>
          </cell>
        </row>
        <row r="480">
          <cell r="A480" t="str">
            <v>D-SNGA</v>
          </cell>
          <cell r="B480" t="str">
            <v>VAR_fout</v>
          </cell>
          <cell r="C480" t="str">
            <v>RSH2</v>
          </cell>
          <cell r="G480">
            <v>1.285527140860276E-3</v>
          </cell>
          <cell r="H480">
            <v>4.1276472836333324E-2</v>
          </cell>
          <cell r="I480">
            <v>0.24599018159376942</v>
          </cell>
          <cell r="J480">
            <v>0.54234735622598707</v>
          </cell>
          <cell r="K480">
            <v>0.25636401275975856</v>
          </cell>
          <cell r="L480">
            <v>0.15390769214191488</v>
          </cell>
          <cell r="M480">
            <v>5.8688097267411796E-2</v>
          </cell>
          <cell r="N480">
            <v>3.3382248835292658E-2</v>
          </cell>
          <cell r="O480">
            <v>2.476642975685469E-2</v>
          </cell>
        </row>
        <row r="481">
          <cell r="A481" t="str">
            <v>D-SNGA</v>
          </cell>
          <cell r="B481" t="str">
            <v>VAR_fin</v>
          </cell>
          <cell r="C481" t="str">
            <v>NGA</v>
          </cell>
          <cell r="D481">
            <v>26.990159439820793</v>
          </cell>
          <cell r="E481">
            <v>25.101604814357344</v>
          </cell>
          <cell r="F481">
            <v>29.342358850032355</v>
          </cell>
          <cell r="G481">
            <v>28.478345742679991</v>
          </cell>
          <cell r="H481">
            <v>28.50385694784049</v>
          </cell>
          <cell r="I481">
            <v>27.659933643116624</v>
          </cell>
          <cell r="J481">
            <v>23.194176716893907</v>
          </cell>
          <cell r="K481">
            <v>7.2869404850166628</v>
          </cell>
          <cell r="L481">
            <v>3.1825057415091602</v>
          </cell>
          <cell r="M481">
            <v>1.5617918492291274</v>
          </cell>
          <cell r="N481">
            <v>0.93413310717903197</v>
          </cell>
          <cell r="O481">
            <v>0.48526042052828977</v>
          </cell>
        </row>
        <row r="482">
          <cell r="A482" t="str">
            <v>D-SNGA</v>
          </cell>
          <cell r="B482" t="str">
            <v>VAR_fin</v>
          </cell>
          <cell r="C482" t="str">
            <v>BNGA</v>
          </cell>
          <cell r="D482">
            <v>0.30633447757210158</v>
          </cell>
          <cell r="E482">
            <v>3.4777570657325163</v>
          </cell>
          <cell r="F482">
            <v>7.7966206536933241E-3</v>
          </cell>
          <cell r="G482">
            <v>2.0715099083672462E-4</v>
          </cell>
          <cell r="H482">
            <v>2.9153505954851948E-4</v>
          </cell>
          <cell r="I482">
            <v>0.11910084229865069</v>
          </cell>
          <cell r="J482">
            <v>0.1191029537798223</v>
          </cell>
          <cell r="K482">
            <v>1.0214977488945318</v>
          </cell>
          <cell r="L482">
            <v>1.8042916161411773</v>
          </cell>
          <cell r="M482">
            <v>1.8042999916748999</v>
          </cell>
          <cell r="N482">
            <v>1.8043728329146744</v>
          </cell>
          <cell r="O482">
            <v>1.8044519501161209</v>
          </cell>
        </row>
        <row r="483">
          <cell r="A483" t="str">
            <v>D-SNGA</v>
          </cell>
          <cell r="B483" t="str">
            <v>VAR_fin</v>
          </cell>
          <cell r="C483" t="str">
            <v>H2</v>
          </cell>
          <cell r="G483">
            <v>1.285161250670617E-3</v>
          </cell>
          <cell r="H483">
            <v>4.1276218401732956E-2</v>
          </cell>
          <cell r="I483">
            <v>0.24599018159377065</v>
          </cell>
          <cell r="J483">
            <v>0.54234709453695606</v>
          </cell>
          <cell r="K483">
            <v>0.25636328842390382</v>
          </cell>
          <cell r="L483">
            <v>0.15390739736284376</v>
          </cell>
          <cell r="M483">
            <v>5.8688034202393664E-2</v>
          </cell>
          <cell r="N483">
            <v>3.3382203332718345E-2</v>
          </cell>
          <cell r="O483">
            <v>2.4765428747351312E-2</v>
          </cell>
        </row>
        <row r="484">
          <cell r="A484" t="str">
            <v>D-SNGA</v>
          </cell>
          <cell r="B484" t="str">
            <v>VAR_ncap</v>
          </cell>
          <cell r="C484" t="str">
            <v>-</v>
          </cell>
          <cell r="D484">
            <v>1.7236572036278899E-7</v>
          </cell>
          <cell r="E484">
            <v>8.3070444891318197E-8</v>
          </cell>
          <cell r="F484">
            <v>1.3519125229704299E-7</v>
          </cell>
          <cell r="G484">
            <v>1.5608146779384E-7</v>
          </cell>
          <cell r="H484">
            <v>2.44319936418109E-7</v>
          </cell>
          <cell r="I484">
            <v>3.6126851184273299E-7</v>
          </cell>
          <cell r="J484">
            <v>6.9671716597915203E-7</v>
          </cell>
          <cell r="K484">
            <v>0.49488809714565901</v>
          </cell>
          <cell r="L484">
            <v>3.4589857590082601E-7</v>
          </cell>
          <cell r="M484">
            <v>8.9371906720318196E-7</v>
          </cell>
          <cell r="N484">
            <v>9.7331947265338404E-7</v>
          </cell>
          <cell r="O484">
            <v>5.5330798312603998E-6</v>
          </cell>
        </row>
        <row r="485">
          <cell r="A485" t="str">
            <v>D-SNGA</v>
          </cell>
          <cell r="B485" t="str">
            <v>VAR_cap</v>
          </cell>
          <cell r="C485" t="str">
            <v>-</v>
          </cell>
          <cell r="D485">
            <v>2.2350523739908605</v>
          </cell>
          <cell r="E485">
            <v>2.2350524570613053</v>
          </cell>
          <cell r="F485">
            <v>2.2350525922525577</v>
          </cell>
          <cell r="G485">
            <v>2.2350527483340255</v>
          </cell>
          <cell r="H485">
            <v>2.2350529926539617</v>
          </cell>
          <cell r="I485">
            <v>2.2350533539224737</v>
          </cell>
          <cell r="J485">
            <v>2.2350540506396399</v>
          </cell>
          <cell r="K485">
            <v>1.2583776037495649</v>
          </cell>
          <cell r="L485">
            <v>0.49489029205873503</v>
          </cell>
          <cell r="M485">
            <v>0.49489101760264498</v>
          </cell>
          <cell r="N485">
            <v>0.49489174293522997</v>
          </cell>
          <cell r="O485">
            <v>0.49489714546822</v>
          </cell>
        </row>
        <row r="486">
          <cell r="A486" t="str">
            <v>D-IPLT</v>
          </cell>
          <cell r="B486" t="str">
            <v>VAR_fout</v>
          </cell>
          <cell r="C486" t="str">
            <v>IPLT</v>
          </cell>
          <cell r="D486">
            <v>0.6257879821030542</v>
          </cell>
          <cell r="E486">
            <v>0.73757354672874675</v>
          </cell>
          <cell r="F486">
            <v>0.73632801748532106</v>
          </cell>
          <cell r="G486">
            <v>0.73426768274152909</v>
          </cell>
          <cell r="H486">
            <v>0.73221803512839168</v>
          </cell>
          <cell r="I486">
            <v>0.73017874151122597</v>
          </cell>
          <cell r="J486">
            <v>0.72815484527287844</v>
          </cell>
          <cell r="K486">
            <v>0.72615702023876794</v>
          </cell>
          <cell r="L486">
            <v>0.7261604413958147</v>
          </cell>
          <cell r="M486">
            <v>0.72617501536957185</v>
          </cell>
          <cell r="N486">
            <v>0.7261821399824383</v>
          </cell>
          <cell r="O486">
            <v>0.72619896695013231</v>
          </cell>
        </row>
        <row r="487">
          <cell r="A487" t="str">
            <v>D-IPLT</v>
          </cell>
          <cell r="B487" t="str">
            <v>VAR_fin</v>
          </cell>
          <cell r="C487" t="str">
            <v>PLT</v>
          </cell>
          <cell r="D487">
            <v>0.6257879821030542</v>
          </cell>
          <cell r="E487">
            <v>0.73757354672874675</v>
          </cell>
          <cell r="F487">
            <v>0.73632801748532106</v>
          </cell>
          <cell r="G487">
            <v>0.73426768274152909</v>
          </cell>
          <cell r="H487">
            <v>0.73221803512839168</v>
          </cell>
          <cell r="I487">
            <v>0.73017874151122597</v>
          </cell>
          <cell r="J487">
            <v>0.72815484527287844</v>
          </cell>
          <cell r="K487">
            <v>0.72615702023876794</v>
          </cell>
          <cell r="L487">
            <v>0.7261604413958147</v>
          </cell>
          <cell r="M487">
            <v>0.72617501536957185</v>
          </cell>
          <cell r="N487">
            <v>0.7261821399824383</v>
          </cell>
          <cell r="O487">
            <v>0.72619896695013231</v>
          </cell>
        </row>
        <row r="488">
          <cell r="A488" t="str">
            <v>ITOT-SWHWODBR</v>
          </cell>
          <cell r="B488" t="str">
            <v>VAR_fout</v>
          </cell>
          <cell r="C488" t="str">
            <v>ITOT-SWH</v>
          </cell>
          <cell r="D488">
            <v>5.3111194963427604</v>
          </cell>
          <cell r="E488">
            <v>6.2669391770577469</v>
          </cell>
          <cell r="F488">
            <v>5.830283142305805</v>
          </cell>
          <cell r="G488">
            <v>6.814405087684472</v>
          </cell>
          <cell r="H488">
            <v>7.3062254652160581</v>
          </cell>
          <cell r="I488">
            <v>5.841709454903742</v>
          </cell>
          <cell r="J488">
            <v>5.8684405287553574</v>
          </cell>
          <cell r="K488">
            <v>5.8929888869503593</v>
          </cell>
          <cell r="L488">
            <v>5.8398415540427093</v>
          </cell>
          <cell r="M488">
            <v>6.2759493713888057</v>
          </cell>
          <cell r="N488">
            <v>5.8071700637482699</v>
          </cell>
          <cell r="O488">
            <v>5.7877197279163033</v>
          </cell>
        </row>
        <row r="489">
          <cell r="A489" t="str">
            <v>ITOT-SWHWODBR</v>
          </cell>
          <cell r="B489" t="str">
            <v>VAR_fin</v>
          </cell>
          <cell r="C489" t="str">
            <v>IWOD</v>
          </cell>
          <cell r="D489">
            <v>9.0018974514284036</v>
          </cell>
          <cell r="E489">
            <v>10.609942173348333</v>
          </cell>
          <cell r="F489">
            <v>9.8539996771365761</v>
          </cell>
          <cell r="G489">
            <v>11.484952394973844</v>
          </cell>
          <cell r="H489">
            <v>12.279370529774878</v>
          </cell>
          <cell r="I489">
            <v>9.7905745054252655</v>
          </cell>
          <cell r="J489">
            <v>9.8079785995911255</v>
          </cell>
          <cell r="K489">
            <v>9.8216481449172619</v>
          </cell>
          <cell r="L489">
            <v>9.7330692567378563</v>
          </cell>
          <cell r="M489">
            <v>10.459915618981343</v>
          </cell>
          <cell r="N489">
            <v>9.6786167729137826</v>
          </cell>
          <cell r="O489">
            <v>9.646199546527173</v>
          </cell>
        </row>
        <row r="490">
          <cell r="A490" t="str">
            <v>ITOT-SWHWODBR</v>
          </cell>
          <cell r="B490" t="str">
            <v>VAR_fin</v>
          </cell>
          <cell r="C490" t="str">
            <v>ITOTWODBRC</v>
          </cell>
          <cell r="D490">
            <v>5.3111194963427604</v>
          </cell>
          <cell r="E490">
            <v>6.2669391770577469</v>
          </cell>
          <cell r="F490">
            <v>5.830283142305805</v>
          </cell>
          <cell r="G490">
            <v>6.814405087684472</v>
          </cell>
          <cell r="H490">
            <v>7.3062254652160581</v>
          </cell>
          <cell r="I490">
            <v>5.841709454903742</v>
          </cell>
          <cell r="J490">
            <v>5.8684405287553574</v>
          </cell>
          <cell r="K490">
            <v>5.8929888869503593</v>
          </cell>
          <cell r="L490">
            <v>5.8398415540427093</v>
          </cell>
          <cell r="M490">
            <v>6.2759493713888057</v>
          </cell>
          <cell r="N490">
            <v>5.8071700637482699</v>
          </cell>
          <cell r="O490">
            <v>5.7877197279163033</v>
          </cell>
        </row>
        <row r="491">
          <cell r="A491" t="str">
            <v>ITOT-SWHWODBR</v>
          </cell>
          <cell r="B491" t="str">
            <v>VAR_ncap</v>
          </cell>
          <cell r="C491" t="str">
            <v>-</v>
          </cell>
          <cell r="E491">
            <v>5.2417754502597301E-2</v>
          </cell>
          <cell r="F491">
            <v>1.8411592964382701E-5</v>
          </cell>
          <cell r="G491">
            <v>2.97011564598786E-2</v>
          </cell>
          <cell r="H491">
            <v>0.28960661178442099</v>
          </cell>
          <cell r="I491">
            <v>4.5060206386967401E-2</v>
          </cell>
          <cell r="J491">
            <v>2.7389312545233999E-2</v>
          </cell>
          <cell r="K491">
            <v>0.29017812516078001</v>
          </cell>
          <cell r="L491">
            <v>4.49795748507682E-2</v>
          </cell>
          <cell r="M491">
            <v>6.9487861719241206E-2</v>
          </cell>
          <cell r="N491">
            <v>0.222937825769874</v>
          </cell>
          <cell r="O491">
            <v>8.13124306426211E-2</v>
          </cell>
        </row>
        <row r="492">
          <cell r="A492" t="str">
            <v>ITOT-SWHWODBR</v>
          </cell>
          <cell r="B492" t="str">
            <v>VAR_cap</v>
          </cell>
          <cell r="C492" t="str">
            <v>-</v>
          </cell>
          <cell r="D492">
            <v>0.28883369534761499</v>
          </cell>
          <cell r="E492">
            <v>0.34125046646988211</v>
          </cell>
          <cell r="F492">
            <v>0.34126464107430349</v>
          </cell>
          <cell r="G492">
            <v>0.3709608469463857</v>
          </cell>
          <cell r="H492">
            <v>0.42106840294722364</v>
          </cell>
          <cell r="I492">
            <v>0.35871041558075833</v>
          </cell>
          <cell r="J492">
            <v>0.36204526649795687</v>
          </cell>
          <cell r="K492">
            <v>0.36261565447874355</v>
          </cell>
          <cell r="L492">
            <v>0.36582496874123721</v>
          </cell>
          <cell r="M492">
            <v>0.40462655961827337</v>
          </cell>
          <cell r="N492">
            <v>0.37452174177358338</v>
          </cell>
          <cell r="O492">
            <v>0.37368793923674187</v>
          </cell>
        </row>
        <row r="493">
          <cell r="A493" t="str">
            <v>D-ITOT_KEV_WOD_ELC_CHP</v>
          </cell>
          <cell r="B493" t="str">
            <v>VAR_fout</v>
          </cell>
          <cell r="C493" t="str">
            <v>ITOT_ELC</v>
          </cell>
          <cell r="D493">
            <v>2.9608098912368112E-4</v>
          </cell>
          <cell r="E493">
            <v>1.1141830427085608E-4</v>
          </cell>
          <cell r="F493">
            <v>1.9258498700525805E-4</v>
          </cell>
          <cell r="G493">
            <v>1.1560669977332654E-3</v>
          </cell>
          <cell r="H493">
            <v>1.0737345756520142</v>
          </cell>
          <cell r="I493">
            <v>3.1172230248826449</v>
          </cell>
          <cell r="J493">
            <v>2.8482278614608751</v>
          </cell>
          <cell r="K493">
            <v>4.2525178078564512</v>
          </cell>
          <cell r="L493">
            <v>4.2170245141584797</v>
          </cell>
          <cell r="M493">
            <v>4.2373483242889636</v>
          </cell>
          <cell r="N493">
            <v>4.2169967647029285</v>
          </cell>
          <cell r="O493">
            <v>4.2097025495647511</v>
          </cell>
        </row>
        <row r="494">
          <cell r="A494" t="str">
            <v>D-ITOT_KEV_WOD_ELC_CHP</v>
          </cell>
          <cell r="B494" t="str">
            <v>VAR_fout</v>
          </cell>
          <cell r="C494" t="str">
            <v>ELC5</v>
          </cell>
          <cell r="D494">
            <v>0.17217760734678847</v>
          </cell>
          <cell r="E494">
            <v>0.2463602431521818</v>
          </cell>
          <cell r="F494">
            <v>1.1322071102795761</v>
          </cell>
          <cell r="G494">
            <v>1.5376191791599991</v>
          </cell>
          <cell r="H494">
            <v>0.46312035079850433</v>
          </cell>
          <cell r="I494">
            <v>7.5838308813336405E-2</v>
          </cell>
          <cell r="J494">
            <v>1.0134868822872409</v>
          </cell>
          <cell r="K494">
            <v>9.3622928569420116E-2</v>
          </cell>
          <cell r="L494">
            <v>9.3136285721871048E-2</v>
          </cell>
          <cell r="M494">
            <v>0.10885251559489986</v>
          </cell>
          <cell r="N494">
            <v>0.11883376612981483</v>
          </cell>
          <cell r="O494">
            <v>0.13666469166148132</v>
          </cell>
        </row>
        <row r="495">
          <cell r="A495" t="str">
            <v>D-ITOT_KEV_WOD_ELC_CHP</v>
          </cell>
          <cell r="B495" t="str">
            <v>VAR_fin</v>
          </cell>
          <cell r="C495" t="str">
            <v>ITOT_KEV_WOD_ELC_CHP</v>
          </cell>
          <cell r="D495">
            <v>0.17247368833591198</v>
          </cell>
          <cell r="E495">
            <v>0.24647166145645291</v>
          </cell>
          <cell r="F495">
            <v>1.1323982364956537</v>
          </cell>
          <cell r="G495">
            <v>1.5387739580302806</v>
          </cell>
          <cell r="H495">
            <v>1.5368524591111128</v>
          </cell>
          <cell r="I495">
            <v>3.1930613336959808</v>
          </cell>
          <cell r="J495">
            <v>3.8617147437481152</v>
          </cell>
          <cell r="K495">
            <v>4.3461407364258724</v>
          </cell>
          <cell r="L495">
            <v>4.3101607998803493</v>
          </cell>
          <cell r="M495">
            <v>4.3462008398838643</v>
          </cell>
          <cell r="N495">
            <v>4.3358305308327356</v>
          </cell>
          <cell r="O495">
            <v>4.3463672412262344</v>
          </cell>
        </row>
        <row r="496">
          <cell r="A496" t="str">
            <v>RHEM-SHSTG-SOL</v>
          </cell>
          <cell r="B496" t="str">
            <v>VAR_fout</v>
          </cell>
          <cell r="C496" t="str">
            <v>RHEM-SHASOL</v>
          </cell>
          <cell r="D496">
            <v>2.8678048981546014E-6</v>
          </cell>
          <cell r="E496">
            <v>1.4317652797540157E-6</v>
          </cell>
          <cell r="F496">
            <v>8.053973811209339E-2</v>
          </cell>
          <cell r="G496">
            <v>8.0659215926365421E-2</v>
          </cell>
          <cell r="H496">
            <v>0.10298628192694115</v>
          </cell>
          <cell r="I496">
            <v>0.1079854944775876</v>
          </cell>
          <cell r="J496">
            <v>0.1004676987029825</v>
          </cell>
          <cell r="K496">
            <v>0.40662437416251823</v>
          </cell>
          <cell r="L496">
            <v>0.41800651906449265</v>
          </cell>
          <cell r="M496">
            <v>0.42300104472789041</v>
          </cell>
          <cell r="N496">
            <v>0.443029662042773</v>
          </cell>
          <cell r="O496">
            <v>0.35005075274016695</v>
          </cell>
        </row>
        <row r="497">
          <cell r="A497" t="str">
            <v>RHEM-SHSTG-SOL</v>
          </cell>
          <cell r="B497" t="str">
            <v>VAR_fin</v>
          </cell>
          <cell r="C497" t="str">
            <v>RHEM-SHASOL</v>
          </cell>
          <cell r="D497">
            <v>7.8506474073649261E-7</v>
          </cell>
          <cell r="E497">
            <v>6.3426505314790167E-7</v>
          </cell>
          <cell r="F497">
            <v>8.0544495286922993E-2</v>
          </cell>
          <cell r="G497">
            <v>8.066320773345248E-2</v>
          </cell>
          <cell r="H497">
            <v>0.10299347680830152</v>
          </cell>
          <cell r="I497">
            <v>0.10799453260457363</v>
          </cell>
          <cell r="J497">
            <v>0.10047428412752114</v>
          </cell>
          <cell r="K497">
            <v>0.40665389898315574</v>
          </cell>
          <cell r="L497">
            <v>0.41803370645049948</v>
          </cell>
          <cell r="M497">
            <v>0.42302744045482199</v>
          </cell>
          <cell r="N497">
            <v>0.44305627013292509</v>
          </cell>
          <cell r="O497">
            <v>0.35007988440941107</v>
          </cell>
        </row>
        <row r="498">
          <cell r="A498" t="str">
            <v>RHEM-SHSTG-SOL</v>
          </cell>
          <cell r="B498" t="str">
            <v>VAR_ncap</v>
          </cell>
          <cell r="C498" t="str">
            <v>-</v>
          </cell>
          <cell r="D498">
            <v>5.8004770914319203E-3</v>
          </cell>
          <cell r="E498">
            <v>1.0287910115007799E-2</v>
          </cell>
          <cell r="F498">
            <v>4.5392338503289101E-7</v>
          </cell>
          <cell r="G498">
            <v>8.3517433960268496E-7</v>
          </cell>
          <cell r="H498">
            <v>9.3167695324560106E-3</v>
          </cell>
          <cell r="I498">
            <v>6.7749942152249996E-3</v>
          </cell>
          <cell r="J498">
            <v>8.9190984473547502E-7</v>
          </cell>
          <cell r="K498">
            <v>5.9157385120652502E-2</v>
          </cell>
          <cell r="L498">
            <v>8.0492336104099494E-3</v>
          </cell>
          <cell r="M498">
            <v>1.03247671754893E-3</v>
          </cell>
          <cell r="N498">
            <v>5.2979461372392497E-2</v>
          </cell>
          <cell r="O498">
            <v>1.59482488046312E-2</v>
          </cell>
        </row>
        <row r="499">
          <cell r="A499" t="str">
            <v>RHEM-SHSTG-SOL</v>
          </cell>
          <cell r="B499" t="str">
            <v>VAR_cap</v>
          </cell>
          <cell r="C499" t="str">
            <v>-</v>
          </cell>
          <cell r="D499">
            <v>5.8004770914319203E-3</v>
          </cell>
          <cell r="E499">
            <v>1.6088387206439701E-2</v>
          </cell>
          <cell r="F499">
            <v>1.6088841129824699E-2</v>
          </cell>
          <cell r="G499">
            <v>1.6089676304164299E-2</v>
          </cell>
          <cell r="H499">
            <v>1.6093269496601899E-2</v>
          </cell>
          <cell r="I499">
            <v>1.6092535355246299E-2</v>
          </cell>
          <cell r="J499">
            <v>1.6092655657525701E-2</v>
          </cell>
          <cell r="K499">
            <v>6.5933271245722194E-2</v>
          </cell>
          <cell r="L499">
            <v>6.8248397955866597E-2</v>
          </cell>
          <cell r="M499">
            <v>6.8239095448611398E-2</v>
          </cell>
          <cell r="N499">
            <v>6.9987524276738294E-2</v>
          </cell>
          <cell r="O499">
            <v>6.9960186894572604E-2</v>
          </cell>
        </row>
        <row r="500">
          <cell r="A500" t="str">
            <v>ITOT-SWHCONBR10</v>
          </cell>
          <cell r="B500" t="str">
            <v>VAR_fout</v>
          </cell>
          <cell r="C500" t="str">
            <v>ITOT-ELS</v>
          </cell>
          <cell r="J500">
            <v>1.5453470187754253E-5</v>
          </cell>
          <cell r="K500">
            <v>2.6919070605013946E-5</v>
          </cell>
          <cell r="L500">
            <v>2.4006955400333683E-5</v>
          </cell>
          <cell r="M500">
            <v>3.6344301531972503E-5</v>
          </cell>
          <cell r="N500">
            <v>3.034024867210129E-5</v>
          </cell>
          <cell r="O500">
            <v>6.2804170083936454E-5</v>
          </cell>
        </row>
        <row r="501">
          <cell r="A501" t="str">
            <v>ITOT-SWHCONBR10</v>
          </cell>
          <cell r="B501" t="str">
            <v>VAR_fout</v>
          </cell>
          <cell r="C501" t="str">
            <v>ITOT-SWHC</v>
          </cell>
          <cell r="J501">
            <v>9.5372921800996436E-5</v>
          </cell>
          <cell r="K501">
            <v>1.6577044146343507E-4</v>
          </cell>
          <cell r="L501">
            <v>1.4783733262191683E-4</v>
          </cell>
          <cell r="M501">
            <v>2.2381199551938142E-4</v>
          </cell>
          <cell r="N501">
            <v>1.868384124505337E-4</v>
          </cell>
          <cell r="O501">
            <v>3.8675462289621709E-4</v>
          </cell>
        </row>
        <row r="502">
          <cell r="A502" t="str">
            <v>ITOT-SWHCONBR10</v>
          </cell>
          <cell r="B502" t="str">
            <v>VAR_fin</v>
          </cell>
          <cell r="C502" t="str">
            <v>CON</v>
          </cell>
          <cell r="J502">
            <v>1.1086030539666472E-4</v>
          </cell>
          <cell r="K502">
            <v>1.9268951206844912E-4</v>
          </cell>
          <cell r="L502">
            <v>1.7184428802225062E-4</v>
          </cell>
          <cell r="M502">
            <v>2.6015629705135362E-4</v>
          </cell>
          <cell r="N502">
            <v>2.1717866112263515E-4</v>
          </cell>
          <cell r="O502">
            <v>4.4955879298015357E-4</v>
          </cell>
        </row>
        <row r="503">
          <cell r="A503" t="str">
            <v>ITOT-SWHCONBR10</v>
          </cell>
          <cell r="B503" t="str">
            <v>VAR_ncap</v>
          </cell>
          <cell r="C503" t="str">
            <v>-</v>
          </cell>
          <cell r="J503">
            <v>5.5143624178140398E-6</v>
          </cell>
          <cell r="K503">
            <v>3.98720893254268E-6</v>
          </cell>
          <cell r="L503">
            <v>9.6053142583934395E-8</v>
          </cell>
          <cell r="M503">
            <v>9.1326251742807098E-6</v>
          </cell>
          <cell r="N503">
            <v>1.5800922754161599E-6</v>
          </cell>
          <cell r="O503">
            <v>1.2796637860738799E-5</v>
          </cell>
        </row>
        <row r="504">
          <cell r="A504" t="str">
            <v>ITOT-SWHCONBR10</v>
          </cell>
          <cell r="B504" t="str">
            <v>VAR_cap</v>
          </cell>
          <cell r="C504" t="str">
            <v>-</v>
          </cell>
          <cell r="J504">
            <v>5.5143624178140398E-6</v>
          </cell>
          <cell r="K504">
            <v>9.5015713503567197E-6</v>
          </cell>
          <cell r="L504">
            <v>8.8669966814391299E-6</v>
          </cell>
          <cell r="M504">
            <v>1.3215887249407301E-5</v>
          </cell>
          <cell r="N504">
            <v>1.14845425456568E-5</v>
          </cell>
          <cell r="O504">
            <v>2.3509355310435701E-5</v>
          </cell>
        </row>
        <row r="505">
          <cell r="A505" t="str">
            <v>SCOM-SHSTG</v>
          </cell>
          <cell r="B505" t="str">
            <v>VAR_fout</v>
          </cell>
          <cell r="C505" t="str">
            <v>AUX_SCOM-SHSTG_OUT</v>
          </cell>
          <cell r="D505">
            <v>8.1627738864734105E-6</v>
          </cell>
          <cell r="E505">
            <v>1.2479646922069329E-4</v>
          </cell>
          <cell r="F505">
            <v>8.0806049546421066E-3</v>
          </cell>
          <cell r="G505">
            <v>3.4438395756453597E-3</v>
          </cell>
          <cell r="H505">
            <v>2.4280188194478467</v>
          </cell>
          <cell r="I505">
            <v>12.021661591709313</v>
          </cell>
          <cell r="J505">
            <v>0.82791912360235509</v>
          </cell>
          <cell r="K505">
            <v>1.617521728656641</v>
          </cell>
          <cell r="L505">
            <v>1.9019109661746825</v>
          </cell>
          <cell r="M505">
            <v>2.1034988223646516</v>
          </cell>
          <cell r="N505">
            <v>1.981878200688618</v>
          </cell>
          <cell r="O505">
            <v>1.5828791056148299</v>
          </cell>
        </row>
        <row r="506">
          <cell r="A506" t="str">
            <v>SCOM-SHSTG</v>
          </cell>
          <cell r="B506" t="str">
            <v>VAR_fout</v>
          </cell>
          <cell r="C506" t="str">
            <v>SCOM-SHD</v>
          </cell>
          <cell r="D506">
            <v>8.1627738864734223E-6</v>
          </cell>
          <cell r="E506">
            <v>1.2489847399757898E-4</v>
          </cell>
          <cell r="F506">
            <v>8.0909250120554319E-3</v>
          </cell>
          <cell r="G506">
            <v>3.4438395756453545E-3</v>
          </cell>
          <cell r="H506">
            <v>2.430719619024539</v>
          </cell>
          <cell r="I506">
            <v>12.0216615917093</v>
          </cell>
          <cell r="J506">
            <v>0.82872842870851393</v>
          </cell>
          <cell r="K506">
            <v>1.617521728656641</v>
          </cell>
          <cell r="L506">
            <v>1.9019109661746822</v>
          </cell>
          <cell r="M506">
            <v>2.1034988223646516</v>
          </cell>
          <cell r="N506">
            <v>1.9818782006886171</v>
          </cell>
          <cell r="O506">
            <v>1.5828791056148299</v>
          </cell>
        </row>
        <row r="507">
          <cell r="A507" t="str">
            <v>SCOM-SHSTG</v>
          </cell>
          <cell r="B507" t="str">
            <v>VAR_fin</v>
          </cell>
          <cell r="C507" t="str">
            <v>AUX_SCOM-SHSTG_IN</v>
          </cell>
          <cell r="D507">
            <v>9.6328525692260959E-6</v>
          </cell>
          <cell r="E507">
            <v>1.5263194638841593E-4</v>
          </cell>
          <cell r="F507">
            <v>9.6333914122807649E-3</v>
          </cell>
          <cell r="G507">
            <v>3.9597978210683688E-3</v>
          </cell>
          <cell r="H507">
            <v>2.7011706802713493</v>
          </cell>
          <cell r="I507">
            <v>12.926896009964427</v>
          </cell>
          <cell r="J507">
            <v>0.86365982079195414</v>
          </cell>
          <cell r="K507">
            <v>1.6530099468391048</v>
          </cell>
          <cell r="L507">
            <v>1.9469753812135879</v>
          </cell>
          <cell r="M507">
            <v>2.1426305983975378</v>
          </cell>
          <cell r="N507">
            <v>2.0196189116622079</v>
          </cell>
          <cell r="O507">
            <v>1.5995745722933008</v>
          </cell>
        </row>
        <row r="508">
          <cell r="A508" t="str">
            <v>SCOM-SHSTG</v>
          </cell>
          <cell r="B508" t="str">
            <v>VAR_fin</v>
          </cell>
          <cell r="C508" t="str">
            <v>SCOM-SHD</v>
          </cell>
          <cell r="D508">
            <v>9.6328525692260959E-6</v>
          </cell>
          <cell r="E508">
            <v>1.5263194638841593E-4</v>
          </cell>
          <cell r="F508">
            <v>9.6333914122807649E-3</v>
          </cell>
          <cell r="G508">
            <v>3.9597978210683688E-3</v>
          </cell>
          <cell r="H508">
            <v>2.7011706802713493</v>
          </cell>
          <cell r="I508">
            <v>12.926896009964427</v>
          </cell>
          <cell r="J508">
            <v>0.86365982079195414</v>
          </cell>
          <cell r="K508">
            <v>1.6530099468391048</v>
          </cell>
          <cell r="L508">
            <v>1.9469753812135879</v>
          </cell>
          <cell r="M508">
            <v>2.1426305983975378</v>
          </cell>
          <cell r="N508">
            <v>2.0196189116622079</v>
          </cell>
          <cell r="O508">
            <v>1.5995745722933008</v>
          </cell>
        </row>
        <row r="509">
          <cell r="A509" t="str">
            <v>SCOM-SHSTG</v>
          </cell>
          <cell r="B509" t="str">
            <v>VAR_ncap</v>
          </cell>
          <cell r="C509" t="str">
            <v>-</v>
          </cell>
          <cell r="D509">
            <v>5.2038982638791004E-4</v>
          </cell>
          <cell r="E509">
            <v>3.8101146884456402E-6</v>
          </cell>
          <cell r="F509">
            <v>3.4545972385565901E-4</v>
          </cell>
          <cell r="G509">
            <v>3.0845359286932801E-6</v>
          </cell>
          <cell r="H509">
            <v>0.24117634319889</v>
          </cell>
          <cell r="I509">
            <v>3.18643308430129E-4</v>
          </cell>
          <cell r="J509">
            <v>8.4648911132169797E-6</v>
          </cell>
          <cell r="K509">
            <v>13.1043099415821</v>
          </cell>
          <cell r="L509">
            <v>2.4457228651450697E-4</v>
          </cell>
          <cell r="M509">
            <v>5.5781940153847798E-5</v>
          </cell>
          <cell r="N509">
            <v>3.6333728971266101E-5</v>
          </cell>
          <cell r="O509">
            <v>0.45708910785911899</v>
          </cell>
        </row>
        <row r="510">
          <cell r="A510" t="str">
            <v>SCOM-SHSTG</v>
          </cell>
          <cell r="B510" t="str">
            <v>VAR_cap</v>
          </cell>
          <cell r="C510" t="str">
            <v>-</v>
          </cell>
          <cell r="D510">
            <v>5.2038982638791004E-4</v>
          </cell>
          <cell r="E510">
            <v>5.2348464982707025E-4</v>
          </cell>
          <cell r="F510">
            <v>8.6826859789236805E-4</v>
          </cell>
          <cell r="G510">
            <v>8.7025190662885581E-4</v>
          </cell>
          <cell r="H510">
            <v>0.2420438713704619</v>
          </cell>
          <cell r="I510">
            <v>0.24205504935912742</v>
          </cell>
          <cell r="J510">
            <v>0.24154694116729511</v>
          </cell>
          <cell r="K510">
            <v>13.345794636667843</v>
          </cell>
          <cell r="L510">
            <v>13.178021499667814</v>
          </cell>
          <cell r="M510">
            <v>13.104576396358301</v>
          </cell>
          <cell r="N510">
            <v>13.104586075263468</v>
          </cell>
          <cell r="O510">
            <v>0.45738751434847491</v>
          </cell>
        </row>
        <row r="511">
          <cell r="A511" t="str">
            <v>D-ITOT_KEV_HFC_ELC_CHP</v>
          </cell>
          <cell r="B511" t="str">
            <v>VAR_fout</v>
          </cell>
          <cell r="C511" t="str">
            <v>ITOT_ELC</v>
          </cell>
          <cell r="G511">
            <v>6.5116145504440989E-3</v>
          </cell>
          <cell r="H511">
            <v>0.70228294189812046</v>
          </cell>
          <cell r="I511">
            <v>2.8453336509119094</v>
          </cell>
          <cell r="J511">
            <v>2.9702938137400281</v>
          </cell>
          <cell r="K511">
            <v>3.8698382576156982</v>
          </cell>
          <cell r="L511">
            <v>3.8677469505957407</v>
          </cell>
          <cell r="M511">
            <v>3.8455438444594932</v>
          </cell>
          <cell r="N511">
            <v>3.8222704051978531</v>
          </cell>
          <cell r="O511">
            <v>3.7943488540525587</v>
          </cell>
        </row>
        <row r="512">
          <cell r="A512" t="str">
            <v>D-ITOT_KEV_HFC_ELC_CHP</v>
          </cell>
          <cell r="B512" t="str">
            <v>VAR_fout</v>
          </cell>
          <cell r="C512" t="str">
            <v>ELC5</v>
          </cell>
          <cell r="G512">
            <v>6.255561107005866E-4</v>
          </cell>
          <cell r="H512">
            <v>5.176780272716245E-2</v>
          </cell>
          <cell r="I512">
            <v>0.10115725545776309</v>
          </cell>
          <cell r="J512">
            <v>1.0595684472527727</v>
          </cell>
          <cell r="K512">
            <v>0.16002664515874643</v>
          </cell>
          <cell r="L512">
            <v>0.16211788883372544</v>
          </cell>
          <cell r="M512">
            <v>0.1843214688424912</v>
          </cell>
          <cell r="N512">
            <v>0.20759627534041861</v>
          </cell>
          <cell r="O512">
            <v>0.23552122608839413</v>
          </cell>
        </row>
        <row r="513">
          <cell r="A513" t="str">
            <v>D-ITOT_KEV_HFC_ELC_CHP</v>
          </cell>
          <cell r="B513" t="str">
            <v>VAR_fin</v>
          </cell>
          <cell r="C513" t="str">
            <v>ITOT_KEV_HFC_ELC_CHP</v>
          </cell>
          <cell r="G513">
            <v>7.1357996085843365E-3</v>
          </cell>
          <cell r="H513">
            <v>0.75404837768927524</v>
          </cell>
          <cell r="I513">
            <v>2.9464890247261435</v>
          </cell>
          <cell r="J513">
            <v>4.0298604250447951</v>
          </cell>
          <cell r="K513">
            <v>4.0298615665609558</v>
          </cell>
          <cell r="L513">
            <v>4.0298623260793445</v>
          </cell>
          <cell r="M513">
            <v>4.0298609316288383</v>
          </cell>
          <cell r="N513">
            <v>4.0298616739483277</v>
          </cell>
          <cell r="O513">
            <v>4.0298638252982277</v>
          </cell>
        </row>
        <row r="514">
          <cell r="A514" t="str">
            <v>D-RNGA</v>
          </cell>
          <cell r="B514" t="str">
            <v>VAR_fout</v>
          </cell>
          <cell r="C514" t="str">
            <v>CO2</v>
          </cell>
          <cell r="D514">
            <v>2651.5216819888201</v>
          </cell>
          <cell r="E514">
            <v>2731.78261189676</v>
          </cell>
          <cell r="F514">
            <v>2745.2157713813399</v>
          </cell>
          <cell r="G514">
            <v>2988.70090714863</v>
          </cell>
          <cell r="H514">
            <v>2942.5214702940302</v>
          </cell>
          <cell r="I514">
            <v>2939.7872246042798</v>
          </cell>
          <cell r="J514">
            <v>2354.9706416504</v>
          </cell>
          <cell r="K514">
            <v>1020.4589809635</v>
          </cell>
          <cell r="L514">
            <v>314.84406717642702</v>
          </cell>
          <cell r="M514">
            <v>199.23070685847199</v>
          </cell>
          <cell r="N514">
            <v>199.12922880855101</v>
          </cell>
          <cell r="O514">
            <v>118.429889385045</v>
          </cell>
        </row>
        <row r="515">
          <cell r="A515" t="str">
            <v>D-RNGA</v>
          </cell>
          <cell r="B515" t="str">
            <v>VAR_fout</v>
          </cell>
          <cell r="C515" t="str">
            <v>RNGA</v>
          </cell>
          <cell r="D515">
            <v>47.173451384944791</v>
          </cell>
          <cell r="E515">
            <v>48.283019541841782</v>
          </cell>
          <cell r="F515">
            <v>48.520438225582303</v>
          </cell>
          <cell r="G515">
            <v>52.82377972807322</v>
          </cell>
          <cell r="H515">
            <v>52.007405407768871</v>
          </cell>
          <cell r="I515">
            <v>52.067814653112073</v>
          </cell>
          <cell r="J515">
            <v>41.729669372980105</v>
          </cell>
          <cell r="K515">
            <v>19.5491822994511</v>
          </cell>
          <cell r="L515">
            <v>9.6819869632206235</v>
          </cell>
          <cell r="M515">
            <v>7.6386353154758648</v>
          </cell>
          <cell r="N515">
            <v>7.6370501640859816</v>
          </cell>
          <cell r="O515">
            <v>6.2109302047993085</v>
          </cell>
        </row>
        <row r="516">
          <cell r="A516" t="str">
            <v>D-RNGA</v>
          </cell>
          <cell r="B516" t="str">
            <v>VAR_fout</v>
          </cell>
          <cell r="C516" t="str">
            <v>RSH2</v>
          </cell>
          <cell r="G516">
            <v>1.3083992095049891E-3</v>
          </cell>
          <cell r="H516">
            <v>6.3917531927075499E-2</v>
          </cell>
          <cell r="I516">
            <v>0.36315059428518814</v>
          </cell>
          <cell r="J516">
            <v>1.0097602913019494</v>
          </cell>
          <cell r="K516">
            <v>0.60574256723947939</v>
          </cell>
          <cell r="L516">
            <v>0.13346068812406067</v>
          </cell>
          <cell r="M516">
            <v>0.13317160814360701</v>
          </cell>
          <cell r="N516">
            <v>9.4074843339027298E-2</v>
          </cell>
          <cell r="O516">
            <v>6.699426141088205E-2</v>
          </cell>
        </row>
        <row r="517">
          <cell r="A517" t="str">
            <v>D-RNGA</v>
          </cell>
          <cell r="B517" t="str">
            <v>VAR_fin</v>
          </cell>
          <cell r="C517" t="str">
            <v>NGA</v>
          </cell>
          <cell r="D517">
            <v>47.012795779943566</v>
          </cell>
          <cell r="E517">
            <v>48.435861913063171</v>
          </cell>
          <cell r="F517">
            <v>48.674038499669074</v>
          </cell>
          <cell r="G517">
            <v>52.991150835968632</v>
          </cell>
          <cell r="H517">
            <v>52.172366494575009</v>
          </cell>
          <cell r="I517">
            <v>52.12388696106877</v>
          </cell>
          <cell r="J517">
            <v>41.754798610822782</v>
          </cell>
          <cell r="K517">
            <v>18.093244343324404</v>
          </cell>
          <cell r="L517">
            <v>5.5823416166033057</v>
          </cell>
          <cell r="M517">
            <v>3.5324593414622765</v>
          </cell>
          <cell r="N517">
            <v>3.5306600852579892</v>
          </cell>
          <cell r="O517">
            <v>2.0998207337774009</v>
          </cell>
        </row>
        <row r="518">
          <cell r="A518" t="str">
            <v>D-RNGA</v>
          </cell>
          <cell r="B518" t="str">
            <v>VAR_fin</v>
          </cell>
          <cell r="C518" t="str">
            <v>BNGA</v>
          </cell>
          <cell r="D518">
            <v>0.31135683683205756</v>
          </cell>
          <cell r="E518">
            <v>1.4035087777510404E-3</v>
          </cell>
          <cell r="F518">
            <v>1.4040682900645551E-3</v>
          </cell>
          <cell r="G518">
            <v>1.4047158147223473E-3</v>
          </cell>
          <cell r="H518">
            <v>1.406106400493753E-3</v>
          </cell>
          <cell r="I518">
            <v>0.11146255069551589</v>
          </cell>
          <cell r="J518">
            <v>0.11146458406243687</v>
          </cell>
          <cell r="K518">
            <v>1.5203832458185085</v>
          </cell>
          <cell r="L518">
            <v>4.1310449625594385</v>
          </cell>
          <cell r="M518">
            <v>4.1310535266568387</v>
          </cell>
          <cell r="N518">
            <v>4.1311278519880847</v>
          </cell>
          <cell r="O518">
            <v>4.1312134268458323</v>
          </cell>
        </row>
        <row r="519">
          <cell r="A519" t="str">
            <v>D-RNGA</v>
          </cell>
          <cell r="B519" t="str">
            <v>VAR_fin</v>
          </cell>
          <cell r="C519" t="str">
            <v>H2</v>
          </cell>
          <cell r="G519">
            <v>1.3080146621727493E-3</v>
          </cell>
          <cell r="H519">
            <v>6.3917491815449839E-2</v>
          </cell>
          <cell r="I519">
            <v>0.36315059428518809</v>
          </cell>
          <cell r="J519">
            <v>1.0097585720903137</v>
          </cell>
          <cell r="K519">
            <v>0.60574166025302367</v>
          </cell>
          <cell r="L519">
            <v>0.13346050733399686</v>
          </cell>
          <cell r="M519">
            <v>0.13317160814360723</v>
          </cell>
          <cell r="N519">
            <v>9.4074810308450246E-2</v>
          </cell>
          <cell r="O519">
            <v>6.6993818090041513E-2</v>
          </cell>
        </row>
        <row r="520">
          <cell r="A520" t="str">
            <v>D-RNGA</v>
          </cell>
          <cell r="B520" t="str">
            <v>VAR_ncap</v>
          </cell>
          <cell r="C520" t="str">
            <v>-</v>
          </cell>
          <cell r="D520">
            <v>1.5920506434558401E-7</v>
          </cell>
          <cell r="E520">
            <v>8.3053938629363E-8</v>
          </cell>
          <cell r="F520">
            <v>1.15927369075969E-7</v>
          </cell>
          <cell r="G520">
            <v>1.2486510591529299E-7</v>
          </cell>
          <cell r="H520">
            <v>3.71335153148094E-7</v>
          </cell>
          <cell r="I520">
            <v>1.8398523113111801E-7</v>
          </cell>
          <cell r="J520">
            <v>2.8051007550329398E-7</v>
          </cell>
          <cell r="K520">
            <v>0.14519549244605801</v>
          </cell>
          <cell r="L520">
            <v>0.433346066453143</v>
          </cell>
          <cell r="M520">
            <v>8.5385559408793605E-7</v>
          </cell>
          <cell r="N520">
            <v>8.8972360616771295E-7</v>
          </cell>
          <cell r="O520">
            <v>3.9214979033706296E-6</v>
          </cell>
        </row>
        <row r="521">
          <cell r="A521" t="str">
            <v>D-RNGA</v>
          </cell>
          <cell r="B521" t="str">
            <v>VAR_cap</v>
          </cell>
          <cell r="C521" t="str">
            <v>-</v>
          </cell>
          <cell r="D521">
            <v>3.0972401666009843</v>
          </cell>
          <cell r="E521">
            <v>3.0972402496549232</v>
          </cell>
          <cell r="F521">
            <v>3.0972403655822922</v>
          </cell>
          <cell r="G521">
            <v>3.097240490447398</v>
          </cell>
          <cell r="H521">
            <v>3.0972408617825513</v>
          </cell>
          <cell r="I521">
            <v>3.0972410457677824</v>
          </cell>
          <cell r="J521">
            <v>3.097241326277858</v>
          </cell>
          <cell r="K521">
            <v>1.203205441515466</v>
          </cell>
          <cell r="L521">
            <v>0.578542877781139</v>
          </cell>
          <cell r="M521">
            <v>0.57854357321726901</v>
          </cell>
          <cell r="N521">
            <v>0.57854424412329797</v>
          </cell>
          <cell r="O521">
            <v>0.57854805980676505</v>
          </cell>
        </row>
        <row r="522">
          <cell r="A522" t="str">
            <v>RHNS-SHLTHCHPNGA</v>
          </cell>
          <cell r="B522" t="str">
            <v>VAR_fout</v>
          </cell>
          <cell r="C522" t="str">
            <v>RHNS-SHLTHC-NGA</v>
          </cell>
          <cell r="E522">
            <v>8.6151906980362484E-4</v>
          </cell>
          <cell r="F522">
            <v>2.2749509182481689E-3</v>
          </cell>
          <cell r="G522">
            <v>1.828993112841944E-3</v>
          </cell>
          <cell r="H522">
            <v>2.47841765792166E-3</v>
          </cell>
          <cell r="I522">
            <v>1.2780514518731935E-3</v>
          </cell>
          <cell r="L522">
            <v>1.072244641465984E-3</v>
          </cell>
          <cell r="M522">
            <v>1.492943801752545E-3</v>
          </cell>
          <cell r="N522">
            <v>1.0017324401576403E-3</v>
          </cell>
          <cell r="O522">
            <v>2.6142054437007334E-3</v>
          </cell>
        </row>
        <row r="523">
          <cell r="A523" t="str">
            <v>RHNS-SHLTHCHPNGA</v>
          </cell>
          <cell r="B523" t="str">
            <v>VAR_fin</v>
          </cell>
          <cell r="C523" t="str">
            <v>RHNSLTHCHPC</v>
          </cell>
          <cell r="E523">
            <v>8.6151906980362484E-4</v>
          </cell>
          <cell r="F523">
            <v>2.2749509182481689E-3</v>
          </cell>
          <cell r="G523">
            <v>1.828993112841944E-3</v>
          </cell>
          <cell r="H523">
            <v>2.47841765792166E-3</v>
          </cell>
          <cell r="I523">
            <v>1.2780514518731935E-3</v>
          </cell>
          <cell r="L523">
            <v>1.072244641465984E-3</v>
          </cell>
          <cell r="M523">
            <v>1.492943801752545E-3</v>
          </cell>
          <cell r="N523">
            <v>1.0017324401576403E-3</v>
          </cell>
          <cell r="O523">
            <v>2.6142054437007334E-3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RHNS_LTH_CHPNGA_ON</v>
          </cell>
          <cell r="E524">
            <v>8.7022128262992382E-4</v>
          </cell>
          <cell r="F524">
            <v>2.2979302204526966E-3</v>
          </cell>
          <cell r="G524">
            <v>1.8474677907494375E-3</v>
          </cell>
          <cell r="H524">
            <v>2.5034521797188481E-3</v>
          </cell>
          <cell r="I524">
            <v>1.2909610624981765E-3</v>
          </cell>
          <cell r="L524">
            <v>1.0830753954201853E-3</v>
          </cell>
          <cell r="M524">
            <v>1.5080240421742872E-3</v>
          </cell>
          <cell r="N524">
            <v>1.0118509496541825E-3</v>
          </cell>
          <cell r="O524">
            <v>2.6406115592936697E-3</v>
          </cell>
        </row>
        <row r="525">
          <cell r="A525" t="str">
            <v>RHNS-SHLTHCHPNGA</v>
          </cell>
          <cell r="B525" t="str">
            <v>VAR_ncap</v>
          </cell>
          <cell r="C525" t="str">
            <v>-</v>
          </cell>
          <cell r="E525">
            <v>1.0360272633628801E-4</v>
          </cell>
          <cell r="F525">
            <v>2.2007787665577201E-4</v>
          </cell>
          <cell r="G525">
            <v>1.37862192707141E-4</v>
          </cell>
          <cell r="H525">
            <v>1.5769254664599E-4</v>
          </cell>
          <cell r="I525">
            <v>1.05998940304481E-4</v>
          </cell>
          <cell r="J525">
            <v>3.2213542846330101E-7</v>
          </cell>
          <cell r="K525">
            <v>3.09391415225118E-7</v>
          </cell>
          <cell r="L525">
            <v>1.30808877952658E-4</v>
          </cell>
          <cell r="M525">
            <v>1.4384528300554299E-4</v>
          </cell>
          <cell r="N525">
            <v>7.6972540423659403E-5</v>
          </cell>
          <cell r="O525">
            <v>2.7360502709859898E-4</v>
          </cell>
        </row>
        <row r="526">
          <cell r="A526" t="str">
            <v>RHNS-SHLTHCHPNGA</v>
          </cell>
          <cell r="B526" t="str">
            <v>VAR_cap</v>
          </cell>
          <cell r="C526" t="str">
            <v>-</v>
          </cell>
          <cell r="E526">
            <v>1.0360272633628801E-4</v>
          </cell>
          <cell r="F526">
            <v>2.5884178205260301E-4</v>
          </cell>
          <cell r="G526">
            <v>2.1833522081059499E-4</v>
          </cell>
          <cell r="H526">
            <v>2.4996944870053696E-4</v>
          </cell>
          <cell r="I526">
            <v>1.50888666213901E-4</v>
          </cell>
          <cell r="J526">
            <v>-1.9630582305903881E-7</v>
          </cell>
          <cell r="K526">
            <v>-2.4211051510500403E-7</v>
          </cell>
          <cell r="L526">
            <v>1.3083806168415779E-4</v>
          </cell>
          <cell r="M526">
            <v>1.859417249744196E-4</v>
          </cell>
          <cell r="N526">
            <v>1.2501996067992602E-4</v>
          </cell>
          <cell r="O526">
            <v>3.2543802964617998E-4</v>
          </cell>
        </row>
        <row r="527">
          <cell r="A527" t="str">
            <v>D-SCOM_LTH_CHPWOD</v>
          </cell>
          <cell r="B527" t="str">
            <v>VAR_fout</v>
          </cell>
          <cell r="C527" t="str">
            <v>SCOM_LTH_CHPWOD_ON</v>
          </cell>
          <cell r="G527">
            <v>8.024296175488917E-4</v>
          </cell>
          <cell r="H527">
            <v>8.4107720005325941E-4</v>
          </cell>
          <cell r="I527">
            <v>8.3721057729053642E-3</v>
          </cell>
          <cell r="J527">
            <v>7.2413650562951131E-3</v>
          </cell>
          <cell r="K527">
            <v>3.3477651407374368E-3</v>
          </cell>
          <cell r="L527">
            <v>4.309158729412824E-3</v>
          </cell>
          <cell r="M527">
            <v>2.7626899457382191E-3</v>
          </cell>
          <cell r="N527">
            <v>2.2728003050870153E-3</v>
          </cell>
          <cell r="O527">
            <v>4.2435613794310463E-3</v>
          </cell>
        </row>
        <row r="528">
          <cell r="A528" t="str">
            <v>D-SCOM_LTH_CHPWOD</v>
          </cell>
          <cell r="B528" t="str">
            <v>VAR_fout</v>
          </cell>
          <cell r="C528" t="str">
            <v>LTH</v>
          </cell>
          <cell r="H528">
            <v>6.4117905643825209E-8</v>
          </cell>
          <cell r="I528">
            <v>1.1718212727505592E-5</v>
          </cell>
          <cell r="J528">
            <v>1.2086357963240961E-5</v>
          </cell>
          <cell r="K528">
            <v>6.0598374934922442E-6</v>
          </cell>
          <cell r="L528">
            <v>8.8086142126447235E-6</v>
          </cell>
          <cell r="M528">
            <v>6.8833305828916529E-6</v>
          </cell>
          <cell r="N528">
            <v>6.1012266736807983E-6</v>
          </cell>
          <cell r="O528">
            <v>1.3086206683393185E-5</v>
          </cell>
        </row>
        <row r="529">
          <cell r="A529" t="str">
            <v>D-SCOM_LTH_CHPWOD</v>
          </cell>
          <cell r="B529" t="str">
            <v>VAR_fin</v>
          </cell>
          <cell r="C529" t="str">
            <v>SCOM_LTH_CHPWOD</v>
          </cell>
          <cell r="G529">
            <v>8.0298262817763571E-4</v>
          </cell>
          <cell r="H529">
            <v>8.4193177874528795E-4</v>
          </cell>
          <cell r="I529">
            <v>8.3841266472871843E-3</v>
          </cell>
          <cell r="J529">
            <v>7.253723512959497E-3</v>
          </cell>
          <cell r="K529">
            <v>3.3541777215240257E-3</v>
          </cell>
          <cell r="L529">
            <v>4.3182550160070724E-3</v>
          </cell>
          <cell r="M529">
            <v>2.7698341535159886E-3</v>
          </cell>
          <cell r="N529">
            <v>2.2792939796236989E-3</v>
          </cell>
          <cell r="O529">
            <v>4.256897343728314E-3</v>
          </cell>
        </row>
        <row r="530">
          <cell r="A530" t="str">
            <v>D-SCOM_KEV_BIO_ELC_CHP</v>
          </cell>
          <cell r="B530" t="str">
            <v>VAR_fout</v>
          </cell>
          <cell r="C530" t="str">
            <v>ELC5</v>
          </cell>
          <cell r="D530">
            <v>0.95920965886548604</v>
          </cell>
          <cell r="E530">
            <v>1.1058966133329391</v>
          </cell>
          <cell r="F530">
            <v>1.1059333445894186</v>
          </cell>
          <cell r="G530">
            <v>1.1057776632883094</v>
          </cell>
          <cell r="H530">
            <v>0.72412376957394209</v>
          </cell>
          <cell r="I530">
            <v>0.72247086612508571</v>
          </cell>
          <cell r="J530">
            <v>1.6099586504881562</v>
          </cell>
          <cell r="K530">
            <v>1.7155296766860877</v>
          </cell>
          <cell r="L530">
            <v>2.0650168643351554</v>
          </cell>
          <cell r="M530">
            <v>2.6333818515625453</v>
          </cell>
          <cell r="N530">
            <v>2.7371679672703744</v>
          </cell>
          <cell r="O530">
            <v>2.7202126674721674</v>
          </cell>
        </row>
        <row r="531">
          <cell r="A531" t="str">
            <v>D-SCOM_KEV_BIO_ELC_CHP</v>
          </cell>
          <cell r="B531" t="str">
            <v>VAR_fout</v>
          </cell>
          <cell r="C531" t="str">
            <v>SCOM_ELC</v>
          </cell>
          <cell r="D531">
            <v>1.5550024345816865E-4</v>
          </cell>
          <cell r="E531">
            <v>5.815922488708619E-5</v>
          </cell>
          <cell r="F531">
            <v>9.5529156599955496E-5</v>
          </cell>
          <cell r="G531">
            <v>2.5241077491492525E-4</v>
          </cell>
          <cell r="H531">
            <v>0.71916517148906522</v>
          </cell>
          <cell r="I531">
            <v>0.72088464276069919</v>
          </cell>
          <cell r="J531">
            <v>1.5882506079723742</v>
          </cell>
          <cell r="K531">
            <v>1.7144605894739942</v>
          </cell>
          <cell r="L531">
            <v>2.0561718702008087</v>
          </cell>
          <cell r="M531">
            <v>2.6638482901100518</v>
          </cell>
          <cell r="N531">
            <v>2.7451571168732949</v>
          </cell>
          <cell r="O531">
            <v>2.762663766902874</v>
          </cell>
        </row>
        <row r="532">
          <cell r="A532" t="str">
            <v>D-SCOM_KEV_BIO_ELC_CHP</v>
          </cell>
          <cell r="B532" t="str">
            <v>VAR_fin</v>
          </cell>
          <cell r="C532" t="str">
            <v>SCOM_KEV_BIO_ELC_CHP</v>
          </cell>
          <cell r="D532">
            <v>0.95936515910894415</v>
          </cell>
          <cell r="E532">
            <v>1.1059547725578278</v>
          </cell>
          <cell r="F532">
            <v>1.1060283951214467</v>
          </cell>
          <cell r="G532">
            <v>1.1060293669229284</v>
          </cell>
          <cell r="H532">
            <v>1.4432869015830698</v>
          </cell>
          <cell r="I532">
            <v>1.4433537656934574</v>
          </cell>
          <cell r="J532">
            <v>3.1982072325275448</v>
          </cell>
          <cell r="K532">
            <v>3.4299870972750695</v>
          </cell>
          <cell r="L532">
            <v>4.1211857303284294</v>
          </cell>
          <cell r="M532">
            <v>5.2972260822846771</v>
          </cell>
          <cell r="N532">
            <v>5.4823209574407219</v>
          </cell>
          <cell r="O532">
            <v>5.4828702188071317</v>
          </cell>
        </row>
        <row r="533">
          <cell r="A533" t="str">
            <v>RHES-SHLTHCHPWOD</v>
          </cell>
          <cell r="B533" t="str">
            <v>VAR_fout</v>
          </cell>
          <cell r="C533" t="str">
            <v>RHES-SHLTHC-WOD</v>
          </cell>
          <cell r="G533">
            <v>3.725428421208184E-4</v>
          </cell>
          <cell r="H533">
            <v>8.0943538646244414E-4</v>
          </cell>
          <cell r="I533">
            <v>5.0211157616492086E-3</v>
          </cell>
          <cell r="J533">
            <v>8.3234433545965221E-3</v>
          </cell>
          <cell r="K533">
            <v>8.5100397892437681E-3</v>
          </cell>
          <cell r="L533">
            <v>4.847425404849233E-3</v>
          </cell>
          <cell r="M533">
            <v>4.156992797897629E-3</v>
          </cell>
          <cell r="N533">
            <v>5.9361141403523965E-3</v>
          </cell>
          <cell r="O533">
            <v>5.4995208764326061E-3</v>
          </cell>
        </row>
        <row r="534">
          <cell r="A534" t="str">
            <v>RHES-SHLTHCHPWOD</v>
          </cell>
          <cell r="B534" t="str">
            <v>VAR_fin</v>
          </cell>
          <cell r="C534" t="str">
            <v>RHESLTHCHPC</v>
          </cell>
          <cell r="G534">
            <v>3.725428421208184E-4</v>
          </cell>
          <cell r="H534">
            <v>8.0943538646244414E-4</v>
          </cell>
          <cell r="I534">
            <v>5.0211157616492086E-3</v>
          </cell>
          <cell r="J534">
            <v>8.3234433545965221E-3</v>
          </cell>
          <cell r="K534">
            <v>8.5100397892437681E-3</v>
          </cell>
          <cell r="L534">
            <v>4.847425404849233E-3</v>
          </cell>
          <cell r="M534">
            <v>4.156992797897629E-3</v>
          </cell>
          <cell r="N534">
            <v>5.9361141403523965E-3</v>
          </cell>
          <cell r="O534">
            <v>5.4995208764326061E-3</v>
          </cell>
        </row>
        <row r="535">
          <cell r="A535" t="str">
            <v>RHES-SHLTHCHPWOD</v>
          </cell>
          <cell r="B535" t="str">
            <v>VAR_fin</v>
          </cell>
          <cell r="C535" t="str">
            <v>RHES_LTH_CHPWOD_ON</v>
          </cell>
          <cell r="G535">
            <v>3.7630590113213984E-4</v>
          </cell>
          <cell r="H535">
            <v>8.176115014772163E-4</v>
          </cell>
          <cell r="I535">
            <v>5.0718341026759692E-3</v>
          </cell>
          <cell r="J535">
            <v>8.4075185399964895E-3</v>
          </cell>
          <cell r="K535">
            <v>8.5959997871149166E-3</v>
          </cell>
          <cell r="L535">
            <v>4.896389297827505E-3</v>
          </cell>
          <cell r="M535">
            <v>4.1989826241390204E-3</v>
          </cell>
          <cell r="N535">
            <v>5.9960748892448458E-3</v>
          </cell>
          <cell r="O535">
            <v>5.555071592356165E-3</v>
          </cell>
        </row>
        <row r="536">
          <cell r="A536" t="str">
            <v>RHES-SHLTHCHPWOD</v>
          </cell>
          <cell r="B536" t="str">
            <v>VAR_ncap</v>
          </cell>
          <cell r="C536" t="str">
            <v>-</v>
          </cell>
          <cell r="G536">
            <v>5.0613778083898999E-5</v>
          </cell>
          <cell r="H536">
            <v>7.6959727185019794E-5</v>
          </cell>
          <cell r="I536">
            <v>4.5214620007689998E-4</v>
          </cell>
          <cell r="J536">
            <v>5.7418584897308905E-4</v>
          </cell>
          <cell r="K536">
            <v>5.7051046571649497E-4</v>
          </cell>
          <cell r="L536">
            <v>2.8835390475351802E-4</v>
          </cell>
          <cell r="M536">
            <v>2.7830626378641001E-4</v>
          </cell>
          <cell r="N536">
            <v>4.0950309466012601E-4</v>
          </cell>
          <cell r="O536">
            <v>3.7888586376774502E-4</v>
          </cell>
        </row>
        <row r="537">
          <cell r="A537" t="str">
            <v>RHES-SHLTHCHPWOD</v>
          </cell>
          <cell r="B537" t="str">
            <v>VAR_cap</v>
          </cell>
          <cell r="C537" t="str">
            <v>-</v>
          </cell>
          <cell r="G537">
            <v>5.0613778083898999E-5</v>
          </cell>
          <cell r="H537">
            <v>9.4707650122400209E-5</v>
          </cell>
          <cell r="I537">
            <v>4.9031611028123973E-4</v>
          </cell>
          <cell r="J537">
            <v>7.754741932103511E-4</v>
          </cell>
          <cell r="K537">
            <v>7.912899428587721E-4</v>
          </cell>
          <cell r="L537">
            <v>4.5697862867279712E-4</v>
          </cell>
          <cell r="M537">
            <v>4.2602990877716905E-4</v>
          </cell>
          <cell r="N537">
            <v>5.6636341680215796E-4</v>
          </cell>
          <cell r="O537">
            <v>5.8229751058508404E-4</v>
          </cell>
        </row>
        <row r="538">
          <cell r="A538" t="str">
            <v>RHES-SHSTG-NGAHP</v>
          </cell>
          <cell r="B538" t="str">
            <v>VAR_fout</v>
          </cell>
          <cell r="C538" t="str">
            <v>RHES-SHANGAH</v>
          </cell>
          <cell r="F538">
            <v>9.4114849443941809E-5</v>
          </cell>
          <cell r="G538">
            <v>9.882472908486777E-5</v>
          </cell>
          <cell r="H538">
            <v>0.46007540265523539</v>
          </cell>
          <cell r="I538">
            <v>0.73796002684230866</v>
          </cell>
          <cell r="J538">
            <v>0.6464732998094288</v>
          </cell>
          <cell r="K538">
            <v>0.32626422698010354</v>
          </cell>
          <cell r="L538">
            <v>4.6104012466228181E-2</v>
          </cell>
          <cell r="M538">
            <v>1.3071985837420161E-4</v>
          </cell>
          <cell r="N538">
            <v>1.3922858390963115E-4</v>
          </cell>
          <cell r="O538">
            <v>1.3577498980700908E-4</v>
          </cell>
        </row>
        <row r="539">
          <cell r="A539" t="str">
            <v>RHES-SHSTG-NGAHP</v>
          </cell>
          <cell r="B539" t="str">
            <v>VAR_fin</v>
          </cell>
          <cell r="C539" t="str">
            <v>RHES-SHANGAH</v>
          </cell>
          <cell r="F539">
            <v>9.47454058585094E-5</v>
          </cell>
          <cell r="G539">
            <v>9.8191735863491718E-5</v>
          </cell>
          <cell r="H539">
            <v>0.460102662571995</v>
          </cell>
          <cell r="I539">
            <v>0.73800257740632869</v>
          </cell>
          <cell r="J539">
            <v>0.64651542122034922</v>
          </cell>
          <cell r="K539">
            <v>0.32628227057685161</v>
          </cell>
          <cell r="L539">
            <v>4.6107539925679543E-2</v>
          </cell>
          <cell r="M539">
            <v>1.3375871063347046E-4</v>
          </cell>
          <cell r="N539">
            <v>1.408598619378115E-4</v>
          </cell>
          <cell r="O539">
            <v>1.426482511091514E-4</v>
          </cell>
        </row>
        <row r="540">
          <cell r="A540" t="str">
            <v>RHES-SHSTG-NGAHP</v>
          </cell>
          <cell r="B540" t="str">
            <v>VAR_ncap</v>
          </cell>
          <cell r="C540" t="str">
            <v>-</v>
          </cell>
          <cell r="D540">
            <v>6.01739249681928E-6</v>
          </cell>
          <cell r="E540">
            <v>2.2756556521513501E-6</v>
          </cell>
          <cell r="F540">
            <v>2.8782669793081299E-5</v>
          </cell>
          <cell r="G540">
            <v>1.17989163427026E-5</v>
          </cell>
          <cell r="H540">
            <v>5.9053617326519099E-2</v>
          </cell>
          <cell r="I540">
            <v>4.03347841938771E-2</v>
          </cell>
          <cell r="J540">
            <v>5.1764611486069402E-5</v>
          </cell>
          <cell r="K540">
            <v>8.9380242655708598E-5</v>
          </cell>
          <cell r="L540">
            <v>5.70594133989629E-5</v>
          </cell>
          <cell r="M540">
            <v>2.6600955144308599E-5</v>
          </cell>
          <cell r="N540">
            <v>3.1383295059228401E-5</v>
          </cell>
          <cell r="O540">
            <v>3.7150352719470698E-5</v>
          </cell>
        </row>
        <row r="541">
          <cell r="A541" t="str">
            <v>RHES-SHSTG-NGAHP</v>
          </cell>
          <cell r="B541" t="str">
            <v>VAR_cap</v>
          </cell>
          <cell r="C541" t="str">
            <v>-</v>
          </cell>
          <cell r="D541">
            <v>6.01739249681928E-6</v>
          </cell>
          <cell r="E541">
            <v>1.3582874161617963E-7</v>
          </cell>
          <cell r="F541">
            <v>2.7536347813947638E-5</v>
          </cell>
          <cell r="G541">
            <v>2.8280303901679501E-5</v>
          </cell>
          <cell r="H541">
            <v>5.9073806329947319E-2</v>
          </cell>
          <cell r="I541">
            <v>9.9387366084940462E-2</v>
          </cell>
          <cell r="J541">
            <v>9.9381622659182586E-2</v>
          </cell>
          <cell r="K541">
            <v>4.0335434409810973E-2</v>
          </cell>
          <cell r="L541">
            <v>6.198222075931242E-3</v>
          </cell>
          <cell r="M541">
            <v>4.5629980253040001E-5</v>
          </cell>
          <cell r="N541">
            <v>4.6325147427264693E-5</v>
          </cell>
          <cell r="O541">
            <v>5.6147897635822697E-5</v>
          </cell>
        </row>
        <row r="542">
          <cell r="A542" t="str">
            <v>D-RHNS_SOLELC</v>
          </cell>
          <cell r="B542" t="str">
            <v>VAR_fout</v>
          </cell>
          <cell r="C542" t="str">
            <v>RHNS_ELC</v>
          </cell>
          <cell r="E542">
            <v>4.5011981654588888E-6</v>
          </cell>
          <cell r="F542">
            <v>2.6784934338127699E-4</v>
          </cell>
          <cell r="G542">
            <v>6.574325582758779E-4</v>
          </cell>
          <cell r="H542">
            <v>6.5274010368221425E-4</v>
          </cell>
          <cell r="I542">
            <v>7.0626190280945883E-4</v>
          </cell>
          <cell r="J542">
            <v>7.3759598682476607E-4</v>
          </cell>
          <cell r="K542">
            <v>6.911409359369547E-4</v>
          </cell>
          <cell r="L542">
            <v>7.5323261397008284E-4</v>
          </cell>
          <cell r="M542">
            <v>7.4264060799107343E-4</v>
          </cell>
          <cell r="N542">
            <v>7.9834996735238814E-4</v>
          </cell>
          <cell r="O542">
            <v>8.4128978574888691E-4</v>
          </cell>
        </row>
        <row r="543">
          <cell r="A543" t="str">
            <v>D-RHNS_SOLELC</v>
          </cell>
          <cell r="B543" t="str">
            <v>VAR_fout</v>
          </cell>
          <cell r="C543" t="str">
            <v>ELC5</v>
          </cell>
          <cell r="E543">
            <v>4.4835403218566988E-6</v>
          </cell>
          <cell r="F543">
            <v>2.6901609773605776E-4</v>
          </cell>
          <cell r="G543">
            <v>6.673056462678129E-4</v>
          </cell>
          <cell r="H543">
            <v>6.5281991318751488E-4</v>
          </cell>
          <cell r="I543">
            <v>7.0407037974833792E-4</v>
          </cell>
          <cell r="J543">
            <v>7.3478042972507278E-4</v>
          </cell>
          <cell r="K543">
            <v>6.8347613126928572E-4</v>
          </cell>
          <cell r="L543">
            <v>7.473916043752814E-4</v>
          </cell>
          <cell r="M543">
            <v>7.3309918856089874E-4</v>
          </cell>
          <cell r="N543">
            <v>7.9121904148974872E-4</v>
          </cell>
          <cell r="O543">
            <v>8.3314043689348852E-4</v>
          </cell>
        </row>
        <row r="544">
          <cell r="A544" t="str">
            <v>D-RHNS_SOLELC</v>
          </cell>
          <cell r="B544" t="str">
            <v>VAR_fin</v>
          </cell>
          <cell r="C544" t="str">
            <v>RHNS_SOL_ELC</v>
          </cell>
          <cell r="E544">
            <v>8.7788066450753758E-6</v>
          </cell>
          <cell r="F544">
            <v>5.3688529425228093E-4</v>
          </cell>
          <cell r="G544">
            <v>1.3247630088513726E-3</v>
          </cell>
          <cell r="H544">
            <v>1.3055914702251306E-3</v>
          </cell>
          <cell r="I544">
            <v>1.4103608987527567E-3</v>
          </cell>
          <cell r="J544">
            <v>1.4724057534705353E-3</v>
          </cell>
          <cell r="K544">
            <v>1.3746466464528522E-3</v>
          </cell>
          <cell r="L544">
            <v>1.5006550064160075E-3</v>
          </cell>
          <cell r="M544">
            <v>1.4757727189174264E-3</v>
          </cell>
          <cell r="N544">
            <v>1.5896038525939694E-3</v>
          </cell>
          <cell r="O544">
            <v>1.6744302226423754E-3</v>
          </cell>
        </row>
        <row r="545">
          <cell r="A545" t="str">
            <v>D-IHFO</v>
          </cell>
          <cell r="B545" t="str">
            <v>VAR_fout</v>
          </cell>
          <cell r="C545" t="str">
            <v>CO2</v>
          </cell>
          <cell r="D545">
            <v>213.78048958746501</v>
          </cell>
          <cell r="E545">
            <v>194.23464607737901</v>
          </cell>
          <cell r="F545">
            <v>0.18610788979998699</v>
          </cell>
          <cell r="G545">
            <v>2.67157287504638E-2</v>
          </cell>
          <cell r="H545">
            <v>1.77222621313513E-2</v>
          </cell>
          <cell r="I545">
            <v>9.5437097915178501E-2</v>
          </cell>
          <cell r="J545">
            <v>6.6865156034180501E-2</v>
          </cell>
        </row>
        <row r="546">
          <cell r="A546" t="str">
            <v>D-IHFO</v>
          </cell>
          <cell r="B546" t="str">
            <v>VAR_fout</v>
          </cell>
          <cell r="C546" t="str">
            <v>IHFO</v>
          </cell>
          <cell r="D546">
            <v>2.7300013801630145</v>
          </cell>
          <cell r="E546">
            <v>2.4803987159444341</v>
          </cell>
          <cell r="F546">
            <v>2.3766191058577375E-3</v>
          </cell>
          <cell r="G546">
            <v>3.4116292137588775E-4</v>
          </cell>
          <cell r="H546">
            <v>2.263153207833083E-4</v>
          </cell>
          <cell r="I546">
            <v>1.218742690364144E-3</v>
          </cell>
          <cell r="J546">
            <v>8.5387571433848835E-4</v>
          </cell>
        </row>
        <row r="547">
          <cell r="A547" t="str">
            <v>D-IHFO</v>
          </cell>
          <cell r="B547" t="str">
            <v>VAR_fin</v>
          </cell>
          <cell r="C547" t="str">
            <v>HFO</v>
          </cell>
          <cell r="D547">
            <v>2.7763699946423981</v>
          </cell>
          <cell r="E547">
            <v>2.522527871134792</v>
          </cell>
          <cell r="F547">
            <v>2.4169855818180091E-3</v>
          </cell>
          <cell r="G547">
            <v>3.4695751623979018E-4</v>
          </cell>
          <cell r="H547">
            <v>2.3015924845910766E-4</v>
          </cell>
          <cell r="I547">
            <v>1.2394428300672551E-3</v>
          </cell>
          <cell r="J547">
            <v>8.6837864979455134E-4</v>
          </cell>
        </row>
        <row r="548">
          <cell r="A548" t="str">
            <v>RHEM-SHCONBR</v>
          </cell>
          <cell r="B548" t="str">
            <v>VAR_fout</v>
          </cell>
          <cell r="C548" t="str">
            <v>RHEM-SHCON</v>
          </cell>
          <cell r="F548">
            <v>1.1420763004198557E-4</v>
          </cell>
          <cell r="G548">
            <v>1.0829728954033947E-4</v>
          </cell>
          <cell r="H548">
            <v>1.9318264686523926E-4</v>
          </cell>
          <cell r="I548">
            <v>1.9593152125704807E-4</v>
          </cell>
          <cell r="J548">
            <v>1.9948523944290304E-4</v>
          </cell>
          <cell r="K548">
            <v>4.4925079182239378E-4</v>
          </cell>
          <cell r="L548">
            <v>4.4571908137549241E-4</v>
          </cell>
          <cell r="M548">
            <v>4.3003281130396244E-4</v>
          </cell>
          <cell r="N548">
            <v>0.81387680113766325</v>
          </cell>
          <cell r="O548">
            <v>0.36634933993153368</v>
          </cell>
        </row>
        <row r="549">
          <cell r="A549" t="str">
            <v>RHEM-SHCONBR</v>
          </cell>
          <cell r="B549" t="str">
            <v>VAR_fin</v>
          </cell>
          <cell r="C549" t="str">
            <v>CON</v>
          </cell>
          <cell r="F549">
            <v>1.1420763004198557E-4</v>
          </cell>
          <cell r="G549">
            <v>1.0829728954033947E-4</v>
          </cell>
          <cell r="H549">
            <v>1.9318264686523926E-4</v>
          </cell>
          <cell r="I549">
            <v>1.9593152125704807E-4</v>
          </cell>
          <cell r="J549">
            <v>1.9948523944290304E-4</v>
          </cell>
          <cell r="K549">
            <v>4.4925079182239378E-4</v>
          </cell>
          <cell r="L549">
            <v>4.4571908137549241E-4</v>
          </cell>
          <cell r="M549">
            <v>4.3003281130396244E-4</v>
          </cell>
          <cell r="N549">
            <v>0.81387680113766325</v>
          </cell>
          <cell r="O549">
            <v>0.36634933993153368</v>
          </cell>
        </row>
        <row r="550">
          <cell r="A550" t="str">
            <v>RHEM-SHCONBR</v>
          </cell>
          <cell r="B550" t="str">
            <v>VAR_ncap</v>
          </cell>
          <cell r="C550" t="str">
            <v>-</v>
          </cell>
          <cell r="D550">
            <v>1.31208631416034E-8</v>
          </cell>
          <cell r="E550">
            <v>1.95712508664277E-8</v>
          </cell>
          <cell r="F550">
            <v>8.2948822128086508E-6</v>
          </cell>
          <cell r="G550">
            <v>6.0860112083405905E-8</v>
          </cell>
          <cell r="H550">
            <v>6.2183645850921803E-6</v>
          </cell>
          <cell r="I550">
            <v>1.9035152902506399E-7</v>
          </cell>
          <cell r="J550">
            <v>1.86764255094705E-7</v>
          </cell>
          <cell r="K550">
            <v>1.7034789884563302E-5</v>
          </cell>
          <cell r="L550">
            <v>8.7354113876487798E-7</v>
          </cell>
          <cell r="M550">
            <v>1.57870345913175E-7</v>
          </cell>
          <cell r="N550">
            <v>5.7444496820868302E-2</v>
          </cell>
          <cell r="O550">
            <v>3.89393427080697E-8</v>
          </cell>
        </row>
        <row r="551">
          <cell r="A551" t="str">
            <v>RHEM-SHCONBR</v>
          </cell>
          <cell r="B551" t="str">
            <v>VAR_cap</v>
          </cell>
          <cell r="C551" t="str">
            <v>-</v>
          </cell>
          <cell r="D551">
            <v>1.31208631416034E-8</v>
          </cell>
          <cell r="E551">
            <v>-8.8817430474366897E-8</v>
          </cell>
          <cell r="F551">
            <v>8.3008653490534105E-6</v>
          </cell>
          <cell r="G551">
            <v>8.3561899958825414E-6</v>
          </cell>
          <cell r="H551">
            <v>1.4543985048705798E-5</v>
          </cell>
          <cell r="I551">
            <v>1.4692820799949156E-5</v>
          </cell>
          <cell r="J551">
            <v>1.4849567090535734E-5</v>
          </cell>
          <cell r="K551">
            <v>3.1786317495279799E-5</v>
          </cell>
          <cell r="L551">
            <v>3.2765058147750004E-5</v>
          </cell>
          <cell r="M551">
            <v>3.2581329511872275E-5</v>
          </cell>
          <cell r="N551">
            <v>5.7477386217992747E-2</v>
          </cell>
          <cell r="O551">
            <v>5.7477585876388397E-2</v>
          </cell>
        </row>
        <row r="552">
          <cell r="A552" t="str">
            <v>RHEM-SHSOLBR</v>
          </cell>
          <cell r="B552" t="str">
            <v>VAR_fout</v>
          </cell>
          <cell r="C552" t="str">
            <v>RHEM-SHASOL</v>
          </cell>
          <cell r="D552">
            <v>0.40801189867003462</v>
          </cell>
          <cell r="E552">
            <v>0.47087334531837371</v>
          </cell>
          <cell r="F552">
            <v>0.47067496299697981</v>
          </cell>
          <cell r="G552">
            <v>0.47077504283182492</v>
          </cell>
          <cell r="H552">
            <v>0.44641970371563811</v>
          </cell>
          <cell r="I552">
            <v>0.4683501345432351</v>
          </cell>
          <cell r="J552">
            <v>0.46759916825956976</v>
          </cell>
          <cell r="K552">
            <v>1.433338647983837</v>
          </cell>
          <cell r="L552">
            <v>1.4806444545588002</v>
          </cell>
          <cell r="M552">
            <v>1.4719895000799748</v>
          </cell>
          <cell r="N552">
            <v>1.507941895080378</v>
          </cell>
          <cell r="O552">
            <v>0.96829209406116401</v>
          </cell>
        </row>
        <row r="553">
          <cell r="A553" t="str">
            <v>RHEM-SHSOLBR</v>
          </cell>
          <cell r="B553" t="str">
            <v>VAR_fin</v>
          </cell>
          <cell r="C553" t="str">
            <v>SOL</v>
          </cell>
          <cell r="D553">
            <v>0.40801189867003462</v>
          </cell>
          <cell r="E553">
            <v>0.47087334531837371</v>
          </cell>
          <cell r="F553">
            <v>0.47067496299697981</v>
          </cell>
          <cell r="G553">
            <v>0.47077504283182492</v>
          </cell>
          <cell r="H553">
            <v>0.44641970371563811</v>
          </cell>
          <cell r="I553">
            <v>0.4683501345432351</v>
          </cell>
          <cell r="J553">
            <v>0.46759916825956976</v>
          </cell>
          <cell r="K553">
            <v>1.433338647983837</v>
          </cell>
          <cell r="L553">
            <v>1.4806444545588002</v>
          </cell>
          <cell r="M553">
            <v>1.4719895000799748</v>
          </cell>
          <cell r="N553">
            <v>1.507941895080378</v>
          </cell>
          <cell r="O553">
            <v>0.96829209406116401</v>
          </cell>
        </row>
        <row r="554">
          <cell r="A554" t="str">
            <v>RHEM-SHSOLBR</v>
          </cell>
          <cell r="B554" t="str">
            <v>VAR_ncap</v>
          </cell>
          <cell r="C554" t="str">
            <v>-</v>
          </cell>
          <cell r="D554">
            <v>1.6535735790569501E-5</v>
          </cell>
          <cell r="E554">
            <v>9.1206492014526998E-3</v>
          </cell>
          <cell r="F554">
            <v>5.8371627214461199E-7</v>
          </cell>
          <cell r="G554">
            <v>1.35558850811987E-6</v>
          </cell>
          <cell r="H554">
            <v>4.8349341519530201E-2</v>
          </cell>
          <cell r="I554">
            <v>2.0046269417406899E-2</v>
          </cell>
          <cell r="J554">
            <v>5.04420408088305E-6</v>
          </cell>
          <cell r="K554">
            <v>0.26017671899596301</v>
          </cell>
          <cell r="L554">
            <v>2.6794422427998E-2</v>
          </cell>
          <cell r="M554">
            <v>3.0864743036483401E-3</v>
          </cell>
          <cell r="N554">
            <v>0.22998111763530699</v>
          </cell>
          <cell r="O554">
            <v>6.4384160908449395E-2</v>
          </cell>
        </row>
        <row r="555">
          <cell r="A555" t="str">
            <v>RHEM-SHSOLBR</v>
          </cell>
          <cell r="B555" t="str">
            <v>VAR_cap</v>
          </cell>
          <cell r="C555" t="str">
            <v>-</v>
          </cell>
          <cell r="D555">
            <v>5.9271457152828874E-2</v>
          </cell>
          <cell r="E555">
            <v>6.839210635428157E-2</v>
          </cell>
          <cell r="F555">
            <v>6.8392690070553722E-2</v>
          </cell>
          <cell r="G555">
            <v>6.8394045659061847E-2</v>
          </cell>
          <cell r="H555">
            <v>6.8395323505590203E-2</v>
          </cell>
          <cell r="I555">
            <v>6.8396831207618594E-2</v>
          </cell>
          <cell r="J555">
            <v>6.8400655141017896E-2</v>
          </cell>
          <cell r="K555">
            <v>0.280228032617451</v>
          </cell>
          <cell r="L555">
            <v>0.29005570833678201</v>
          </cell>
          <cell r="M555">
            <v>0.29005761572761002</v>
          </cell>
          <cell r="N555">
            <v>0.29745081648873201</v>
          </cell>
          <cell r="O555">
            <v>0.29745175284740499</v>
          </cell>
        </row>
        <row r="556">
          <cell r="A556" t="str">
            <v>SCOM-SHH2BR</v>
          </cell>
          <cell r="B556" t="str">
            <v>VAR_fout</v>
          </cell>
          <cell r="C556" t="str">
            <v>SCOM-SHH2B</v>
          </cell>
          <cell r="G556">
            <v>5.9652538034198174E-4</v>
          </cell>
          <cell r="H556">
            <v>9.4874172030432122E-2</v>
          </cell>
          <cell r="I556">
            <v>0.60814409197510633</v>
          </cell>
          <cell r="J556">
            <v>1.5437425524679707</v>
          </cell>
          <cell r="K556">
            <v>1.6185490763675439</v>
          </cell>
          <cell r="L556">
            <v>1.5944321845095519</v>
          </cell>
          <cell r="M556">
            <v>0.43606535828671872</v>
          </cell>
          <cell r="N556">
            <v>0.1922716869054866</v>
          </cell>
          <cell r="O556">
            <v>0.10276712399594316</v>
          </cell>
        </row>
        <row r="557">
          <cell r="A557" t="str">
            <v>SCOM-SHH2BR</v>
          </cell>
          <cell r="B557" t="str">
            <v>VAR_fin</v>
          </cell>
          <cell r="C557" t="str">
            <v>RSH2</v>
          </cell>
          <cell r="G557">
            <v>6.3003804215894634E-4</v>
          </cell>
          <cell r="H557">
            <v>0.100204181695063</v>
          </cell>
          <cell r="I557">
            <v>0.6423094904006742</v>
          </cell>
          <cell r="J557">
            <v>1.6304696621571801</v>
          </cell>
          <cell r="K557">
            <v>1.709478799758982</v>
          </cell>
          <cell r="L557">
            <v>1.6840070263359321</v>
          </cell>
          <cell r="M557">
            <v>0.46056341212305174</v>
          </cell>
          <cell r="N557">
            <v>0.20307346706871629</v>
          </cell>
          <cell r="O557">
            <v>0.10854055792829949</v>
          </cell>
        </row>
        <row r="558">
          <cell r="A558" t="str">
            <v>SCOM-SHH2BR</v>
          </cell>
          <cell r="B558" t="str">
            <v>VAR_ncap</v>
          </cell>
          <cell r="C558" t="str">
            <v>-</v>
          </cell>
          <cell r="G558">
            <v>7.6494553540878095E-5</v>
          </cell>
          <cell r="H558">
            <v>7.65918164556158E-3</v>
          </cell>
          <cell r="I558">
            <v>4.0431604532114598E-2</v>
          </cell>
          <cell r="J558">
            <v>7.4144420461507196E-2</v>
          </cell>
          <cell r="K558">
            <v>5.1201509261499099E-2</v>
          </cell>
          <cell r="L558">
            <v>1.68044747877929E-2</v>
          </cell>
          <cell r="M558">
            <v>5.6353197177291E-6</v>
          </cell>
          <cell r="N558">
            <v>1.55645499753991E-5</v>
          </cell>
          <cell r="O558">
            <v>9.8555576539907808E-3</v>
          </cell>
        </row>
        <row r="559">
          <cell r="A559" t="str">
            <v>SCOM-SHH2BR</v>
          </cell>
          <cell r="B559" t="str">
            <v>VAR_cap</v>
          </cell>
          <cell r="C559" t="str">
            <v>-</v>
          </cell>
          <cell r="G559">
            <v>7.6494553540878095E-5</v>
          </cell>
          <cell r="H559">
            <v>7.7352238284573863E-3</v>
          </cell>
          <cell r="I559">
            <v>4.8151613549602915E-2</v>
          </cell>
          <cell r="J559">
            <v>0.12223302469026605</v>
          </cell>
          <cell r="K559">
            <v>0.16577483470213611</v>
          </cell>
          <cell r="L559">
            <v>0.13853717202318422</v>
          </cell>
          <cell r="M559">
            <v>6.7718781229501632E-2</v>
          </cell>
          <cell r="N559">
            <v>2.0509049221667498E-2</v>
          </cell>
          <cell r="O559">
            <v>9.8747010228964465E-3</v>
          </cell>
        </row>
        <row r="560">
          <cell r="A560" t="str">
            <v>ITOT-SWHCONBR1</v>
          </cell>
          <cell r="B560" t="str">
            <v>VAR_fout</v>
          </cell>
          <cell r="C560" t="str">
            <v>ITOT-ELS</v>
          </cell>
          <cell r="E560">
            <v>0.85059416521945352</v>
          </cell>
          <cell r="F560">
            <v>0.85059508711163889</v>
          </cell>
          <cell r="G560">
            <v>0.97002835390285225</v>
          </cell>
          <cell r="H560">
            <v>0.97002552700309963</v>
          </cell>
          <cell r="I560">
            <v>0.96045649090571927</v>
          </cell>
          <cell r="J560">
            <v>0.95707483879639188</v>
          </cell>
          <cell r="K560">
            <v>0.96995661952440448</v>
          </cell>
          <cell r="L560">
            <v>0.96998945992571795</v>
          </cell>
          <cell r="M560">
            <v>0.96999894824631328</v>
          </cell>
          <cell r="N560">
            <v>0.97000938171855333</v>
          </cell>
          <cell r="O560">
            <v>0.96996082844945941</v>
          </cell>
        </row>
        <row r="561">
          <cell r="A561" t="str">
            <v>ITOT-SWHCONBR1</v>
          </cell>
          <cell r="B561" t="str">
            <v>VAR_fout</v>
          </cell>
          <cell r="C561" t="str">
            <v>ITOT-SWHC</v>
          </cell>
          <cell r="E561">
            <v>4.0435976004148806</v>
          </cell>
          <cell r="F561">
            <v>4.0436019829526186</v>
          </cell>
          <cell r="G561">
            <v>4.6113698924374731</v>
          </cell>
          <cell r="H561">
            <v>4.6113564537783267</v>
          </cell>
          <cell r="I561">
            <v>4.5658666855859202</v>
          </cell>
          <cell r="J561">
            <v>4.5497908166065075</v>
          </cell>
          <cell r="K561">
            <v>4.6110288779179562</v>
          </cell>
          <cell r="L561">
            <v>4.6111849962801257</v>
          </cell>
          <cell r="M561">
            <v>4.6112301023388813</v>
          </cell>
          <cell r="N561">
            <v>4.611279701507363</v>
          </cell>
          <cell r="O561">
            <v>4.6110488865189403</v>
          </cell>
        </row>
        <row r="562">
          <cell r="A562" t="str">
            <v>ITOT-SWHCONBR1</v>
          </cell>
          <cell r="B562" t="str">
            <v>VAR_fin</v>
          </cell>
          <cell r="C562" t="str">
            <v>CON</v>
          </cell>
          <cell r="E562">
            <v>4.8941917656343321</v>
          </cell>
          <cell r="F562">
            <v>4.8941970700642621</v>
          </cell>
          <cell r="G562">
            <v>5.5813982463403216</v>
          </cell>
          <cell r="H562">
            <v>5.5813819807814253</v>
          </cell>
          <cell r="I562">
            <v>5.526323176491637</v>
          </cell>
          <cell r="J562">
            <v>5.5068656554028959</v>
          </cell>
          <cell r="K562">
            <v>5.5809854974423576</v>
          </cell>
          <cell r="L562">
            <v>5.5811744562058463</v>
          </cell>
          <cell r="M562">
            <v>5.5812290505851871</v>
          </cell>
          <cell r="N562">
            <v>5.5812890832259141</v>
          </cell>
          <cell r="O562">
            <v>5.5810097149684053</v>
          </cell>
        </row>
        <row r="563">
          <cell r="A563" t="str">
            <v>ITOT-SWHCONBR1</v>
          </cell>
          <cell r="B563" t="str">
            <v>VAR_ncap</v>
          </cell>
          <cell r="C563" t="str">
            <v>-</v>
          </cell>
          <cell r="E563">
            <v>0.266166857522871</v>
          </cell>
          <cell r="F563">
            <v>1.4786371355211E-6</v>
          </cell>
          <cell r="G563">
            <v>3.7367795355821298E-2</v>
          </cell>
          <cell r="H563">
            <v>0.12979998765008099</v>
          </cell>
          <cell r="I563">
            <v>0.14048736964319999</v>
          </cell>
          <cell r="J563">
            <v>2.9217536445306301E-2</v>
          </cell>
          <cell r="K563">
            <v>0.13383312045439</v>
          </cell>
          <cell r="L563">
            <v>0.122766111993291</v>
          </cell>
          <cell r="M563">
            <v>4.6936818290122799E-2</v>
          </cell>
          <cell r="N563">
            <v>0.14904785520888</v>
          </cell>
          <cell r="O563">
            <v>0.10754629544872001</v>
          </cell>
        </row>
        <row r="564">
          <cell r="A564" t="str">
            <v>ITOT-SWHCONBR1</v>
          </cell>
          <cell r="B564" t="str">
            <v>VAR_cap</v>
          </cell>
          <cell r="C564" t="str">
            <v>-</v>
          </cell>
          <cell r="E564">
            <v>0.266166857522871</v>
          </cell>
          <cell r="F564">
            <v>0.26616833616000601</v>
          </cell>
          <cell r="G564">
            <v>0.30353613151582798</v>
          </cell>
          <cell r="H564">
            <v>0.30353820055196201</v>
          </cell>
          <cell r="I564">
            <v>0.30054635744972502</v>
          </cell>
          <cell r="J564">
            <v>0.29950489373858702</v>
          </cell>
          <cell r="K564">
            <v>0.30353802654289702</v>
          </cell>
          <cell r="L564">
            <v>0.303532036121194</v>
          </cell>
          <cell r="M564">
            <v>0.30353605073780399</v>
          </cell>
          <cell r="N564">
            <v>0.30353702697099999</v>
          </cell>
          <cell r="O564">
            <v>0.30353096894772402</v>
          </cell>
        </row>
        <row r="565">
          <cell r="A565" t="str">
            <v>SCOM-SHLTHCHPWOD</v>
          </cell>
          <cell r="B565" t="str">
            <v>VAR_fout</v>
          </cell>
          <cell r="C565" t="str">
            <v>SCOM-SHLTHC-WOD</v>
          </cell>
          <cell r="G565">
            <v>7.9440532137340302E-4</v>
          </cell>
          <cell r="H565">
            <v>8.3266642805272708E-4</v>
          </cell>
          <cell r="I565">
            <v>8.2883847151763116E-3</v>
          </cell>
          <cell r="J565">
            <v>7.1689514057321621E-3</v>
          </cell>
          <cell r="K565">
            <v>3.3142874893300591E-3</v>
          </cell>
          <cell r="L565">
            <v>4.2660671421186928E-3</v>
          </cell>
          <cell r="M565">
            <v>2.7350630462808362E-3</v>
          </cell>
          <cell r="N565">
            <v>2.2500723020361453E-3</v>
          </cell>
          <cell r="O565">
            <v>4.201125765636738E-3</v>
          </cell>
        </row>
        <row r="566">
          <cell r="A566" t="str">
            <v>SCOM-SHLTHCHPWOD</v>
          </cell>
          <cell r="B566" t="str">
            <v>VAR_fin</v>
          </cell>
          <cell r="C566" t="str">
            <v>SCOM_LTH_CHPWOD_ON</v>
          </cell>
          <cell r="G566">
            <v>8.024296175488917E-4</v>
          </cell>
          <cell r="H566">
            <v>8.4107720005325941E-4</v>
          </cell>
          <cell r="I566">
            <v>8.3721057729053642E-3</v>
          </cell>
          <cell r="J566">
            <v>7.2413650562951131E-3</v>
          </cell>
          <cell r="K566">
            <v>3.3477651407374368E-3</v>
          </cell>
          <cell r="L566">
            <v>4.309158729412824E-3</v>
          </cell>
          <cell r="M566">
            <v>2.7626899457382191E-3</v>
          </cell>
          <cell r="N566">
            <v>2.2728003050870153E-3</v>
          </cell>
          <cell r="O566">
            <v>4.2435613794310463E-3</v>
          </cell>
        </row>
        <row r="567">
          <cell r="A567" t="str">
            <v>SCOM-SHLTHCHPWOD</v>
          </cell>
          <cell r="B567" t="str">
            <v>VAR_fin</v>
          </cell>
          <cell r="C567" t="str">
            <v>SCOMLTHCHPC</v>
          </cell>
          <cell r="G567">
            <v>7.9440532137340302E-4</v>
          </cell>
          <cell r="H567">
            <v>8.3266642805272708E-4</v>
          </cell>
          <cell r="I567">
            <v>8.2883847151763116E-3</v>
          </cell>
          <cell r="J567">
            <v>7.1689514057321621E-3</v>
          </cell>
          <cell r="K567">
            <v>3.3142874893300591E-3</v>
          </cell>
          <cell r="L567">
            <v>4.2660671421186928E-3</v>
          </cell>
          <cell r="M567">
            <v>2.7350630462808362E-3</v>
          </cell>
          <cell r="N567">
            <v>2.2500723020361453E-3</v>
          </cell>
          <cell r="O567">
            <v>4.201125765636738E-3</v>
          </cell>
        </row>
        <row r="568">
          <cell r="A568" t="str">
            <v>SCOM-SHLTHCHPWOD</v>
          </cell>
          <cell r="B568" t="str">
            <v>VAR_ncap</v>
          </cell>
          <cell r="C568" t="str">
            <v>-</v>
          </cell>
          <cell r="G568">
            <v>9.8069350903777402E-5</v>
          </cell>
          <cell r="H568">
            <v>8.0592899389184307E-5</v>
          </cell>
          <cell r="I568">
            <v>5.8784359652503E-4</v>
          </cell>
          <cell r="J568">
            <v>3.83783512634926E-4</v>
          </cell>
          <cell r="K568">
            <v>2.8258486567368698E-4</v>
          </cell>
          <cell r="L568">
            <v>2.2600926582193301E-4</v>
          </cell>
          <cell r="M568">
            <v>2.1725016027154001E-4</v>
          </cell>
          <cell r="N568">
            <v>1.6838803906452001E-4</v>
          </cell>
          <cell r="O568">
            <v>4.04351522913643E-4</v>
          </cell>
        </row>
        <row r="569">
          <cell r="A569" t="str">
            <v>SCOM-SHLTHCHPWOD</v>
          </cell>
          <cell r="B569" t="str">
            <v>VAR_cap</v>
          </cell>
          <cell r="C569" t="str">
            <v>-</v>
          </cell>
          <cell r="G569">
            <v>9.8069350903777402E-5</v>
          </cell>
          <cell r="H569">
            <v>1.063547599614289E-4</v>
          </cell>
          <cell r="I569">
            <v>6.4031834377408306E-4</v>
          </cell>
          <cell r="J569">
            <v>5.5497760201121714E-4</v>
          </cell>
          <cell r="K569">
            <v>4.2264752944966494E-4</v>
          </cell>
          <cell r="L569">
            <v>3.4480957031058203E-4</v>
          </cell>
          <cell r="M569">
            <v>3.2920631287430705E-4</v>
          </cell>
          <cell r="N569">
            <v>2.6330223283588499E-4</v>
          </cell>
          <cell r="O569">
            <v>5.1137540562533703E-4</v>
          </cell>
        </row>
        <row r="570">
          <cell r="A570" t="str">
            <v>SCOM-SHSTG-NGAHP</v>
          </cell>
          <cell r="B570" t="str">
            <v>VAR_fout</v>
          </cell>
          <cell r="C570" t="str">
            <v>SCOM-SHANGAH</v>
          </cell>
          <cell r="D570">
            <v>1.4942381601357122E-5</v>
          </cell>
          <cell r="E570">
            <v>3.0553141261930285E-5</v>
          </cell>
          <cell r="F570">
            <v>1.5649414581716237E-3</v>
          </cell>
          <cell r="G570">
            <v>1.2101142284391163E-3</v>
          </cell>
          <cell r="H570">
            <v>1.160592398558029E-2</v>
          </cell>
          <cell r="I570">
            <v>7.687425499110897E-3</v>
          </cell>
          <cell r="J570">
            <v>0.27554301604223352</v>
          </cell>
          <cell r="K570">
            <v>4.3332915585334246E-2</v>
          </cell>
          <cell r="L570">
            <v>7.34627121148767E-3</v>
          </cell>
          <cell r="M570">
            <v>4.2506975081018104E-2</v>
          </cell>
          <cell r="N570">
            <v>2.5937339610611711E-2</v>
          </cell>
          <cell r="O570">
            <v>0.80050475091908624</v>
          </cell>
        </row>
        <row r="571">
          <cell r="A571" t="str">
            <v>SCOM-SHSTG-NGAHP</v>
          </cell>
          <cell r="B571" t="str">
            <v>VAR_fin</v>
          </cell>
          <cell r="C571" t="str">
            <v>SCOM-SHANGAH</v>
          </cell>
          <cell r="D571">
            <v>1.4942381601357122E-5</v>
          </cell>
          <cell r="E571">
            <v>3.0553141261930285E-5</v>
          </cell>
          <cell r="F571">
            <v>2.0178530228020753E-3</v>
          </cell>
          <cell r="G571">
            <v>1.5111381613603007E-3</v>
          </cell>
          <cell r="H571">
            <v>1.4069067343651358E-2</v>
          </cell>
          <cell r="I571">
            <v>9.0501078897565687E-3</v>
          </cell>
          <cell r="J571">
            <v>0.31491578406079473</v>
          </cell>
          <cell r="K571">
            <v>4.8153351407819574E-2</v>
          </cell>
          <cell r="L571">
            <v>8.1750220276448175E-3</v>
          </cell>
          <cell r="M571">
            <v>4.724955489135834E-2</v>
          </cell>
          <cell r="N571">
            <v>2.8847966843183456E-2</v>
          </cell>
          <cell r="O571">
            <v>0.88948390187944382</v>
          </cell>
        </row>
        <row r="572">
          <cell r="A572" t="str">
            <v>SCOM-SHSTG-NGAHP</v>
          </cell>
          <cell r="B572" t="str">
            <v>VAR_ncap</v>
          </cell>
          <cell r="C572" t="str">
            <v>-</v>
          </cell>
          <cell r="D572">
            <v>7.2319703222703405E-4</v>
          </cell>
          <cell r="E572">
            <v>5.0279258926159997E-6</v>
          </cell>
          <cell r="F572">
            <v>2.51246108841152E-5</v>
          </cell>
          <cell r="G572">
            <v>1.5478837360247699E-5</v>
          </cell>
          <cell r="H572">
            <v>7.3499642408723096E-3</v>
          </cell>
          <cell r="I572">
            <v>7.9374295370452097E-3</v>
          </cell>
          <cell r="J572">
            <v>8.4603173397368604E-3</v>
          </cell>
          <cell r="K572">
            <v>3.05092907658562E-4</v>
          </cell>
          <cell r="L572">
            <v>2.3689238080922902E-2</v>
          </cell>
          <cell r="M572">
            <v>2.56501808592659E-2</v>
          </cell>
          <cell r="N572">
            <v>2.63192940160073E-2</v>
          </cell>
          <cell r="O572">
            <v>3.0405853672070601E-2</v>
          </cell>
        </row>
        <row r="573">
          <cell r="A573" t="str">
            <v>SCOM-SHSTG-NGAHP</v>
          </cell>
          <cell r="B573" t="str">
            <v>VAR_cap</v>
          </cell>
          <cell r="C573" t="str">
            <v>-</v>
          </cell>
          <cell r="D573">
            <v>7.2319703222703405E-4</v>
          </cell>
          <cell r="E573">
            <v>7.3746473705529848E-6</v>
          </cell>
          <cell r="F573">
            <v>2.8987422616903995E-5</v>
          </cell>
          <cell r="G573">
            <v>2.9835921162436017E-5</v>
          </cell>
          <cell r="H573">
            <v>7.368217700067679E-3</v>
          </cell>
          <cell r="I573">
            <v>1.5281379828222247E-2</v>
          </cell>
          <cell r="J573">
            <v>2.3703303196230319E-2</v>
          </cell>
          <cell r="K573">
            <v>1.6386368600805241E-2</v>
          </cell>
          <cell r="L573">
            <v>3.2319382520291151E-2</v>
          </cell>
          <cell r="M573">
            <v>4.9469181508101083E-2</v>
          </cell>
          <cell r="N573">
            <v>6.7964724754643824E-2</v>
          </cell>
          <cell r="O573">
            <v>8.2115661149782013E-2</v>
          </cell>
        </row>
        <row r="574">
          <cell r="A574" t="str">
            <v>ITOT-SWHCONBR2</v>
          </cell>
          <cell r="B574" t="str">
            <v>VAR_fout</v>
          </cell>
          <cell r="C574" t="str">
            <v>ITOT-ELS</v>
          </cell>
          <cell r="G574">
            <v>3.8871500666175311E-4</v>
          </cell>
          <cell r="H574">
            <v>0.86058609194979396</v>
          </cell>
          <cell r="I574">
            <v>0.88008997174834558</v>
          </cell>
          <cell r="J574">
            <v>0.88001381162062375</v>
          </cell>
          <cell r="K574">
            <v>0.84162718072657361</v>
          </cell>
          <cell r="L574">
            <v>0.88007724149475808</v>
          </cell>
          <cell r="M574">
            <v>0.88007298172539938</v>
          </cell>
          <cell r="N574">
            <v>0.88008608455253368</v>
          </cell>
          <cell r="O574">
            <v>0.87987787081938584</v>
          </cell>
        </row>
        <row r="575">
          <cell r="A575" t="str">
            <v>ITOT-SWHCONBR2</v>
          </cell>
          <cell r="B575" t="str">
            <v>VAR_fout</v>
          </cell>
          <cell r="C575" t="str">
            <v>ITOT-SWHC</v>
          </cell>
          <cell r="G575">
            <v>6.008790113785226E-4</v>
          </cell>
          <cell r="H575">
            <v>1.3303014066211962</v>
          </cell>
          <cell r="I575">
            <v>1.3604506723056999</v>
          </cell>
          <cell r="J575">
            <v>1.3603329433231102</v>
          </cell>
          <cell r="K575">
            <v>1.3009945580627751</v>
          </cell>
          <cell r="L575">
            <v>1.3604309937698598</v>
          </cell>
          <cell r="M575">
            <v>1.3604244089816302</v>
          </cell>
          <cell r="N575">
            <v>1.3604446634448757</v>
          </cell>
          <cell r="O575">
            <v>1.3601228048595724</v>
          </cell>
        </row>
        <row r="576">
          <cell r="A576" t="str">
            <v>ITOT-SWHCONBR2</v>
          </cell>
          <cell r="B576" t="str">
            <v>VAR_fin</v>
          </cell>
          <cell r="C576" t="str">
            <v>CON</v>
          </cell>
          <cell r="G576">
            <v>9.8959401804027576E-4</v>
          </cell>
          <cell r="H576">
            <v>2.1908874985709912</v>
          </cell>
          <cell r="I576">
            <v>2.2405406440540463</v>
          </cell>
          <cell r="J576">
            <v>2.2403467549437335</v>
          </cell>
          <cell r="K576">
            <v>2.1426217387893507</v>
          </cell>
          <cell r="L576">
            <v>2.2405082352646177</v>
          </cell>
          <cell r="M576">
            <v>2.2404973907070289</v>
          </cell>
          <cell r="N576">
            <v>2.2405307479974099</v>
          </cell>
          <cell r="O576">
            <v>2.2400006756789588</v>
          </cell>
        </row>
        <row r="577">
          <cell r="A577" t="str">
            <v>ITOT-SWHCONBR2</v>
          </cell>
          <cell r="B577" t="str">
            <v>VAR_ncap</v>
          </cell>
          <cell r="C577" t="str">
            <v>-</v>
          </cell>
          <cell r="G577">
            <v>5.3748345823807099E-5</v>
          </cell>
          <cell r="H577">
            <v>0.119101541040565</v>
          </cell>
          <cell r="I577">
            <v>2.7101963341536698E-3</v>
          </cell>
          <cell r="J577">
            <v>4.4522617756707603E-5</v>
          </cell>
          <cell r="K577">
            <v>0.113800948947122</v>
          </cell>
          <cell r="L577">
            <v>7.5993331646817402E-3</v>
          </cell>
          <cell r="M577">
            <v>4.5422779042465501E-4</v>
          </cell>
          <cell r="N577">
            <v>9.6054073331767006E-2</v>
          </cell>
          <cell r="O577">
            <v>2.5325537963221501E-2</v>
          </cell>
        </row>
        <row r="578">
          <cell r="A578" t="str">
            <v>ITOT-SWHCONBR2</v>
          </cell>
          <cell r="B578" t="str">
            <v>VAR_cap</v>
          </cell>
          <cell r="C578" t="str">
            <v>-</v>
          </cell>
          <cell r="G578">
            <v>5.3748345823807099E-5</v>
          </cell>
          <cell r="H578">
            <v>0.119155289386389</v>
          </cell>
          <cell r="I578">
            <v>0.121855260266552</v>
          </cell>
          <cell r="J578">
            <v>0.121856259992475</v>
          </cell>
          <cell r="K578">
            <v>0.116555667899033</v>
          </cell>
          <cell r="L578">
            <v>0.12185533840490299</v>
          </cell>
          <cell r="M578">
            <v>0.121854509902229</v>
          </cell>
          <cell r="N578">
            <v>0.121855184582632</v>
          </cell>
          <cell r="O578">
            <v>0.121833839085413</v>
          </cell>
        </row>
        <row r="579">
          <cell r="A579" t="str">
            <v>RHES-SHCONBR1</v>
          </cell>
          <cell r="B579" t="str">
            <v>VAR_fout</v>
          </cell>
          <cell r="C579" t="str">
            <v>RHES-SHCON</v>
          </cell>
          <cell r="D579">
            <v>0.56343686354790257</v>
          </cell>
          <cell r="E579">
            <v>1.1276520138128641</v>
          </cell>
          <cell r="F579">
            <v>1.1274557198122472</v>
          </cell>
          <cell r="G579">
            <v>2.4025476862527664</v>
          </cell>
          <cell r="H579">
            <v>4.0704209667192544</v>
          </cell>
          <cell r="I579">
            <v>6.1313283320871284</v>
          </cell>
          <cell r="J579">
            <v>6.1312806457147637</v>
          </cell>
          <cell r="K579">
            <v>6.4141782393963807</v>
          </cell>
          <cell r="L579">
            <v>6.4142220971297013</v>
          </cell>
          <cell r="M579">
            <v>6.4142135386802606</v>
          </cell>
          <cell r="N579">
            <v>6.4141765281883227</v>
          </cell>
          <cell r="O579">
            <v>4.376240069529719</v>
          </cell>
        </row>
        <row r="580">
          <cell r="A580" t="str">
            <v>RHES-SHCONBR1</v>
          </cell>
          <cell r="B580" t="str">
            <v>VAR_fin</v>
          </cell>
          <cell r="C580" t="str">
            <v>CON</v>
          </cell>
          <cell r="D580">
            <v>0.56343686354790257</v>
          </cell>
          <cell r="E580">
            <v>1.1276520138128641</v>
          </cell>
          <cell r="F580">
            <v>1.1274557198122472</v>
          </cell>
          <cell r="G580">
            <v>2.4025476862527664</v>
          </cell>
          <cell r="H580">
            <v>4.0704209667192544</v>
          </cell>
          <cell r="I580">
            <v>6.1313283320871284</v>
          </cell>
          <cell r="J580">
            <v>6.1312806457147637</v>
          </cell>
          <cell r="K580">
            <v>6.4141782393963807</v>
          </cell>
          <cell r="L580">
            <v>6.4142220971297013</v>
          </cell>
          <cell r="M580">
            <v>6.4142135386802606</v>
          </cell>
          <cell r="N580">
            <v>6.4141765281883227</v>
          </cell>
          <cell r="O580">
            <v>4.376240069529719</v>
          </cell>
        </row>
        <row r="581">
          <cell r="A581" t="str">
            <v>RHES-SHCONBR1</v>
          </cell>
          <cell r="B581" t="str">
            <v>VAR_ncap</v>
          </cell>
          <cell r="C581" t="str">
            <v>-</v>
          </cell>
          <cell r="D581">
            <v>4.5549611381636899E-2</v>
          </cell>
          <cell r="E581">
            <v>4.5549611755634198E-2</v>
          </cell>
          <cell r="F581">
            <v>1.7745615615033401E-7</v>
          </cell>
          <cell r="G581">
            <v>0.10300483200199199</v>
          </cell>
          <cell r="H581">
            <v>0.13474723788945001</v>
          </cell>
          <cell r="I581">
            <v>0.16649335980983801</v>
          </cell>
          <cell r="J581">
            <v>5.6654837751292897E-8</v>
          </cell>
          <cell r="K581">
            <v>6.7644719834189501E-2</v>
          </cell>
          <cell r="L581">
            <v>7.3970761912224597E-2</v>
          </cell>
          <cell r="M581">
            <v>7.53635216778068E-2</v>
          </cell>
          <cell r="N581">
            <v>0.13691816527859499</v>
          </cell>
          <cell r="O581">
            <v>2.5004503306601801E-8</v>
          </cell>
        </row>
        <row r="582">
          <cell r="A582" t="str">
            <v>RHES-SHCONBR1</v>
          </cell>
          <cell r="B582" t="str">
            <v>VAR_cap</v>
          </cell>
          <cell r="C582" t="str">
            <v>-</v>
          </cell>
          <cell r="D582">
            <v>4.5549611381636899E-2</v>
          </cell>
          <cell r="E582">
            <v>9.1099223137271104E-2</v>
          </cell>
          <cell r="F582">
            <v>9.1099400593427193E-2</v>
          </cell>
          <cell r="G582">
            <v>0.19410423259541901</v>
          </cell>
          <cell r="H582">
            <v>0.32885147048487001</v>
          </cell>
          <cell r="I582">
            <v>0.49534483029470699</v>
          </cell>
          <cell r="J582">
            <v>0.49534488694954498</v>
          </cell>
          <cell r="K582">
            <v>0.51818974517962202</v>
          </cell>
          <cell r="L582">
            <v>0.51822449138999904</v>
          </cell>
          <cell r="M582">
            <v>0.518219657778346</v>
          </cell>
          <cell r="N582">
            <v>0.51819274465350096</v>
          </cell>
          <cell r="O582">
            <v>0.35389725036215702</v>
          </cell>
        </row>
        <row r="583">
          <cell r="A583" t="str">
            <v>ITOT-SWHCONBR3</v>
          </cell>
          <cell r="B583" t="str">
            <v>VAR_fout</v>
          </cell>
          <cell r="C583" t="str">
            <v>ITOT-ELS</v>
          </cell>
          <cell r="G583">
            <v>1.7077384931839313E-4</v>
          </cell>
          <cell r="H583">
            <v>1.7750530041407428E-3</v>
          </cell>
          <cell r="I583">
            <v>1.7688275981230168E-3</v>
          </cell>
          <cell r="J583">
            <v>3.0573895857406129E-3</v>
          </cell>
          <cell r="K583">
            <v>1.4981905328000154E-3</v>
          </cell>
          <cell r="L583">
            <v>1.3200868323397412E-3</v>
          </cell>
          <cell r="M583">
            <v>8.8271488195926263E-3</v>
          </cell>
          <cell r="N583">
            <v>8.8374993555897785E-3</v>
          </cell>
          <cell r="O583">
            <v>8.8666253256878911E-3</v>
          </cell>
        </row>
        <row r="584">
          <cell r="A584" t="str">
            <v>ITOT-SWHCONBR3</v>
          </cell>
          <cell r="B584" t="str">
            <v>VAR_fout</v>
          </cell>
          <cell r="C584" t="str">
            <v>ITOT-SWHC</v>
          </cell>
          <cell r="G584">
            <v>3.3891039139093864E-4</v>
          </cell>
          <cell r="H584">
            <v>3.5226933794260235E-3</v>
          </cell>
          <cell r="I584">
            <v>3.5103387080377725E-3</v>
          </cell>
          <cell r="J584">
            <v>6.0675630681958819E-3</v>
          </cell>
          <cell r="K584">
            <v>2.9732440995857115E-3</v>
          </cell>
          <cell r="L584">
            <v>2.619787202806232E-3</v>
          </cell>
          <cell r="M584">
            <v>1.7517977566557014E-2</v>
          </cell>
          <cell r="N584">
            <v>1.753851879239398E-2</v>
          </cell>
          <cell r="O584">
            <v>1.7596320932270745E-2</v>
          </cell>
        </row>
        <row r="585">
          <cell r="A585" t="str">
            <v>ITOT-SWHCONBR3</v>
          </cell>
          <cell r="B585" t="str">
            <v>VAR_fin</v>
          </cell>
          <cell r="C585" t="str">
            <v>CON</v>
          </cell>
          <cell r="G585">
            <v>5.0968424070933099E-4</v>
          </cell>
          <cell r="H585">
            <v>5.2977463835667633E-3</v>
          </cell>
          <cell r="I585">
            <v>5.2791663061607878E-3</v>
          </cell>
          <cell r="J585">
            <v>9.1249526539364904E-3</v>
          </cell>
          <cell r="K585">
            <v>4.4714346323857278E-3</v>
          </cell>
          <cell r="L585">
            <v>3.9398740351459759E-3</v>
          </cell>
          <cell r="M585">
            <v>2.6345126386149661E-2</v>
          </cell>
          <cell r="N585">
            <v>2.6376018147983776E-2</v>
          </cell>
          <cell r="O585">
            <v>2.6462946257958614E-2</v>
          </cell>
        </row>
        <row r="586">
          <cell r="A586" t="str">
            <v>ITOT-SWHCONBR3</v>
          </cell>
          <cell r="B586" t="str">
            <v>VAR_ncap</v>
          </cell>
          <cell r="C586" t="str">
            <v>-</v>
          </cell>
          <cell r="G586">
            <v>2.7633703030965801E-5</v>
          </cell>
          <cell r="H586">
            <v>2.6043118585912701E-4</v>
          </cell>
          <cell r="I586">
            <v>4.2151055020363296E-6</v>
          </cell>
          <cell r="J586">
            <v>2.3165056431573701E-4</v>
          </cell>
          <cell r="K586">
            <v>6.7969062213853599E-6</v>
          </cell>
          <cell r="L586">
            <v>5.8436977177944997E-6</v>
          </cell>
          <cell r="M586">
            <v>1.4198279441248701E-3</v>
          </cell>
          <cell r="N586">
            <v>9.7245002043155292E-6</v>
          </cell>
          <cell r="O586">
            <v>9.64085936542532E-6</v>
          </cell>
        </row>
        <row r="587">
          <cell r="A587" t="str">
            <v>ITOT-SWHCONBR3</v>
          </cell>
          <cell r="B587" t="str">
            <v>VAR_cap</v>
          </cell>
          <cell r="C587" t="str">
            <v>-</v>
          </cell>
          <cell r="G587">
            <v>2.7633703030965801E-5</v>
          </cell>
          <cell r="H587">
            <v>2.88064888890092E-4</v>
          </cell>
          <cell r="I587">
            <v>2.8702276917726502E-4</v>
          </cell>
          <cell r="J587">
            <v>4.9629685567690002E-4</v>
          </cell>
          <cell r="K587">
            <v>2.4266257603915899E-4</v>
          </cell>
          <cell r="L587">
            <v>2.14246195620758E-4</v>
          </cell>
          <cell r="M587">
            <v>1.43246854806405E-3</v>
          </cell>
          <cell r="N587">
            <v>1.4347474909703699E-3</v>
          </cell>
          <cell r="O587">
            <v>1.4391933036946099E-3</v>
          </cell>
        </row>
        <row r="588">
          <cell r="A588" t="str">
            <v>ITOT-ELCSPECADV</v>
          </cell>
          <cell r="B588" t="str">
            <v>VAR_fout</v>
          </cell>
          <cell r="C588" t="str">
            <v>ITOT-ELS</v>
          </cell>
          <cell r="G588">
            <v>4.8805099851894262E-4</v>
          </cell>
          <cell r="H588">
            <v>1.984476771461045E-3</v>
          </cell>
          <cell r="I588">
            <v>9.1863039530714202E-3</v>
          </cell>
          <cell r="J588">
            <v>0.30374320011944389</v>
          </cell>
          <cell r="K588">
            <v>0.30393993106615502</v>
          </cell>
          <cell r="L588">
            <v>0.30338712999415923</v>
          </cell>
          <cell r="M588">
            <v>0.30099511854712835</v>
          </cell>
          <cell r="N588">
            <v>0.217384731392046</v>
          </cell>
          <cell r="O588">
            <v>4.2662798144247355E-3</v>
          </cell>
        </row>
        <row r="589">
          <cell r="A589" t="str">
            <v>ITOT-ELCSPECADV</v>
          </cell>
          <cell r="B589" t="str">
            <v>VAR_fin</v>
          </cell>
          <cell r="C589" t="str">
            <v>ITOT_ELC</v>
          </cell>
          <cell r="G589">
            <v>4.2022641956615363E-4</v>
          </cell>
          <cell r="H589">
            <v>1.6660914311774199E-3</v>
          </cell>
          <cell r="I589">
            <v>7.5248585539753419E-3</v>
          </cell>
          <cell r="J589">
            <v>0.235200714599025</v>
          </cell>
          <cell r="K589">
            <v>0.22314916482131883</v>
          </cell>
          <cell r="L589">
            <v>0.22274330469923656</v>
          </cell>
          <cell r="M589">
            <v>0.22098711769618148</v>
          </cell>
          <cell r="N589">
            <v>0.15960134321568747</v>
          </cell>
          <cell r="O589">
            <v>3.1322530545541114E-3</v>
          </cell>
        </row>
        <row r="590">
          <cell r="A590" t="str">
            <v>ITOT-ELCSPECADV</v>
          </cell>
          <cell r="B590" t="str">
            <v>VAR_ncap</v>
          </cell>
          <cell r="C590" t="str">
            <v>-</v>
          </cell>
          <cell r="G590">
            <v>3.0338726588571702E-5</v>
          </cell>
          <cell r="H590">
            <v>9.65608785738763E-5</v>
          </cell>
          <cell r="I590">
            <v>3.76719818644826E-4</v>
          </cell>
          <cell r="J590">
            <v>1.60225585624196E-2</v>
          </cell>
          <cell r="K590">
            <v>5.0730368934469296E-6</v>
          </cell>
          <cell r="L590">
            <v>7.4437856073260204E-7</v>
          </cell>
          <cell r="M590">
            <v>1.1698022330418499E-6</v>
          </cell>
          <cell r="N590">
            <v>8.7685852392153195E-7</v>
          </cell>
          <cell r="O590">
            <v>2.39692442299167E-4</v>
          </cell>
        </row>
        <row r="591">
          <cell r="A591" t="str">
            <v>ITOT-ELCSPECADV</v>
          </cell>
          <cell r="B591" t="str">
            <v>VAR_cap</v>
          </cell>
          <cell r="C591" t="str">
            <v>-</v>
          </cell>
          <cell r="G591">
            <v>3.0338726588571702E-5</v>
          </cell>
          <cell r="H591">
            <v>1.26828226052477E-4</v>
          </cell>
          <cell r="I591">
            <v>5.0338598734803067E-4</v>
          </cell>
          <cell r="J591">
            <v>1.6525701567090927E-2</v>
          </cell>
          <cell r="K591">
            <v>1.6530336768790281E-2</v>
          </cell>
          <cell r="L591">
            <v>1.6500071293290605E-2</v>
          </cell>
          <cell r="M591">
            <v>1.6400177273337861E-2</v>
          </cell>
          <cell r="N591">
            <v>1.3518139865790807E-2</v>
          </cell>
          <cell r="O591">
            <v>2.4577666116429656E-4</v>
          </cell>
        </row>
        <row r="592">
          <cell r="A592" t="str">
            <v>RHES-SHELCBR</v>
          </cell>
          <cell r="B592" t="str">
            <v>VAR_fout</v>
          </cell>
          <cell r="C592" t="str">
            <v>RHES-SHAELCB</v>
          </cell>
          <cell r="D592">
            <v>4.2799771848846717</v>
          </cell>
          <cell r="E592">
            <v>3.7843596700246516</v>
          </cell>
          <cell r="F592">
            <v>3.8678172802976949</v>
          </cell>
          <cell r="G592">
            <v>2.7598519326112747</v>
          </cell>
          <cell r="H592">
            <v>1.2391623169048247</v>
          </cell>
          <cell r="I592">
            <v>0.75713720885378355</v>
          </cell>
          <cell r="J592">
            <v>0.49048440250930453</v>
          </cell>
          <cell r="K592">
            <v>0.93480485157752691</v>
          </cell>
          <cell r="L592">
            <v>1.7256739167600663</v>
          </cell>
          <cell r="M592">
            <v>1.6252984819937981</v>
          </cell>
          <cell r="N592">
            <v>1.6259852958771168</v>
          </cell>
          <cell r="O592">
            <v>0.93974212185802919</v>
          </cell>
        </row>
        <row r="593">
          <cell r="A593" t="str">
            <v>RHES-SHELCBR</v>
          </cell>
          <cell r="B593" t="str">
            <v>VAR_fin</v>
          </cell>
          <cell r="C593" t="str">
            <v>RHES_ELC</v>
          </cell>
          <cell r="D593">
            <v>4.5052391419838669</v>
          </cell>
          <cell r="E593">
            <v>3.983536494762792</v>
          </cell>
          <cell r="F593">
            <v>4.0713866108396726</v>
          </cell>
          <cell r="G593">
            <v>2.9051072974855523</v>
          </cell>
          <cell r="H593">
            <v>1.3043813862156051</v>
          </cell>
          <cell r="I593">
            <v>0.79698653563556165</v>
          </cell>
          <cell r="J593">
            <v>0.51629937106242596</v>
          </cell>
          <cell r="K593">
            <v>0.9840051069237119</v>
          </cell>
          <cell r="L593">
            <v>1.8164988597474385</v>
          </cell>
          <cell r="M593">
            <v>1.7108405073618937</v>
          </cell>
          <cell r="N593">
            <v>1.7115634693443342</v>
          </cell>
          <cell r="O593">
            <v>0.98920223353476733</v>
          </cell>
        </row>
        <row r="594">
          <cell r="A594" t="str">
            <v>RHES-SHELCBR</v>
          </cell>
          <cell r="B594" t="str">
            <v>VAR_ncap</v>
          </cell>
          <cell r="C594" t="str">
            <v>-</v>
          </cell>
          <cell r="D594">
            <v>5.1637906916477703E-8</v>
          </cell>
          <cell r="E594">
            <v>4.8108148056746399E-7</v>
          </cell>
          <cell r="F594">
            <v>6.2646574373406299E-7</v>
          </cell>
          <cell r="G594">
            <v>5.4158643491599303E-7</v>
          </cell>
          <cell r="H594">
            <v>1.25114558556599E-2</v>
          </cell>
          <cell r="I594">
            <v>5.9788188144573602E-2</v>
          </cell>
          <cell r="J594">
            <v>1.65489539347242E-3</v>
          </cell>
          <cell r="K594">
            <v>7.9368341991150296E-2</v>
          </cell>
          <cell r="L594">
            <v>7.4261509916102406E-2</v>
          </cell>
          <cell r="M594">
            <v>3.4867195181633701E-6</v>
          </cell>
          <cell r="N594">
            <v>9.0526554229374598E-2</v>
          </cell>
          <cell r="O594">
            <v>4.3172759581638801E-6</v>
          </cell>
        </row>
        <row r="595">
          <cell r="A595" t="str">
            <v>RHES-SHELCBR</v>
          </cell>
          <cell r="B595" t="str">
            <v>VAR_cap</v>
          </cell>
          <cell r="C595" t="str">
            <v>-</v>
          </cell>
          <cell r="D595">
            <v>0.34576935151423988</v>
          </cell>
          <cell r="E595">
            <v>0.34576933897776174</v>
          </cell>
          <cell r="F595">
            <v>0.34576920134602845</v>
          </cell>
          <cell r="G595">
            <v>0.34576827044191061</v>
          </cell>
          <cell r="H595">
            <v>0.10218142083751346</v>
          </cell>
          <cell r="I595">
            <v>7.229984581725285E-2</v>
          </cell>
          <cell r="J595">
            <v>7.3952934617303595E-2</v>
          </cell>
          <cell r="K595">
            <v>0.14081061874854289</v>
          </cell>
          <cell r="L595">
            <v>0.16425135593042411</v>
          </cell>
          <cell r="M595">
            <v>0.15363189561968787</v>
          </cell>
          <cell r="N595">
            <v>0.15530619873473028</v>
          </cell>
          <cell r="O595">
            <v>9.0533370421197745E-2</v>
          </cell>
        </row>
        <row r="596">
          <cell r="A596" t="str">
            <v>RHSA-WHELCBR</v>
          </cell>
          <cell r="B596" t="str">
            <v>VAR_fout</v>
          </cell>
          <cell r="C596" t="str">
            <v>RHSA-WHAELCB</v>
          </cell>
          <cell r="D596">
            <v>6.6446966368467919</v>
          </cell>
          <cell r="E596">
            <v>6.9687086068308783</v>
          </cell>
          <cell r="F596">
            <v>6.9167077201910141</v>
          </cell>
          <cell r="G596">
            <v>4.393141814182691</v>
          </cell>
          <cell r="H596">
            <v>2.1822746780437066</v>
          </cell>
          <cell r="I596">
            <v>1.3581520093062389</v>
          </cell>
          <cell r="J596">
            <v>0.89707910873396524</v>
          </cell>
          <cell r="K596">
            <v>0.99521121799133971</v>
          </cell>
          <cell r="L596">
            <v>2.7713242407618734</v>
          </cell>
          <cell r="M596">
            <v>2.727204885728026</v>
          </cell>
          <cell r="N596">
            <v>2.6421155243720023</v>
          </cell>
          <cell r="O596">
            <v>0.95295184286357015</v>
          </cell>
        </row>
        <row r="597">
          <cell r="A597" t="str">
            <v>RHSA-WHELCBR</v>
          </cell>
          <cell r="B597" t="str">
            <v>VAR_fin</v>
          </cell>
          <cell r="C597" t="str">
            <v>RHSA_ELC</v>
          </cell>
          <cell r="D597">
            <v>8.4110084010718911</v>
          </cell>
          <cell r="E597">
            <v>8.798874503574341</v>
          </cell>
          <cell r="F597">
            <v>8.7002612832591346</v>
          </cell>
          <cell r="G597">
            <v>5.4914272677283593</v>
          </cell>
          <cell r="H597">
            <v>2.7109002211723068</v>
          </cell>
          <cell r="I597">
            <v>1.6767308756867136</v>
          </cell>
          <cell r="J597">
            <v>1.1007105628637617</v>
          </cell>
          <cell r="K597">
            <v>1.2136722170626106</v>
          </cell>
          <cell r="L597">
            <v>3.3796637082461878</v>
          </cell>
          <cell r="M597">
            <v>3.3258596167414973</v>
          </cell>
          <cell r="N597">
            <v>3.2220921028926854</v>
          </cell>
          <cell r="O597">
            <v>1.1621363937360607</v>
          </cell>
        </row>
        <row r="598">
          <cell r="A598" t="str">
            <v>RHSA-WHELCBR</v>
          </cell>
          <cell r="B598" t="str">
            <v>VAR_ncap</v>
          </cell>
          <cell r="C598" t="str">
            <v>-</v>
          </cell>
          <cell r="D598">
            <v>4.0069721251041303E-6</v>
          </cell>
          <cell r="E598">
            <v>3.5243988502018E-2</v>
          </cell>
          <cell r="F598">
            <v>1.0022633463097099E-6</v>
          </cell>
          <cell r="G598">
            <v>7.3038870089643605E-7</v>
          </cell>
          <cell r="H598">
            <v>4.8748770287953699E-2</v>
          </cell>
          <cell r="I598">
            <v>6.2034568583136003E-2</v>
          </cell>
          <cell r="J598">
            <v>1.8609269617315399E-6</v>
          </cell>
          <cell r="K598">
            <v>6.0849331790415399E-2</v>
          </cell>
          <cell r="L598">
            <v>0.13862761840569299</v>
          </cell>
          <cell r="M598">
            <v>1.7491923253560201E-5</v>
          </cell>
          <cell r="N598">
            <v>7.7872517558937704E-2</v>
          </cell>
          <cell r="O598">
            <v>1.1064292580077E-5</v>
          </cell>
        </row>
        <row r="599">
          <cell r="A599" t="str">
            <v>RHSA-WHELCBR</v>
          </cell>
          <cell r="B599" t="str">
            <v>VAR_cap</v>
          </cell>
          <cell r="C599" t="str">
            <v>-</v>
          </cell>
          <cell r="D599">
            <v>0.4375725957458021</v>
          </cell>
          <cell r="E599">
            <v>0.47281640859408691</v>
          </cell>
          <cell r="F599">
            <v>0.47281650058838381</v>
          </cell>
          <cell r="G599">
            <v>0.47281364791855068</v>
          </cell>
          <cell r="H599">
            <v>0.18028214815922444</v>
          </cell>
          <cell r="I599">
            <v>0.1107835726694026</v>
          </cell>
          <cell r="J599">
            <v>0.11077908193227377</v>
          </cell>
          <cell r="K599">
            <v>0.12288423306583837</v>
          </cell>
          <cell r="L599">
            <v>0.20900906483400344</v>
          </cell>
          <cell r="M599">
            <v>0.19949231498179096</v>
          </cell>
          <cell r="N599">
            <v>0.18334616566563294</v>
          </cell>
          <cell r="O599">
            <v>7.7899293229714714E-2</v>
          </cell>
        </row>
        <row r="600">
          <cell r="A600" t="str">
            <v>ITOT-SWHLTHDH</v>
          </cell>
          <cell r="B600" t="str">
            <v>VAR_fout</v>
          </cell>
          <cell r="C600" t="str">
            <v>ITOT-SWH</v>
          </cell>
          <cell r="D600">
            <v>6.5822744724615605</v>
          </cell>
          <cell r="E600">
            <v>7.0678489068576793</v>
          </cell>
          <cell r="F600">
            <v>6.7349936490311553</v>
          </cell>
          <cell r="G600">
            <v>7.2568637135753855</v>
          </cell>
          <cell r="H600">
            <v>7.5133126123995879</v>
          </cell>
          <cell r="I600">
            <v>6.7315181264145538</v>
          </cell>
          <cell r="J600">
            <v>7.5479146019083494</v>
          </cell>
          <cell r="K600">
            <v>6.9320888255946729</v>
          </cell>
          <cell r="L600">
            <v>8.1340725981703663</v>
          </cell>
          <cell r="M600">
            <v>7.5997789889559826</v>
          </cell>
          <cell r="N600">
            <v>6.8396982647267146</v>
          </cell>
          <cell r="O600">
            <v>6.8187589009122718</v>
          </cell>
        </row>
        <row r="601">
          <cell r="A601" t="str">
            <v>ITOT-SWHLTHDH</v>
          </cell>
          <cell r="B601" t="str">
            <v>VAR_fin</v>
          </cell>
          <cell r="C601" t="str">
            <v>ITOT_LTH_DH</v>
          </cell>
          <cell r="D601">
            <v>7.1200037690718032</v>
          </cell>
          <cell r="E601">
            <v>7.6289064229247332</v>
          </cell>
          <cell r="F601">
            <v>7.2463971357543437</v>
          </cell>
          <cell r="G601">
            <v>7.7665283827889073</v>
          </cell>
          <cell r="H601">
            <v>7.9986122061409928</v>
          </cell>
          <cell r="I601">
            <v>7.1287515532291019</v>
          </cell>
          <cell r="J601">
            <v>7.969176088037492</v>
          </cell>
          <cell r="K601">
            <v>7.2969356058891313</v>
          </cell>
          <cell r="L601">
            <v>8.5621816822846011</v>
          </cell>
          <cell r="M601">
            <v>7.9997673567957754</v>
          </cell>
          <cell r="N601">
            <v>7.1996823839228616</v>
          </cell>
          <cell r="O601">
            <v>7.1776409483287065</v>
          </cell>
        </row>
        <row r="602">
          <cell r="A602" t="str">
            <v>ITOT-SWHLTHDH</v>
          </cell>
          <cell r="B602" t="str">
            <v>VAR_fin</v>
          </cell>
          <cell r="C602" t="str">
            <v>ITOTLTHDHC</v>
          </cell>
          <cell r="D602">
            <v>6.5822744724615605</v>
          </cell>
          <cell r="E602">
            <v>7.0678489068576793</v>
          </cell>
          <cell r="F602">
            <v>6.7349936490311553</v>
          </cell>
          <cell r="G602">
            <v>7.2568637135753855</v>
          </cell>
          <cell r="H602">
            <v>7.5133126123995879</v>
          </cell>
          <cell r="I602">
            <v>6.7315181264145538</v>
          </cell>
          <cell r="J602">
            <v>7.5479146019083494</v>
          </cell>
          <cell r="K602">
            <v>6.9320888255946729</v>
          </cell>
          <cell r="L602">
            <v>8.1340725981703663</v>
          </cell>
          <cell r="M602">
            <v>7.5997789889559826</v>
          </cell>
          <cell r="N602">
            <v>6.8396982647267146</v>
          </cell>
          <cell r="O602">
            <v>6.8187589009122718</v>
          </cell>
        </row>
        <row r="603">
          <cell r="A603" t="str">
            <v>ITOT-SWHLTHDH</v>
          </cell>
          <cell r="B603" t="str">
            <v>VAR_ncap</v>
          </cell>
          <cell r="C603" t="str">
            <v>-</v>
          </cell>
          <cell r="E603">
            <v>2.93104160633787E-2</v>
          </cell>
          <cell r="F603">
            <v>4.8325238277572999E-2</v>
          </cell>
          <cell r="G603">
            <v>9.2633557529878605E-2</v>
          </cell>
          <cell r="H603">
            <v>0.32267402260686401</v>
          </cell>
          <cell r="I603">
            <v>0.28595203841245798</v>
          </cell>
          <cell r="J603">
            <v>0.17493791657847399</v>
          </cell>
          <cell r="K603">
            <v>0.33841030968611002</v>
          </cell>
          <cell r="L603">
            <v>0.33789406815995798</v>
          </cell>
          <cell r="M603">
            <v>0.14161174121457301</v>
          </cell>
          <cell r="N603">
            <v>0.27785078296739302</v>
          </cell>
          <cell r="O603">
            <v>0.19234825518038801</v>
          </cell>
        </row>
        <row r="604">
          <cell r="A604" t="str">
            <v>ITOT-SWHLTHDH</v>
          </cell>
          <cell r="B604" t="str">
            <v>VAR_cap</v>
          </cell>
          <cell r="C604" t="str">
            <v>-</v>
          </cell>
          <cell r="D604">
            <v>0.79547229253225304</v>
          </cell>
          <cell r="E604">
            <v>0.55246764775441481</v>
          </cell>
          <cell r="F604">
            <v>0.56489841818114372</v>
          </cell>
          <cell r="G604">
            <v>0.62257658536280602</v>
          </cell>
          <cell r="H604">
            <v>0.517418256538412</v>
          </cell>
          <cell r="I604">
            <v>0.64973243060288022</v>
          </cell>
          <cell r="J604">
            <v>0.71391453932426541</v>
          </cell>
          <cell r="K604">
            <v>0.70416445040635955</v>
          </cell>
          <cell r="L604">
            <v>0.7954515234664874</v>
          </cell>
          <cell r="M604">
            <v>0.67946074065333195</v>
          </cell>
          <cell r="N604">
            <v>0.58347487590641001</v>
          </cell>
          <cell r="O604">
            <v>0.52626612146684759</v>
          </cell>
        </row>
        <row r="605">
          <cell r="A605" t="str">
            <v>RHES-SHCONBR2</v>
          </cell>
          <cell r="B605" t="str">
            <v>VAR_fout</v>
          </cell>
          <cell r="C605" t="str">
            <v>RHES-SHCON</v>
          </cell>
          <cell r="D605">
            <v>0.41006886144931676</v>
          </cell>
          <cell r="E605">
            <v>0.8206715312749937</v>
          </cell>
          <cell r="F605">
            <v>0.82050386410467124</v>
          </cell>
          <cell r="G605">
            <v>1.7484759034754982</v>
          </cell>
          <cell r="H605">
            <v>1.9012301428458347</v>
          </cell>
          <cell r="I605">
            <v>3.4010695217796627</v>
          </cell>
          <cell r="J605">
            <v>3.4010386206339467</v>
          </cell>
          <cell r="K605">
            <v>3.7714494431777741</v>
          </cell>
          <cell r="L605">
            <v>4.6680549023657525</v>
          </cell>
          <cell r="M605">
            <v>4.6680036141759835</v>
          </cell>
          <cell r="N605">
            <v>4.6677389056383793</v>
          </cell>
          <cell r="O605">
            <v>3.372375739002468</v>
          </cell>
        </row>
        <row r="606">
          <cell r="A606" t="str">
            <v>RHES-SHCONBR2</v>
          </cell>
          <cell r="B606" t="str">
            <v>VAR_fin</v>
          </cell>
          <cell r="C606" t="str">
            <v>CON</v>
          </cell>
          <cell r="D606">
            <v>0.41006886144931676</v>
          </cell>
          <cell r="E606">
            <v>0.8206715312749937</v>
          </cell>
          <cell r="F606">
            <v>0.82050386410467124</v>
          </cell>
          <cell r="G606">
            <v>1.7484759034754982</v>
          </cell>
          <cell r="H606">
            <v>1.9012301428458347</v>
          </cell>
          <cell r="I606">
            <v>3.4010695217796627</v>
          </cell>
          <cell r="J606">
            <v>3.4010386206339467</v>
          </cell>
          <cell r="K606">
            <v>3.7714494431777741</v>
          </cell>
          <cell r="L606">
            <v>4.6680549023657525</v>
          </cell>
          <cell r="M606">
            <v>4.6680036141759835</v>
          </cell>
          <cell r="N606">
            <v>4.6677389056383793</v>
          </cell>
          <cell r="O606">
            <v>3.372375739002468</v>
          </cell>
        </row>
        <row r="607">
          <cell r="A607" t="str">
            <v>RHES-SHCONBR2</v>
          </cell>
          <cell r="B607" t="str">
            <v>VAR_ncap</v>
          </cell>
          <cell r="C607" t="str">
            <v>-</v>
          </cell>
          <cell r="D607">
            <v>3.31494874390202E-2</v>
          </cell>
          <cell r="E607">
            <v>3.3149488112368002E-2</v>
          </cell>
          <cell r="F607">
            <v>1.5171819516669201E-7</v>
          </cell>
          <cell r="G607">
            <v>7.4963176713918903E-2</v>
          </cell>
          <cell r="H607">
            <v>1.23414694055293E-2</v>
          </cell>
          <cell r="I607">
            <v>0.121168177991547</v>
          </cell>
          <cell r="J607">
            <v>5.4652146484296301E-8</v>
          </cell>
          <cell r="K607">
            <v>6.2521282872214201E-2</v>
          </cell>
          <cell r="L607">
            <v>0.12626538045289201</v>
          </cell>
          <cell r="M607">
            <v>5.4843331265447201E-2</v>
          </cell>
          <cell r="N607">
            <v>2.9086184028758101E-2</v>
          </cell>
          <cell r="O607">
            <v>2.4886561192892899E-8</v>
          </cell>
        </row>
        <row r="608">
          <cell r="A608" t="str">
            <v>RHES-SHCONBR2</v>
          </cell>
          <cell r="B608" t="str">
            <v>VAR_cap</v>
          </cell>
          <cell r="C608" t="str">
            <v>-</v>
          </cell>
          <cell r="D608">
            <v>3.31494874390202E-2</v>
          </cell>
          <cell r="E608">
            <v>6.6298975551388195E-2</v>
          </cell>
          <cell r="F608">
            <v>6.6299127269583299E-2</v>
          </cell>
          <cell r="G608">
            <v>0.14126230398350201</v>
          </cell>
          <cell r="H608">
            <v>0.153603773389031</v>
          </cell>
          <cell r="I608">
            <v>0.27477195138057797</v>
          </cell>
          <cell r="J608">
            <v>0.274772006032725</v>
          </cell>
          <cell r="K608">
            <v>0.30468944420879601</v>
          </cell>
          <cell r="L608">
            <v>0.37714672464562199</v>
          </cell>
          <cell r="M608">
            <v>0.37713969663977598</v>
          </cell>
          <cell r="N608">
            <v>0.37710148145980898</v>
          </cell>
          <cell r="O608">
            <v>0.27271625815801898</v>
          </cell>
        </row>
        <row r="609">
          <cell r="A609" t="str">
            <v>ITOT-SWHCONBR4</v>
          </cell>
          <cell r="B609" t="str">
            <v>VAR_fout</v>
          </cell>
          <cell r="C609" t="str">
            <v>ITOT-ELS</v>
          </cell>
          <cell r="H609">
            <v>2.3754611309005335E-4</v>
          </cell>
          <cell r="I609">
            <v>2.3796332739599847E-4</v>
          </cell>
          <cell r="J609">
            <v>2.3831775175106658E-4</v>
          </cell>
          <cell r="K609">
            <v>2.504232283913675E-3</v>
          </cell>
          <cell r="L609">
            <v>2.5035014938009606E-3</v>
          </cell>
          <cell r="M609">
            <v>8.0773443106412577E-3</v>
          </cell>
          <cell r="N609">
            <v>8.1249131324825138E-3</v>
          </cell>
          <cell r="O609">
            <v>7.8909755687814713E-3</v>
          </cell>
        </row>
        <row r="610">
          <cell r="A610" t="str">
            <v>ITOT-SWHCONBR4</v>
          </cell>
          <cell r="B610" t="str">
            <v>VAR_fout</v>
          </cell>
          <cell r="C610" t="str">
            <v>ITOT-SWHC</v>
          </cell>
          <cell r="H610">
            <v>2.5527984342297591E-3</v>
          </cell>
          <cell r="I610">
            <v>2.5572820438039229E-3</v>
          </cell>
          <cell r="J610">
            <v>2.5610908787576979E-3</v>
          </cell>
          <cell r="K610">
            <v>2.6911828487376447E-2</v>
          </cell>
          <cell r="L610">
            <v>2.6903975023342783E-2</v>
          </cell>
          <cell r="M610">
            <v>8.6803491081004228E-2</v>
          </cell>
          <cell r="N610">
            <v>8.7314691253193424E-2</v>
          </cell>
          <cell r="O610">
            <v>8.4800672233664623E-2</v>
          </cell>
        </row>
        <row r="611">
          <cell r="A611" t="str">
            <v>ITOT-SWHCONBR4</v>
          </cell>
          <cell r="B611" t="str">
            <v>VAR_fin</v>
          </cell>
          <cell r="C611" t="str">
            <v>CON</v>
          </cell>
          <cell r="H611">
            <v>2.7903445473198133E-3</v>
          </cell>
          <cell r="I611">
            <v>2.795245371199918E-3</v>
          </cell>
          <cell r="J611">
            <v>2.7994086305087634E-3</v>
          </cell>
          <cell r="K611">
            <v>2.9416060771290106E-2</v>
          </cell>
          <cell r="L611">
            <v>2.9407476517143784E-2</v>
          </cell>
          <cell r="M611">
            <v>9.4880835391645588E-2</v>
          </cell>
          <cell r="N611">
            <v>9.5439604385675988E-2</v>
          </cell>
          <cell r="O611">
            <v>9.2691647802446028E-2</v>
          </cell>
        </row>
        <row r="612">
          <cell r="A612" t="str">
            <v>ITOT-SWHCONBR4</v>
          </cell>
          <cell r="B612" t="str">
            <v>VAR_ncap</v>
          </cell>
          <cell r="C612" t="str">
            <v>-</v>
          </cell>
          <cell r="H612">
            <v>1.5125757243930301E-4</v>
          </cell>
          <cell r="I612">
            <v>3.2686873262583301E-7</v>
          </cell>
          <cell r="J612">
            <v>2.8767461236518903E-7</v>
          </cell>
          <cell r="K612">
            <v>1.5988704451088201E-3</v>
          </cell>
          <cell r="L612">
            <v>5.2246650298029199E-7</v>
          </cell>
          <cell r="M612">
            <v>3.5615595063577298E-3</v>
          </cell>
          <cell r="N612">
            <v>1.34673907306322E-3</v>
          </cell>
          <cell r="O612">
            <v>1.3368584362696601E-4</v>
          </cell>
        </row>
        <row r="613">
          <cell r="A613" t="str">
            <v>ITOT-SWHCONBR4</v>
          </cell>
          <cell r="B613" t="str">
            <v>VAR_cap</v>
          </cell>
          <cell r="C613" t="str">
            <v>-</v>
          </cell>
          <cell r="H613">
            <v>1.5125757243930301E-4</v>
          </cell>
          <cell r="I613">
            <v>1.51584441171928E-4</v>
          </cell>
          <cell r="J613">
            <v>1.5187211578429399E-4</v>
          </cell>
          <cell r="K613">
            <v>1.5994849884538101E-3</v>
          </cell>
          <cell r="L613">
            <v>1.5996926953668301E-3</v>
          </cell>
          <cell r="M613">
            <v>5.1609524179695304E-3</v>
          </cell>
          <cell r="N613">
            <v>5.1918504251726996E-3</v>
          </cell>
          <cell r="O613">
            <v>5.0419844230479198E-3</v>
          </cell>
        </row>
        <row r="614">
          <cell r="A614" t="str">
            <v>D-ITOT_NKEV_GAS_ELC_CHP</v>
          </cell>
          <cell r="B614" t="str">
            <v>VAR_fout</v>
          </cell>
          <cell r="C614" t="str">
            <v>ITOT_ELC</v>
          </cell>
          <cell r="D614">
            <v>0.66739076225899718</v>
          </cell>
          <cell r="E614">
            <v>0.41713852504512239</v>
          </cell>
          <cell r="F614">
            <v>5.227925739502344E-2</v>
          </cell>
          <cell r="G614">
            <v>0.4140565761073044</v>
          </cell>
          <cell r="H614">
            <v>3.5903654301807766E-2</v>
          </cell>
          <cell r="I614">
            <v>0.66401363850506112</v>
          </cell>
          <cell r="J614">
            <v>0.23656932348078438</v>
          </cell>
          <cell r="K614">
            <v>0.65845781902909084</v>
          </cell>
          <cell r="L614">
            <v>0.66231290973402879</v>
          </cell>
          <cell r="M614">
            <v>0.55546492006344617</v>
          </cell>
          <cell r="N614">
            <v>0.66076556175457435</v>
          </cell>
          <cell r="O614">
            <v>0.65789160844616235</v>
          </cell>
        </row>
        <row r="615">
          <cell r="A615" t="str">
            <v>D-ITOT_NKEV_GAS_ELC_CHP</v>
          </cell>
          <cell r="B615" t="str">
            <v>VAR_fout</v>
          </cell>
          <cell r="C615" t="str">
            <v>ELC5</v>
          </cell>
          <cell r="D615">
            <v>2.5720615927879598E-3</v>
          </cell>
          <cell r="E615">
            <v>1.5682152469048576E-3</v>
          </cell>
          <cell r="F615">
            <v>1.3101116988395458E-3</v>
          </cell>
          <cell r="G615">
            <v>2.2083055690504654E-3</v>
          </cell>
          <cell r="H615">
            <v>0.22505087251370975</v>
          </cell>
          <cell r="I615">
            <v>5.9584522198500812E-3</v>
          </cell>
          <cell r="J615">
            <v>0.43340185930592684</v>
          </cell>
          <cell r="K615">
            <v>1.1502596358178662E-2</v>
          </cell>
          <cell r="L615">
            <v>7.6593921956385714E-3</v>
          </cell>
          <cell r="M615">
            <v>8.4198754388064012E-3</v>
          </cell>
          <cell r="N615">
            <v>9.2085226055078576E-3</v>
          </cell>
          <cell r="O615">
            <v>1.2086010727071324E-2</v>
          </cell>
        </row>
        <row r="616">
          <cell r="A616" t="str">
            <v>D-ITOT_NKEV_GAS_ELC_CHP</v>
          </cell>
          <cell r="B616" t="str">
            <v>VAR_fin</v>
          </cell>
          <cell r="C616" t="str">
            <v>ITOT_NKEV_GAS_ELC_CHP</v>
          </cell>
          <cell r="D616">
            <v>0.66996282385178585</v>
          </cell>
          <cell r="E616">
            <v>0.41870674029202692</v>
          </cell>
          <cell r="F616">
            <v>5.3586524901168768E-2</v>
          </cell>
          <cell r="G616">
            <v>0.4162648816763545</v>
          </cell>
          <cell r="H616">
            <v>0.26095452681551751</v>
          </cell>
          <cell r="I616">
            <v>0.6699720907249116</v>
          </cell>
          <cell r="J616">
            <v>0.6699711827867102</v>
          </cell>
          <cell r="K616">
            <v>0.6699604153872698</v>
          </cell>
          <cell r="L616">
            <v>0.66997230192966706</v>
          </cell>
          <cell r="M616">
            <v>0.56388479550225334</v>
          </cell>
          <cell r="N616">
            <v>0.6699740843600821</v>
          </cell>
          <cell r="O616">
            <v>0.66997761917323351</v>
          </cell>
        </row>
        <row r="617">
          <cell r="A617" t="str">
            <v>SCOM-SHELCBR</v>
          </cell>
          <cell r="B617" t="str">
            <v>VAR_fout</v>
          </cell>
          <cell r="C617" t="str">
            <v>SCOM-SHAELCB</v>
          </cell>
          <cell r="D617">
            <v>2.3940358946790568</v>
          </cell>
          <cell r="E617">
            <v>0.28308393675751164</v>
          </cell>
          <cell r="F617">
            <v>2.286463914272852</v>
          </cell>
          <cell r="G617">
            <v>1.8375786566031511</v>
          </cell>
          <cell r="H617">
            <v>1.5502870100467954</v>
          </cell>
          <cell r="I617">
            <v>1.3096584424828746</v>
          </cell>
          <cell r="J617">
            <v>1.0200699868046277</v>
          </cell>
          <cell r="K617">
            <v>1.5838532540565409</v>
          </cell>
          <cell r="L617">
            <v>1.5944318330255665</v>
          </cell>
          <cell r="M617">
            <v>0.68847823852722356</v>
          </cell>
          <cell r="N617">
            <v>0.67724308917538845</v>
          </cell>
          <cell r="O617">
            <v>0.67727157903797675</v>
          </cell>
        </row>
        <row r="618">
          <cell r="A618" t="str">
            <v>SCOM-SHELCBR</v>
          </cell>
          <cell r="B618" t="str">
            <v>VAR_fin</v>
          </cell>
          <cell r="C618" t="str">
            <v>SCOM_ELC</v>
          </cell>
          <cell r="D618">
            <v>2.6236009804702016</v>
          </cell>
          <cell r="E618">
            <v>0.30938135164755376</v>
          </cell>
          <cell r="F618">
            <v>2.4886682060112677</v>
          </cell>
          <cell r="G618">
            <v>1.9865715206520553</v>
          </cell>
          <cell r="H618">
            <v>1.664737728909311</v>
          </cell>
          <cell r="I618">
            <v>1.396969005315065</v>
          </cell>
          <cell r="J618">
            <v>1.0808688601903349</v>
          </cell>
          <cell r="K618">
            <v>1.6672139516384636</v>
          </cell>
          <cell r="L618">
            <v>1.6783492979216479</v>
          </cell>
          <cell r="M618">
            <v>0.7247139352918146</v>
          </cell>
          <cell r="N618">
            <v>0.71288746228988153</v>
          </cell>
          <cell r="O618">
            <v>0.71291745161892273</v>
          </cell>
        </row>
        <row r="619">
          <cell r="A619" t="str">
            <v>SCOM-SHELCBR</v>
          </cell>
          <cell r="B619" t="str">
            <v>VAR_ncap</v>
          </cell>
          <cell r="C619" t="str">
            <v>-</v>
          </cell>
          <cell r="D619">
            <v>7.6759784061177597E-7</v>
          </cell>
          <cell r="E619">
            <v>1.0024474914740301E-6</v>
          </cell>
          <cell r="F619">
            <v>0.12824801901327099</v>
          </cell>
          <cell r="G619">
            <v>2.2753311101881199E-5</v>
          </cell>
          <cell r="H619">
            <v>4.1894282392016598E-2</v>
          </cell>
          <cell r="I619">
            <v>8.3560207457258701E-2</v>
          </cell>
          <cell r="J619">
            <v>1.2491171895045E-5</v>
          </cell>
          <cell r="K619">
            <v>0.14862658713178201</v>
          </cell>
          <cell r="L619">
            <v>9.8196290157967908E-3</v>
          </cell>
          <cell r="M619">
            <v>9.6578485852743697E-6</v>
          </cell>
          <cell r="N619">
            <v>6.2203705744875701E-2</v>
          </cell>
          <cell r="O619">
            <v>1.19028334957121E-2</v>
          </cell>
        </row>
        <row r="620">
          <cell r="A620" t="str">
            <v>SCOM-SHELCBR</v>
          </cell>
          <cell r="B620" t="str">
            <v>VAR_cap</v>
          </cell>
          <cell r="C620" t="str">
            <v>-</v>
          </cell>
          <cell r="D620">
            <v>0.18498881594928263</v>
          </cell>
          <cell r="E620">
            <v>4.8448378914049073E-2</v>
          </cell>
          <cell r="F620">
            <v>0.17669597519446595</v>
          </cell>
          <cell r="G620">
            <v>0.17671679921059499</v>
          </cell>
          <cell r="H620">
            <v>0.18272414116051319</v>
          </cell>
          <cell r="I620">
            <v>0.15240171316587578</v>
          </cell>
          <cell r="J620">
            <v>0.12055559317476083</v>
          </cell>
          <cell r="K620">
            <v>0.23219476642876546</v>
          </cell>
          <cell r="L620">
            <v>0.17129321106157752</v>
          </cell>
          <cell r="M620">
            <v>8.9710921123232507E-2</v>
          </cell>
          <cell r="N620">
            <v>8.3063149537751596E-2</v>
          </cell>
          <cell r="O620">
            <v>7.4112573053103287E-2</v>
          </cell>
        </row>
        <row r="621">
          <cell r="A621" t="str">
            <v>RHES-SHCONBR3</v>
          </cell>
          <cell r="B621" t="str">
            <v>VAR_fout</v>
          </cell>
          <cell r="C621" t="str">
            <v>RHES-SHCON</v>
          </cell>
          <cell r="D621">
            <v>0.4463890051421851</v>
          </cell>
          <cell r="E621">
            <v>1.1244451169381842</v>
          </cell>
          <cell r="F621">
            <v>1.1242472485036603</v>
          </cell>
          <cell r="G621">
            <v>1.1243594215095345</v>
          </cell>
          <cell r="H621">
            <v>1.1243584493291257</v>
          </cell>
          <cell r="I621">
            <v>1.1243721543357239</v>
          </cell>
          <cell r="J621">
            <v>1.124360354121684</v>
          </cell>
          <cell r="K621">
            <v>0.60995879034023781</v>
          </cell>
          <cell r="L621">
            <v>5.6894489652358155E-4</v>
          </cell>
          <cell r="M621">
            <v>5.8299505502306488E-4</v>
          </cell>
          <cell r="N621">
            <v>5.7656133793454326E-4</v>
          </cell>
          <cell r="O621">
            <v>5.8262406375783019E-4</v>
          </cell>
        </row>
        <row r="622">
          <cell r="A622" t="str">
            <v>RHES-SHCONBR3</v>
          </cell>
          <cell r="B622" t="str">
            <v>VAR_fin</v>
          </cell>
          <cell r="C622" t="str">
            <v>CON</v>
          </cell>
          <cell r="D622">
            <v>0.4463890051421851</v>
          </cell>
          <cell r="E622">
            <v>1.1244451169381842</v>
          </cell>
          <cell r="F622">
            <v>1.1242472485036603</v>
          </cell>
          <cell r="G622">
            <v>1.1243594215095345</v>
          </cell>
          <cell r="H622">
            <v>1.1243584493291257</v>
          </cell>
          <cell r="I622">
            <v>1.1243721543357239</v>
          </cell>
          <cell r="J622">
            <v>1.124360354121684</v>
          </cell>
          <cell r="K622">
            <v>0.60995879034023781</v>
          </cell>
          <cell r="L622">
            <v>5.6894489652358155E-4</v>
          </cell>
          <cell r="M622">
            <v>5.8299505502306488E-4</v>
          </cell>
          <cell r="N622">
            <v>5.7656133793454326E-4</v>
          </cell>
          <cell r="O622">
            <v>5.8262406375783019E-4</v>
          </cell>
        </row>
        <row r="623">
          <cell r="A623" t="str">
            <v>RHES-SHCONBR3</v>
          </cell>
          <cell r="B623" t="str">
            <v>VAR_ncap</v>
          </cell>
          <cell r="C623" t="str">
            <v>-</v>
          </cell>
          <cell r="D623">
            <v>3.6086032125906303E-2</v>
          </cell>
          <cell r="E623">
            <v>5.47541133789642E-2</v>
          </cell>
          <cell r="F623">
            <v>2.2101015260903501E-8</v>
          </cell>
          <cell r="G623">
            <v>3.0082420089174298E-8</v>
          </cell>
          <cell r="H623">
            <v>2.01116262070091E-8</v>
          </cell>
          <cell r="I623">
            <v>2.74244044375855E-8</v>
          </cell>
          <cell r="J623">
            <v>2.1560493230122299E-8</v>
          </cell>
          <cell r="K623">
            <v>2.0301349333655799E-7</v>
          </cell>
          <cell r="L623">
            <v>4.53148146598041E-5</v>
          </cell>
          <cell r="M623">
            <v>2.9106930514984499E-7</v>
          </cell>
          <cell r="N623">
            <v>3.8499580056196801E-7</v>
          </cell>
          <cell r="O623">
            <v>2.5159873768763798E-8</v>
          </cell>
        </row>
        <row r="624">
          <cell r="A624" t="str">
            <v>RHES-SHCONBR3</v>
          </cell>
          <cell r="B624" t="str">
            <v>VAR_cap</v>
          </cell>
          <cell r="C624" t="str">
            <v>-</v>
          </cell>
          <cell r="D624">
            <v>3.6086032125906303E-2</v>
          </cell>
          <cell r="E624">
            <v>9.0840145504870504E-2</v>
          </cell>
          <cell r="F624">
            <v>9.0840167605885799E-2</v>
          </cell>
          <cell r="G624">
            <v>9.0840197688305896E-2</v>
          </cell>
          <cell r="H624">
            <v>9.0840217799932094E-2</v>
          </cell>
          <cell r="I624">
            <v>9.0840245224336494E-2</v>
          </cell>
          <cell r="J624">
            <v>9.0840266784829801E-2</v>
          </cell>
          <cell r="K624">
            <v>4.9278729356234299E-2</v>
          </cell>
          <cell r="L624">
            <v>4.5615644881345802E-5</v>
          </cell>
          <cell r="M624">
            <v>4.58779939821652E-5</v>
          </cell>
          <cell r="N624">
            <v>4.6242147076748501E-5</v>
          </cell>
          <cell r="O624">
            <v>4.6240613625851402E-5</v>
          </cell>
        </row>
        <row r="625">
          <cell r="A625" t="str">
            <v>ITOT-SWHCONBR5</v>
          </cell>
          <cell r="B625" t="str">
            <v>VAR_fout</v>
          </cell>
          <cell r="C625" t="str">
            <v>ITOT-ELS</v>
          </cell>
          <cell r="H625">
            <v>1.7091169551558598E-4</v>
          </cell>
          <cell r="I625">
            <v>1.7249921789832908E-4</v>
          </cell>
          <cell r="J625">
            <v>1.7372165304381683E-4</v>
          </cell>
          <cell r="K625">
            <v>2.8044359715331335E-4</v>
          </cell>
          <cell r="L625">
            <v>2.7849705647046085E-4</v>
          </cell>
          <cell r="M625">
            <v>4.7503592884360805E-4</v>
          </cell>
          <cell r="N625">
            <v>4.0809517963063266E-4</v>
          </cell>
          <cell r="O625">
            <v>6.3506989063047024E-4</v>
          </cell>
        </row>
        <row r="626">
          <cell r="A626" t="str">
            <v>ITOT-SWHCONBR5</v>
          </cell>
          <cell r="B626" t="str">
            <v>VAR_fout</v>
          </cell>
          <cell r="C626" t="str">
            <v>ITOT-SWHC</v>
          </cell>
          <cell r="H626">
            <v>8.3830075510540219E-4</v>
          </cell>
          <cell r="I626">
            <v>8.4608735629840683E-4</v>
          </cell>
          <cell r="J626">
            <v>8.5208324968907585E-4</v>
          </cell>
          <cell r="K626">
            <v>1.3755412030106425E-3</v>
          </cell>
          <cell r="L626">
            <v>1.3659936614023509E-3</v>
          </cell>
          <cell r="M626">
            <v>2.3299925534673378E-3</v>
          </cell>
          <cell r="N626">
            <v>2.0016564472501879E-3</v>
          </cell>
          <cell r="O626">
            <v>3.1149393682755851E-3</v>
          </cell>
        </row>
        <row r="627">
          <cell r="A627" t="str">
            <v>ITOT-SWHCONBR5</v>
          </cell>
          <cell r="B627" t="str">
            <v>VAR_fin</v>
          </cell>
          <cell r="C627" t="str">
            <v>CON</v>
          </cell>
          <cell r="H627">
            <v>1.0092124506209874E-3</v>
          </cell>
          <cell r="I627">
            <v>1.0185865741967367E-3</v>
          </cell>
          <cell r="J627">
            <v>1.0258049027328919E-3</v>
          </cell>
          <cell r="K627">
            <v>1.6559848001639545E-3</v>
          </cell>
          <cell r="L627">
            <v>1.6444907178728124E-3</v>
          </cell>
          <cell r="M627">
            <v>2.8050284823109457E-3</v>
          </cell>
          <cell r="N627">
            <v>2.4097516268808193E-3</v>
          </cell>
          <cell r="O627">
            <v>3.7500092589060553E-3</v>
          </cell>
        </row>
        <row r="628">
          <cell r="A628" t="str">
            <v>ITOT-SWHCONBR5</v>
          </cell>
          <cell r="B628" t="str">
            <v>VAR_ncap</v>
          </cell>
          <cell r="C628" t="str">
            <v>-</v>
          </cell>
          <cell r="H628">
            <v>5.4548202231772202E-5</v>
          </cell>
          <cell r="I628">
            <v>4.2535206897506898E-7</v>
          </cell>
          <cell r="J628">
            <v>4.4608037189784201E-7</v>
          </cell>
          <cell r="K628">
            <v>8.8336937890681598E-5</v>
          </cell>
          <cell r="L628">
            <v>4.50921195553864E-7</v>
          </cell>
          <cell r="M628">
            <v>6.2951275636346702E-5</v>
          </cell>
          <cell r="N628">
            <v>5.1915914227790497E-5</v>
          </cell>
          <cell r="O628">
            <v>8.8236753824943304E-5</v>
          </cell>
        </row>
        <row r="629">
          <cell r="A629" t="str">
            <v>ITOT-SWHCONBR5</v>
          </cell>
          <cell r="B629" t="str">
            <v>VAR_cap</v>
          </cell>
          <cell r="C629" t="str">
            <v>-</v>
          </cell>
          <cell r="H629">
            <v>5.4548202231772202E-5</v>
          </cell>
          <cell r="I629">
            <v>5.4973554300747301E-5</v>
          </cell>
          <cell r="J629">
            <v>5.5419634672645099E-5</v>
          </cell>
          <cell r="K629">
            <v>8.9208370331554502E-5</v>
          </cell>
          <cell r="L629">
            <v>8.9240192928051606E-5</v>
          </cell>
          <cell r="M629">
            <v>1.5173913472258201E-4</v>
          </cell>
          <cell r="N629">
            <v>1.3082157120162499E-4</v>
          </cell>
          <cell r="O629">
            <v>2.0310394368908E-4</v>
          </cell>
        </row>
        <row r="630">
          <cell r="A630" t="str">
            <v>RHES-SHSTG-ELC</v>
          </cell>
          <cell r="B630" t="str">
            <v>VAR_fout</v>
          </cell>
          <cell r="C630" t="str">
            <v>RHES-SHAELCB</v>
          </cell>
          <cell r="D630">
            <v>1.4928781205691721E-7</v>
          </cell>
          <cell r="E630">
            <v>0.70761306722897366</v>
          </cell>
          <cell r="F630">
            <v>0.62912661012692972</v>
          </cell>
          <cell r="G630">
            <v>0.57439679856160197</v>
          </cell>
          <cell r="H630">
            <v>0.23211424458574939</v>
          </cell>
          <cell r="I630">
            <v>0.12941937642012258</v>
          </cell>
          <cell r="J630">
            <v>0.1398243373622963</v>
          </cell>
          <cell r="K630">
            <v>0.25481951179204759</v>
          </cell>
          <cell r="L630">
            <v>0.33058480221479031</v>
          </cell>
          <cell r="M630">
            <v>0.28371915156249516</v>
          </cell>
          <cell r="N630">
            <v>0.27941280727139584</v>
          </cell>
          <cell r="O630">
            <v>0.15903128149684659</v>
          </cell>
        </row>
        <row r="631">
          <cell r="A631" t="str">
            <v>RHES-SHSTG-ELC</v>
          </cell>
          <cell r="B631" t="str">
            <v>VAR_fin</v>
          </cell>
          <cell r="C631" t="str">
            <v>RHES-SHAELCB</v>
          </cell>
          <cell r="D631">
            <v>3.4024548659465379E-7</v>
          </cell>
          <cell r="E631">
            <v>0.707637126766271</v>
          </cell>
          <cell r="F631">
            <v>0.62915213357025657</v>
          </cell>
          <cell r="G631">
            <v>0.57441980065607467</v>
          </cell>
          <cell r="H631">
            <v>0.23212194238650835</v>
          </cell>
          <cell r="I631">
            <v>0.12942455241489012</v>
          </cell>
          <cell r="J631">
            <v>0.13982948008855042</v>
          </cell>
          <cell r="K631">
            <v>0.2548293044365727</v>
          </cell>
          <cell r="L631">
            <v>0.33059675368586722</v>
          </cell>
          <cell r="M631">
            <v>0.2837302751262768</v>
          </cell>
          <cell r="N631">
            <v>0.27942442151780683</v>
          </cell>
          <cell r="O631">
            <v>0.15903832871534798</v>
          </cell>
        </row>
        <row r="632">
          <cell r="A632" t="str">
            <v>RHES-SHSTG-ELC</v>
          </cell>
          <cell r="B632" t="str">
            <v>VAR_ncap</v>
          </cell>
          <cell r="C632" t="str">
            <v>-</v>
          </cell>
          <cell r="D632">
            <v>5.9294673444677901E-3</v>
          </cell>
          <cell r="E632">
            <v>5.5096824384254499E-2</v>
          </cell>
          <cell r="F632">
            <v>2.1719826567415899E-5</v>
          </cell>
          <cell r="G632">
            <v>2.11213090977795E-5</v>
          </cell>
          <cell r="H632">
            <v>6.1248111256836406E-5</v>
          </cell>
          <cell r="I632">
            <v>1.26957410422824E-2</v>
          </cell>
          <cell r="J632">
            <v>3.2821408102887497E-4</v>
          </cell>
          <cell r="K632">
            <v>1.19020321815138E-2</v>
          </cell>
          <cell r="L632">
            <v>1.4983671736066601E-2</v>
          </cell>
          <cell r="M632">
            <v>4.3931798630747899E-4</v>
          </cell>
          <cell r="N632">
            <v>1.4819208920792099E-2</v>
          </cell>
          <cell r="O632">
            <v>8.78587575317743E-4</v>
          </cell>
        </row>
        <row r="633">
          <cell r="A633" t="str">
            <v>RHES-SHSTG-ELC</v>
          </cell>
          <cell r="B633" t="str">
            <v>VAR_cap</v>
          </cell>
          <cell r="C633" t="str">
            <v>-</v>
          </cell>
          <cell r="D633">
            <v>5.9294673444677901E-3</v>
          </cell>
          <cell r="E633">
            <v>6.101811578310376E-2</v>
          </cell>
          <cell r="F633">
            <v>6.1018039844079476E-2</v>
          </cell>
          <cell r="G633">
            <v>6.1017988026400939E-2</v>
          </cell>
          <cell r="H633">
            <v>1.8031838518586203E-2</v>
          </cell>
          <cell r="I633">
            <v>1.2758783606599346E-2</v>
          </cell>
          <cell r="J633">
            <v>1.3050621454361004E-2</v>
          </cell>
          <cell r="K633">
            <v>2.4848817987841158E-2</v>
          </cell>
          <cell r="L633">
            <v>2.8985523396393518E-2</v>
          </cell>
          <cell r="M633">
            <v>2.7111397915801611E-2</v>
          </cell>
          <cell r="N633">
            <v>2.7406875175794532E-2</v>
          </cell>
          <cell r="O633">
            <v>1.5976475738731212E-2</v>
          </cell>
        </row>
        <row r="634">
          <cell r="A634" t="str">
            <v>RHES-SHCONBR4</v>
          </cell>
          <cell r="B634" t="str">
            <v>VAR_fout</v>
          </cell>
          <cell r="C634" t="str">
            <v>RHES-SHCON</v>
          </cell>
          <cell r="E634">
            <v>0.42669734868016418</v>
          </cell>
          <cell r="F634">
            <v>0.42658142536175009</v>
          </cell>
          <cell r="G634">
            <v>0.42663704399576158</v>
          </cell>
          <cell r="H634">
            <v>0.42664166695834882</v>
          </cell>
          <cell r="I634">
            <v>0.42664591522484513</v>
          </cell>
          <cell r="J634">
            <v>0.42664144868069681</v>
          </cell>
          <cell r="K634">
            <v>0.28794633857907398</v>
          </cell>
          <cell r="L634">
            <v>2.7834693742343055E-4</v>
          </cell>
          <cell r="M634">
            <v>2.9475495291289989E-4</v>
          </cell>
          <cell r="N634">
            <v>2.8883401819220552E-4</v>
          </cell>
          <cell r="O634">
            <v>2.9565296334454447E-4</v>
          </cell>
        </row>
        <row r="635">
          <cell r="A635" t="str">
            <v>RHES-SHCONBR4</v>
          </cell>
          <cell r="B635" t="str">
            <v>VAR_fin</v>
          </cell>
          <cell r="C635" t="str">
            <v>CON</v>
          </cell>
          <cell r="E635">
            <v>0.42669734868016418</v>
          </cell>
          <cell r="F635">
            <v>0.42658142536175009</v>
          </cell>
          <cell r="G635">
            <v>0.42663704399576158</v>
          </cell>
          <cell r="H635">
            <v>0.42664166695834882</v>
          </cell>
          <cell r="I635">
            <v>0.42664591522484513</v>
          </cell>
          <cell r="J635">
            <v>0.42664144868069681</v>
          </cell>
          <cell r="K635">
            <v>0.28794633857907398</v>
          </cell>
          <cell r="L635">
            <v>2.7834693742343055E-4</v>
          </cell>
          <cell r="M635">
            <v>2.9475495291289989E-4</v>
          </cell>
          <cell r="N635">
            <v>2.8883401819220552E-4</v>
          </cell>
          <cell r="O635">
            <v>2.9565296334454447E-4</v>
          </cell>
        </row>
        <row r="636">
          <cell r="A636" t="str">
            <v>RHES-SHCONBR4</v>
          </cell>
          <cell r="B636" t="str">
            <v>VAR_ncap</v>
          </cell>
          <cell r="C636" t="str">
            <v>-</v>
          </cell>
          <cell r="E636">
            <v>3.4470615620972297E-2</v>
          </cell>
          <cell r="F636">
            <v>1.43141373722361E-8</v>
          </cell>
          <cell r="G636">
            <v>2.0417624819330298E-8</v>
          </cell>
          <cell r="H636">
            <v>1.5131606372728801E-8</v>
          </cell>
          <cell r="I636">
            <v>1.7808180321329E-8</v>
          </cell>
          <cell r="J636">
            <v>1.7345267653085199E-8</v>
          </cell>
          <cell r="K636">
            <v>1.5044526171654399E-7</v>
          </cell>
          <cell r="L636">
            <v>2.1927000640861999E-5</v>
          </cell>
          <cell r="M636">
            <v>4.5126255349250601E-7</v>
          </cell>
          <cell r="N636">
            <v>4.2356918245698399E-7</v>
          </cell>
          <cell r="O636">
            <v>2.6587563535629201E-8</v>
          </cell>
        </row>
        <row r="637">
          <cell r="A637" t="str">
            <v>RHES-SHCONBR4</v>
          </cell>
          <cell r="B637" t="str">
            <v>VAR_cap</v>
          </cell>
          <cell r="C637" t="str">
            <v>-</v>
          </cell>
          <cell r="E637">
            <v>3.4470615620972297E-2</v>
          </cell>
          <cell r="F637">
            <v>3.4470629935109701E-2</v>
          </cell>
          <cell r="G637">
            <v>3.44706503527345E-2</v>
          </cell>
          <cell r="H637">
            <v>3.4470665484340898E-2</v>
          </cell>
          <cell r="I637">
            <v>3.4470683292521197E-2</v>
          </cell>
          <cell r="J637">
            <v>3.4470700637788898E-2</v>
          </cell>
          <cell r="K637">
            <v>2.3263172841651501E-2</v>
          </cell>
          <cell r="L637">
            <v>2.2147015673401199E-5</v>
          </cell>
          <cell r="M637">
            <v>2.2578993510418201E-5</v>
          </cell>
          <cell r="N637">
            <v>2.2987323355634402E-5</v>
          </cell>
          <cell r="O637">
            <v>2.2996210469716699E-5</v>
          </cell>
        </row>
        <row r="638">
          <cell r="A638" t="str">
            <v>ITOT-SWHCONBR6</v>
          </cell>
          <cell r="B638" t="str">
            <v>VAR_fout</v>
          </cell>
          <cell r="C638" t="str">
            <v>ITOT-SWHC</v>
          </cell>
          <cell r="I638">
            <v>3.4053461435331397E-4</v>
          </cell>
          <cell r="J638">
            <v>3.4248129830154585E-4</v>
          </cell>
          <cell r="K638">
            <v>1.026746992529219E-3</v>
          </cell>
          <cell r="L638">
            <v>7.4392271833742963E-4</v>
          </cell>
          <cell r="M638">
            <v>1.0965809385100993E-3</v>
          </cell>
          <cell r="N638">
            <v>9.3657555018469775E-4</v>
          </cell>
          <cell r="O638">
            <v>1.9324154559636432E-3</v>
          </cell>
        </row>
        <row r="639">
          <cell r="A639" t="str">
            <v>ITOT-SWHCONBR6</v>
          </cell>
          <cell r="B639" t="str">
            <v>VAR_fin</v>
          </cell>
          <cell r="C639" t="str">
            <v>CON</v>
          </cell>
          <cell r="I639">
            <v>3.4053461435331397E-4</v>
          </cell>
          <cell r="J639">
            <v>3.4248129830154585E-4</v>
          </cell>
          <cell r="K639">
            <v>1.026746992529219E-3</v>
          </cell>
          <cell r="L639">
            <v>7.4392271833742963E-4</v>
          </cell>
          <cell r="M639">
            <v>1.0965809385100993E-3</v>
          </cell>
          <cell r="N639">
            <v>9.3657555018469775E-4</v>
          </cell>
          <cell r="O639">
            <v>1.9324154559636432E-3</v>
          </cell>
        </row>
        <row r="640">
          <cell r="A640" t="str">
            <v>ITOT-SWHCONBR6</v>
          </cell>
          <cell r="B640" t="str">
            <v>VAR_ncap</v>
          </cell>
          <cell r="C640" t="str">
            <v>-</v>
          </cell>
          <cell r="I640">
            <v>1.7776483571852101E-5</v>
          </cell>
          <cell r="J640">
            <v>3.0202713097500399E-7</v>
          </cell>
          <cell r="K640">
            <v>3.6881435287570699E-5</v>
          </cell>
          <cell r="L640">
            <v>3.5570544615374701E-7</v>
          </cell>
          <cell r="M640">
            <v>2.1553085145361599E-5</v>
          </cell>
          <cell r="N640">
            <v>2.2340600821169E-5</v>
          </cell>
          <cell r="O640">
            <v>6.0320420086063502E-5</v>
          </cell>
        </row>
        <row r="641">
          <cell r="A641" t="str">
            <v>ITOT-SWHCONBR6</v>
          </cell>
          <cell r="B641" t="str">
            <v>VAR_cap</v>
          </cell>
          <cell r="C641" t="str">
            <v>-</v>
          </cell>
          <cell r="I641">
            <v>1.7776483571852101E-5</v>
          </cell>
          <cell r="J641">
            <v>1.8078510702827201E-5</v>
          </cell>
          <cell r="K641">
            <v>5.4959945990397799E-5</v>
          </cell>
          <cell r="L641">
            <v>4.02305798421449E-5</v>
          </cell>
          <cell r="M641">
            <v>5.8790225879086097E-5</v>
          </cell>
          <cell r="N641">
            <v>5.0669138667286901E-5</v>
          </cell>
          <cell r="O641">
            <v>1.04214106052594E-4</v>
          </cell>
        </row>
        <row r="642">
          <cell r="A642" t="str">
            <v>RHNM-SHNGAHP</v>
          </cell>
          <cell r="B642" t="str">
            <v>VAR_fout</v>
          </cell>
          <cell r="C642" t="str">
            <v>CO2_R</v>
          </cell>
          <cell r="F642">
            <v>0.14992545522173301</v>
          </cell>
          <cell r="G642">
            <v>0.14750527662323101</v>
          </cell>
          <cell r="H642">
            <v>50.971252725400099</v>
          </cell>
          <cell r="I642">
            <v>88.580207927881801</v>
          </cell>
          <cell r="J642">
            <v>86.036187029068699</v>
          </cell>
          <cell r="K642">
            <v>37.207507419699702</v>
          </cell>
          <cell r="L642">
            <v>0.153825332487044</v>
          </cell>
          <cell r="M642">
            <v>6.7094253977610804E-2</v>
          </cell>
          <cell r="N642">
            <v>6.6436007559974003E-2</v>
          </cell>
          <cell r="O642">
            <v>6.6503709505226299E-2</v>
          </cell>
        </row>
        <row r="643">
          <cell r="A643" t="str">
            <v>RHNM-SHNGAHP</v>
          </cell>
          <cell r="B643" t="str">
            <v>VAR_fout</v>
          </cell>
          <cell r="C643" t="str">
            <v>RHNM-SHANGAH</v>
          </cell>
          <cell r="F643">
            <v>5.3165055043167828E-3</v>
          </cell>
          <cell r="G643">
            <v>5.4399109109276832E-3</v>
          </cell>
          <cell r="H643">
            <v>1.9430530737519558</v>
          </cell>
          <cell r="I643">
            <v>3.4866677588634336</v>
          </cell>
          <cell r="J643">
            <v>3.4780586245793725</v>
          </cell>
          <cell r="K643">
            <v>1.5437157333705185</v>
          </cell>
          <cell r="L643">
            <v>6.3821148585050131E-3</v>
          </cell>
          <cell r="M643">
            <v>2.7836977714115062E-3</v>
          </cell>
          <cell r="N643">
            <v>2.7563875477010463E-3</v>
          </cell>
          <cell r="O643">
            <v>2.759196458195559E-3</v>
          </cell>
        </row>
        <row r="644">
          <cell r="A644" t="str">
            <v>RHNM-SHNGAHP</v>
          </cell>
          <cell r="B644" t="str">
            <v>VAR_fin</v>
          </cell>
          <cell r="C644" t="str">
            <v>RNGA</v>
          </cell>
          <cell r="F644">
            <v>2.6582527521583918E-3</v>
          </cell>
          <cell r="G644">
            <v>2.6153417840998482E-3</v>
          </cell>
          <cell r="H644">
            <v>0.90374561569858392</v>
          </cell>
          <cell r="I644">
            <v>1.5705710625510967</v>
          </cell>
          <cell r="J644">
            <v>1.5254643090260418</v>
          </cell>
          <cell r="K644">
            <v>0.65970757836347005</v>
          </cell>
          <cell r="L644">
            <v>2.7273995121816293E-3</v>
          </cell>
          <cell r="M644">
            <v>1.1896144322271402E-3</v>
          </cell>
          <cell r="N644">
            <v>1.1779433964534383E-3</v>
          </cell>
          <cell r="O644">
            <v>1.1791437855536587E-3</v>
          </cell>
        </row>
        <row r="645">
          <cell r="A645" t="str">
            <v>RHNM-SHNGAHP</v>
          </cell>
          <cell r="B645" t="str">
            <v>VAR_fin</v>
          </cell>
          <cell r="C645" t="str">
            <v>RHNMELCHPC</v>
          </cell>
          <cell r="F645">
            <v>5.3165055043167828E-3</v>
          </cell>
          <cell r="G645">
            <v>5.4399109109276832E-3</v>
          </cell>
          <cell r="H645">
            <v>1.9430530737519558</v>
          </cell>
          <cell r="I645">
            <v>3.4866677588634336</v>
          </cell>
          <cell r="J645">
            <v>3.4780586245793725</v>
          </cell>
          <cell r="K645">
            <v>1.5437157333705185</v>
          </cell>
          <cell r="L645">
            <v>6.3821148585050131E-3</v>
          </cell>
          <cell r="M645">
            <v>2.7836977714115062E-3</v>
          </cell>
          <cell r="N645">
            <v>2.7563875477010463E-3</v>
          </cell>
          <cell r="O645">
            <v>2.759196458195559E-3</v>
          </cell>
        </row>
        <row r="646">
          <cell r="A646" t="str">
            <v>RHNM-SHNGAHP</v>
          </cell>
          <cell r="B646" t="str">
            <v>VAR_ncap</v>
          </cell>
          <cell r="C646" t="str">
            <v>-</v>
          </cell>
          <cell r="E646">
            <v>5.21515712372485E-7</v>
          </cell>
          <cell r="F646">
            <v>4.3317206282262103E-4</v>
          </cell>
          <cell r="G646">
            <v>2.2315301827481001E-6</v>
          </cell>
          <cell r="H646">
            <v>0.15045337207078699</v>
          </cell>
          <cell r="I646">
            <v>0.120250631473707</v>
          </cell>
          <cell r="J646">
            <v>9.1147044979479201E-7</v>
          </cell>
          <cell r="K646">
            <v>7.9879632676053203E-7</v>
          </cell>
          <cell r="L646">
            <v>6.5018592124527395E-7</v>
          </cell>
          <cell r="M646">
            <v>3.0066187089978499E-4</v>
          </cell>
          <cell r="N646">
            <v>3.1862426054815399E-6</v>
          </cell>
          <cell r="O646">
            <v>6.7561244677172294E-5</v>
          </cell>
        </row>
        <row r="647">
          <cell r="A647" t="str">
            <v>RHNM-SHNGAHP</v>
          </cell>
          <cell r="B647" t="str">
            <v>VAR_cap</v>
          </cell>
          <cell r="C647" t="str">
            <v>-</v>
          </cell>
          <cell r="E647">
            <v>5.21515712372485E-7</v>
          </cell>
          <cell r="F647">
            <v>4.3363182513937233E-4</v>
          </cell>
          <cell r="G647">
            <v>4.3582493451549235E-4</v>
          </cell>
          <cell r="H647">
            <v>0.15088873630276986</v>
          </cell>
          <cell r="I647">
            <v>0.27079636757251396</v>
          </cell>
          <cell r="J647">
            <v>0.27070462900516984</v>
          </cell>
          <cell r="K647">
            <v>0.12025193645475273</v>
          </cell>
          <cell r="L647">
            <v>8.738454744093016E-4</v>
          </cell>
          <cell r="M647">
            <v>3.0173761469320644E-4</v>
          </cell>
          <cell r="N647">
            <v>3.0402082094357544E-4</v>
          </cell>
          <cell r="O647">
            <v>3.7090354514100103E-4</v>
          </cell>
        </row>
        <row r="648">
          <cell r="A648" t="str">
            <v>D-SCOM_KEV_WOD_ELC_CHP</v>
          </cell>
          <cell r="B648" t="str">
            <v>VAR_fout</v>
          </cell>
          <cell r="C648" t="str">
            <v>ELC5</v>
          </cell>
          <cell r="G648">
            <v>4.4869285218080291E-4</v>
          </cell>
          <cell r="H648">
            <v>3.2096494020434247E-4</v>
          </cell>
          <cell r="I648">
            <v>3.0695812187716263E-3</v>
          </cell>
          <cell r="J648">
            <v>2.6098834911442051E-3</v>
          </cell>
          <cell r="K648">
            <v>1.1871797359425506E-3</v>
          </cell>
          <cell r="L648">
            <v>1.5334211384323371E-3</v>
          </cell>
          <cell r="M648">
            <v>1.0879205554720529E-3</v>
          </cell>
          <cell r="N648">
            <v>8.9996683533213656E-4</v>
          </cell>
          <cell r="O648">
            <v>1.667773876665071E-3</v>
          </cell>
        </row>
        <row r="649">
          <cell r="A649" t="str">
            <v>D-SCOM_KEV_WOD_ELC_CHP</v>
          </cell>
          <cell r="B649" t="str">
            <v>VAR_fout</v>
          </cell>
          <cell r="C649" t="str">
            <v>SCOM_ELC</v>
          </cell>
          <cell r="G649">
            <v>1.6119066274255701E-4</v>
          </cell>
          <cell r="H649">
            <v>3.2084930751988445E-4</v>
          </cell>
          <cell r="I649">
            <v>3.0696923158366469E-3</v>
          </cell>
          <cell r="J649">
            <v>2.608955748528785E-3</v>
          </cell>
          <cell r="K649">
            <v>1.1869680314424988E-3</v>
          </cell>
          <cell r="L649">
            <v>1.532682383642065E-3</v>
          </cell>
          <cell r="M649">
            <v>1.088048900699419E-3</v>
          </cell>
          <cell r="N649">
            <v>8.99825661215909E-4</v>
          </cell>
          <cell r="O649">
            <v>1.6682145591556568E-3</v>
          </cell>
        </row>
        <row r="650">
          <cell r="A650" t="str">
            <v>D-SCOM_KEV_WOD_ELC_CHP</v>
          </cell>
          <cell r="B650" t="str">
            <v>VAR_fin</v>
          </cell>
          <cell r="C650" t="str">
            <v>SCOM_KEV_WOD_ELC_CHP</v>
          </cell>
          <cell r="G650">
            <v>6.0885938803920006E-4</v>
          </cell>
          <cell r="H650">
            <v>6.4010908123798393E-4</v>
          </cell>
          <cell r="I650">
            <v>6.1380452915575697E-3</v>
          </cell>
          <cell r="J650">
            <v>5.2157710088484369E-3</v>
          </cell>
          <cell r="K650">
            <v>2.3700378397495886E-3</v>
          </cell>
          <cell r="L650">
            <v>3.0636877520323872E-3</v>
          </cell>
          <cell r="M650">
            <v>2.1715986257732495E-3</v>
          </cell>
          <cell r="N650">
            <v>1.7961429428854298E-3</v>
          </cell>
          <cell r="O650">
            <v>3.3299485827147997E-3</v>
          </cell>
        </row>
        <row r="651">
          <cell r="A651" t="str">
            <v>RHES-SHCONBR5</v>
          </cell>
          <cell r="B651" t="str">
            <v>VAR_fout</v>
          </cell>
          <cell r="C651" t="str">
            <v>RHES-SHCON</v>
          </cell>
          <cell r="E651">
            <v>5.1335998174819176E-4</v>
          </cell>
          <cell r="F651">
            <v>5.1297595553327668E-4</v>
          </cell>
          <cell r="G651">
            <v>5.0221825852897548E-4</v>
          </cell>
          <cell r="H651">
            <v>5.0740525785643341E-4</v>
          </cell>
          <cell r="I651">
            <v>5.0668666242834894E-4</v>
          </cell>
          <cell r="J651">
            <v>5.0939784523840745E-4</v>
          </cell>
          <cell r="K651">
            <v>3.5099711971207898E-4</v>
          </cell>
          <cell r="L651">
            <v>1.5471862593629759E-4</v>
          </cell>
          <cell r="M651">
            <v>1.7464853174366888E-4</v>
          </cell>
          <cell r="N651">
            <v>1.7148057863285501E-4</v>
          </cell>
          <cell r="O651">
            <v>1.7904118330989264E-4</v>
          </cell>
        </row>
        <row r="652">
          <cell r="A652" t="str">
            <v>RHES-SHCONBR5</v>
          </cell>
          <cell r="B652" t="str">
            <v>VAR_fin</v>
          </cell>
          <cell r="C652" t="str">
            <v>CON</v>
          </cell>
          <cell r="E652">
            <v>5.1335998174819176E-4</v>
          </cell>
          <cell r="F652">
            <v>5.1297595553327668E-4</v>
          </cell>
          <cell r="G652">
            <v>5.0221825852897548E-4</v>
          </cell>
          <cell r="H652">
            <v>5.0740525785643341E-4</v>
          </cell>
          <cell r="I652">
            <v>5.0668666242834894E-4</v>
          </cell>
          <cell r="J652">
            <v>5.0939784523840745E-4</v>
          </cell>
          <cell r="K652">
            <v>3.5099711971207898E-4</v>
          </cell>
          <cell r="L652">
            <v>1.5471862593629759E-4</v>
          </cell>
          <cell r="M652">
            <v>1.7464853174366888E-4</v>
          </cell>
          <cell r="N652">
            <v>1.7148057863285501E-4</v>
          </cell>
          <cell r="O652">
            <v>1.7904118330989264E-4</v>
          </cell>
        </row>
        <row r="653">
          <cell r="A653" t="str">
            <v>RHES-SHCONBR5</v>
          </cell>
          <cell r="B653" t="str">
            <v>VAR_ncap</v>
          </cell>
          <cell r="C653" t="str">
            <v>-</v>
          </cell>
          <cell r="E653">
            <v>4.0184019856030198E-5</v>
          </cell>
          <cell r="F653">
            <v>1.2311849269640899E-8</v>
          </cell>
          <cell r="G653">
            <v>1.7127227667250699E-8</v>
          </cell>
          <cell r="H653">
            <v>1.35043389321627E-8</v>
          </cell>
          <cell r="I653">
            <v>1.5100637425876302E-8</v>
          </cell>
          <cell r="J653">
            <v>1.6409907054011899E-8</v>
          </cell>
          <cell r="K653">
            <v>1.7766159981648999E-7</v>
          </cell>
          <cell r="L653">
            <v>1.19147147840005E-5</v>
          </cell>
          <cell r="M653">
            <v>7.2841150510401798E-7</v>
          </cell>
          <cell r="N653">
            <v>6.4791267160557899E-7</v>
          </cell>
          <cell r="O653">
            <v>2.8391985027816799E-8</v>
          </cell>
        </row>
        <row r="654">
          <cell r="A654" t="str">
            <v>RHES-SHCONBR5</v>
          </cell>
          <cell r="B654" t="str">
            <v>VAR_cap</v>
          </cell>
          <cell r="C654" t="str">
            <v>-</v>
          </cell>
          <cell r="E654">
            <v>4.0184019856030198E-5</v>
          </cell>
          <cell r="F654">
            <v>4.0196331705299898E-5</v>
          </cell>
          <cell r="G654">
            <v>4.0213458932967098E-5</v>
          </cell>
          <cell r="H654">
            <v>4.0226963271899302E-5</v>
          </cell>
          <cell r="I654">
            <v>4.0242063909325103E-5</v>
          </cell>
          <cell r="J654">
            <v>4.0258473816379198E-5</v>
          </cell>
          <cell r="K654">
            <v>2.73708171188813E-5</v>
          </cell>
          <cell r="L654">
            <v>1.21536605952144E-5</v>
          </cell>
          <cell r="M654">
            <v>1.2865802772333E-5</v>
          </cell>
          <cell r="N654">
            <v>1.35002390151581E-5</v>
          </cell>
          <cell r="O654">
            <v>1.35135024526084E-5</v>
          </cell>
        </row>
        <row r="655">
          <cell r="A655" t="str">
            <v>RHNS-SHCONBR</v>
          </cell>
          <cell r="B655" t="str">
            <v>VAR_fout</v>
          </cell>
          <cell r="C655" t="str">
            <v>RHNS-SHCON</v>
          </cell>
          <cell r="F655">
            <v>7.661126737878055E-5</v>
          </cell>
          <cell r="G655">
            <v>6.8316153147754625E-5</v>
          </cell>
          <cell r="H655">
            <v>1.283544897187952E-4</v>
          </cell>
          <cell r="I655">
            <v>1.2155815438976304E-4</v>
          </cell>
          <cell r="J655">
            <v>1.2459396599068991E-4</v>
          </cell>
          <cell r="K655">
            <v>2.6840620467417919E-4</v>
          </cell>
          <cell r="L655">
            <v>2.3092406991980741E-4</v>
          </cell>
          <cell r="M655">
            <v>2.3759009817547267E-4</v>
          </cell>
          <cell r="N655">
            <v>3.4792898946149885E-4</v>
          </cell>
          <cell r="O655">
            <v>1.6636077911051435</v>
          </cell>
        </row>
        <row r="656">
          <cell r="A656" t="str">
            <v>RHNS-SHCONBR</v>
          </cell>
          <cell r="B656" t="str">
            <v>VAR_fin</v>
          </cell>
          <cell r="C656" t="str">
            <v>CON</v>
          </cell>
          <cell r="F656">
            <v>7.661126737878055E-5</v>
          </cell>
          <cell r="G656">
            <v>6.8316153147754625E-5</v>
          </cell>
          <cell r="H656">
            <v>1.283544897187952E-4</v>
          </cell>
          <cell r="I656">
            <v>1.2155815438976304E-4</v>
          </cell>
          <cell r="J656">
            <v>1.2459396599068991E-4</v>
          </cell>
          <cell r="K656">
            <v>2.6840620467417919E-4</v>
          </cell>
          <cell r="L656">
            <v>2.3092406991980741E-4</v>
          </cell>
          <cell r="M656">
            <v>2.3759009817547267E-4</v>
          </cell>
          <cell r="N656">
            <v>3.4792898946149885E-4</v>
          </cell>
          <cell r="O656">
            <v>1.6636077911051435</v>
          </cell>
        </row>
        <row r="657">
          <cell r="A657" t="str">
            <v>RHNS-SHCONBR</v>
          </cell>
          <cell r="B657" t="str">
            <v>VAR_ncap</v>
          </cell>
          <cell r="C657" t="str">
            <v>-</v>
          </cell>
          <cell r="E657">
            <v>1.5241289642137901E-8</v>
          </cell>
          <cell r="F657">
            <v>5.1016709152146401E-6</v>
          </cell>
          <cell r="G657">
            <v>7.8450747777109505E-8</v>
          </cell>
          <cell r="H657">
            <v>4.0407081890426804E-6</v>
          </cell>
          <cell r="I657">
            <v>8.7623136607788697E-8</v>
          </cell>
          <cell r="J657">
            <v>8.3955849543719497E-8</v>
          </cell>
          <cell r="K657">
            <v>9.2223218169431798E-6</v>
          </cell>
          <cell r="L657">
            <v>7.6894725139543605E-8</v>
          </cell>
          <cell r="M657">
            <v>1.43001620602433E-6</v>
          </cell>
          <cell r="N657">
            <v>1.05770633415423E-5</v>
          </cell>
          <cell r="O657">
            <v>0.268680131562471</v>
          </cell>
        </row>
        <row r="658">
          <cell r="A658" t="str">
            <v>RHNS-SHCONBR</v>
          </cell>
          <cell r="B658" t="str">
            <v>VAR_cap</v>
          </cell>
          <cell r="C658" t="str">
            <v>-</v>
          </cell>
          <cell r="E658">
            <v>1.5241289642137901E-8</v>
          </cell>
          <cell r="F658">
            <v>5.1048713062381102E-6</v>
          </cell>
          <cell r="G658">
            <v>5.1744956667921015E-6</v>
          </cell>
          <cell r="H658">
            <v>9.1890123001015751E-6</v>
          </cell>
          <cell r="I658">
            <v>9.2612739301100794E-6</v>
          </cell>
          <cell r="J658">
            <v>9.3278561382366839E-6</v>
          </cell>
          <cell r="K658">
            <v>1.8518660025481584E-5</v>
          </cell>
          <cell r="L658">
            <v>1.855950272632299E-5</v>
          </cell>
          <cell r="M658">
            <v>1.9884865591132128E-5</v>
          </cell>
          <cell r="N658">
            <v>3.0508457206729158E-5</v>
          </cell>
          <cell r="O658">
            <v>0.26871084550868801</v>
          </cell>
        </row>
        <row r="659">
          <cell r="A659" t="str">
            <v>D-RHEM_SOLELC</v>
          </cell>
          <cell r="B659" t="str">
            <v>VAR_fout</v>
          </cell>
          <cell r="C659" t="str">
            <v>ELC5</v>
          </cell>
          <cell r="D659">
            <v>0.21423550558198792</v>
          </cell>
          <cell r="E659">
            <v>0.66655833882762405</v>
          </cell>
          <cell r="F659">
            <v>1.6314499017887119</v>
          </cell>
          <cell r="G659">
            <v>4.3871729562899366</v>
          </cell>
          <cell r="H659">
            <v>3.8967475530604219</v>
          </cell>
          <cell r="I659">
            <v>3.9134921736852615</v>
          </cell>
          <cell r="J659">
            <v>4.0804936267053762</v>
          </cell>
          <cell r="K659">
            <v>3.9856171147768849</v>
          </cell>
          <cell r="L659">
            <v>4.1019998706362664</v>
          </cell>
          <cell r="M659">
            <v>4.2670559596842663</v>
          </cell>
          <cell r="N659">
            <v>4.4766919909246949</v>
          </cell>
          <cell r="O659">
            <v>4.7191732950047065</v>
          </cell>
        </row>
        <row r="660">
          <cell r="A660" t="str">
            <v>D-RHEM_SOLELC</v>
          </cell>
          <cell r="B660" t="str">
            <v>VAR_fout</v>
          </cell>
          <cell r="C660" t="str">
            <v>RHEM_ELC</v>
          </cell>
          <cell r="D660">
            <v>0.64824772020386057</v>
          </cell>
          <cell r="E660">
            <v>0.62102479999782256</v>
          </cell>
          <cell r="F660">
            <v>1.3140287238146753</v>
          </cell>
          <cell r="G660">
            <v>2.3847588515306395</v>
          </cell>
          <cell r="H660">
            <v>3.2195084371429514</v>
          </cell>
          <cell r="I660">
            <v>3.5668212840858859</v>
          </cell>
          <cell r="J660">
            <v>3.7812644528015862</v>
          </cell>
          <cell r="K660">
            <v>3.9974465906867329</v>
          </cell>
          <cell r="L660">
            <v>4.3009526886769054</v>
          </cell>
          <cell r="M660">
            <v>4.5393662330958424</v>
          </cell>
          <cell r="N660">
            <v>4.7484015876070771</v>
          </cell>
          <cell r="O660">
            <v>4.9481974879031769</v>
          </cell>
        </row>
        <row r="661">
          <cell r="A661" t="str">
            <v>D-RHEM_SOLELC</v>
          </cell>
          <cell r="B661" t="str">
            <v>VAR_fin</v>
          </cell>
          <cell r="C661" t="str">
            <v>RHEM_SOL_ELC</v>
          </cell>
          <cell r="D661">
            <v>0.86248322578584768</v>
          </cell>
          <cell r="E661">
            <v>1.2875826063925269</v>
          </cell>
          <cell r="F661">
            <v>2.9454786256033887</v>
          </cell>
          <cell r="G661">
            <v>6.771931807820577</v>
          </cell>
          <cell r="H661">
            <v>7.1162559902033653</v>
          </cell>
          <cell r="I661">
            <v>7.4803134577711452</v>
          </cell>
          <cell r="J661">
            <v>7.861758079506961</v>
          </cell>
          <cell r="K661">
            <v>7.9830637054636178</v>
          </cell>
          <cell r="L661">
            <v>8.4029525593131655</v>
          </cell>
          <cell r="M661">
            <v>8.8064221927801043</v>
          </cell>
          <cell r="N661">
            <v>9.2250935785317782</v>
          </cell>
          <cell r="O661">
            <v>9.6673707829078896</v>
          </cell>
        </row>
        <row r="662">
          <cell r="A662" t="str">
            <v>ITOT-SWHCONBR7</v>
          </cell>
          <cell r="B662" t="str">
            <v>VAR_fout</v>
          </cell>
          <cell r="C662" t="str">
            <v>ITOT-ELS</v>
          </cell>
          <cell r="I662">
            <v>8.6104673618210545E-2</v>
          </cell>
          <cell r="J662">
            <v>0.16169592221260062</v>
          </cell>
          <cell r="K662">
            <v>0.16165675458519835</v>
          </cell>
          <cell r="L662">
            <v>7.8857882664261428E-2</v>
          </cell>
          <cell r="M662">
            <v>2.3179032575586702E-3</v>
          </cell>
          <cell r="N662">
            <v>2.3279261058275526E-3</v>
          </cell>
          <cell r="O662">
            <v>2.3658557460655765E-3</v>
          </cell>
        </row>
        <row r="663">
          <cell r="A663" t="str">
            <v>ITOT-SWHCONBR7</v>
          </cell>
          <cell r="B663" t="str">
            <v>VAR_fout</v>
          </cell>
          <cell r="C663" t="str">
            <v>ITOT-SWHC</v>
          </cell>
          <cell r="I663">
            <v>1.5014730736931946E-2</v>
          </cell>
          <cell r="J663">
            <v>2.8196155112869849E-2</v>
          </cell>
          <cell r="K663">
            <v>2.8189325154003023E-2</v>
          </cell>
          <cell r="L663">
            <v>1.3751052352146024E-2</v>
          </cell>
          <cell r="M663">
            <v>4.0419052560162431E-4</v>
          </cell>
          <cell r="N663">
            <v>4.0593828634039356E-4</v>
          </cell>
          <cell r="O663">
            <v>4.1255236791333755E-4</v>
          </cell>
        </row>
        <row r="664">
          <cell r="A664" t="str">
            <v>ITOT-SWHCONBR7</v>
          </cell>
          <cell r="B664" t="str">
            <v>VAR_fin</v>
          </cell>
          <cell r="C664" t="str">
            <v>CON</v>
          </cell>
          <cell r="I664">
            <v>0.10111940435514259</v>
          </cell>
          <cell r="J664">
            <v>0.1898920773254705</v>
          </cell>
          <cell r="K664">
            <v>0.18984607973920131</v>
          </cell>
          <cell r="L664">
            <v>9.2608935016407462E-2</v>
          </cell>
          <cell r="M664">
            <v>2.7220937831602958E-3</v>
          </cell>
          <cell r="N664">
            <v>2.7338643921679495E-3</v>
          </cell>
          <cell r="O664">
            <v>2.7784081139789123E-3</v>
          </cell>
        </row>
        <row r="665">
          <cell r="A665" t="str">
            <v>ITOT-SWHCONBR7</v>
          </cell>
          <cell r="B665" t="str">
            <v>VAR_ncap</v>
          </cell>
          <cell r="C665" t="str">
            <v>-</v>
          </cell>
          <cell r="I665">
            <v>5.50081705528928E-3</v>
          </cell>
          <cell r="J665">
            <v>4.8289312459656999E-3</v>
          </cell>
          <cell r="K665">
            <v>1.0547982472035601E-7</v>
          </cell>
          <cell r="L665">
            <v>3.4779452464828001E-6</v>
          </cell>
          <cell r="M665">
            <v>1.4425440313489899E-4</v>
          </cell>
          <cell r="N665">
            <v>1.92572983302248E-6</v>
          </cell>
          <cell r="O665">
            <v>4.9457152849883603E-6</v>
          </cell>
        </row>
        <row r="666">
          <cell r="A666" t="str">
            <v>ITOT-SWHCONBR7</v>
          </cell>
          <cell r="B666" t="str">
            <v>VAR_cap</v>
          </cell>
          <cell r="C666" t="str">
            <v>-</v>
          </cell>
          <cell r="I666">
            <v>5.50081705528928E-3</v>
          </cell>
          <cell r="J666">
            <v>1.0329748301255E-2</v>
          </cell>
          <cell r="K666">
            <v>1.0329853781079699E-2</v>
          </cell>
          <cell r="L666">
            <v>5.0379263287046302E-3</v>
          </cell>
          <cell r="M666">
            <v>1.4783782820610201E-4</v>
          </cell>
          <cell r="N666">
            <v>1.48574204746422E-4</v>
          </cell>
          <cell r="O666">
            <v>1.5112584825291E-4</v>
          </cell>
        </row>
        <row r="667">
          <cell r="A667" t="str">
            <v>RHNS-SHSTG-ELCHP</v>
          </cell>
          <cell r="B667" t="str">
            <v>VAR_fout</v>
          </cell>
          <cell r="C667" t="str">
            <v>RHNS-SHAELCH</v>
          </cell>
          <cell r="E667">
            <v>2.4887740148112823E-2</v>
          </cell>
          <cell r="F667">
            <v>8.8144521300957651E-2</v>
          </cell>
          <cell r="G667">
            <v>0.20246776768299582</v>
          </cell>
          <cell r="H667">
            <v>0.30139281012247393</v>
          </cell>
          <cell r="I667">
            <v>0.27777266357564373</v>
          </cell>
          <cell r="J667">
            <v>0.3788496145115125</v>
          </cell>
          <cell r="K667">
            <v>0.44022405458719321</v>
          </cell>
          <cell r="L667">
            <v>0.54937297301494226</v>
          </cell>
          <cell r="M667">
            <v>0.52627103833963096</v>
          </cell>
          <cell r="N667">
            <v>0.5415658341224403</v>
          </cell>
          <cell r="O667">
            <v>0.51952455428437316</v>
          </cell>
        </row>
        <row r="668">
          <cell r="A668" t="str">
            <v>RHNS-SHSTG-ELCHP</v>
          </cell>
          <cell r="B668" t="str">
            <v>VAR_fin</v>
          </cell>
          <cell r="C668" t="str">
            <v>RHNS-SHAELCH</v>
          </cell>
          <cell r="E668">
            <v>2.4889570855055079E-2</v>
          </cell>
          <cell r="F668">
            <v>8.8148357160142993E-2</v>
          </cell>
          <cell r="G668">
            <v>0.20247497739212111</v>
          </cell>
          <cell r="H668">
            <v>0.30140466900812074</v>
          </cell>
          <cell r="I668">
            <v>0.27778374894449237</v>
          </cell>
          <cell r="J668">
            <v>0.37886601440930878</v>
          </cell>
          <cell r="K668">
            <v>0.44024240193038061</v>
          </cell>
          <cell r="L668">
            <v>0.54939604381312923</v>
          </cell>
          <cell r="M668">
            <v>0.52629601776681567</v>
          </cell>
          <cell r="N668">
            <v>0.54158902591717417</v>
          </cell>
          <cell r="O668">
            <v>0.51954983908738128</v>
          </cell>
        </row>
        <row r="669">
          <cell r="A669" t="str">
            <v>RHNS-SHSTG-ELCHP</v>
          </cell>
          <cell r="B669" t="str">
            <v>VAR_ncap</v>
          </cell>
          <cell r="C669" t="str">
            <v>-</v>
          </cell>
          <cell r="D669">
            <v>4.1891827162948598E-5</v>
          </cell>
          <cell r="E669">
            <v>3.0521156263626499E-3</v>
          </cell>
          <cell r="F669">
            <v>6.4631103091897001E-3</v>
          </cell>
          <cell r="G669">
            <v>1.1312093410414699E-2</v>
          </cell>
          <cell r="H669">
            <v>8.2862888206627992E-3</v>
          </cell>
          <cell r="I669">
            <v>8.80558661705832E-3</v>
          </cell>
          <cell r="J669">
            <v>1.9433115222459999E-2</v>
          </cell>
          <cell r="K669">
            <v>1.6922377323072099E-2</v>
          </cell>
          <cell r="L669">
            <v>1.8919038404708401E-2</v>
          </cell>
          <cell r="M669">
            <v>1.9190271257768399E-2</v>
          </cell>
          <cell r="N669">
            <v>1.9983769319323701E-2</v>
          </cell>
          <cell r="O669">
            <v>1.5881454692238599E-2</v>
          </cell>
        </row>
        <row r="670">
          <cell r="A670" t="str">
            <v>RHNS-SHSTG-ELCHP</v>
          </cell>
          <cell r="B670" t="str">
            <v>VAR_cap</v>
          </cell>
          <cell r="C670" t="str">
            <v>-</v>
          </cell>
          <cell r="D670">
            <v>4.1891827162948598E-5</v>
          </cell>
          <cell r="E670">
            <v>3.0906596225892514E-3</v>
          </cell>
          <cell r="F670">
            <v>9.547337048661177E-3</v>
          </cell>
          <cell r="G670">
            <v>2.0849290858869808E-2</v>
          </cell>
          <cell r="H670">
            <v>2.7586195272948994E-2</v>
          </cell>
          <cell r="I670">
            <v>2.7561626311689937E-2</v>
          </cell>
          <cell r="J670">
            <v>3.6494232849876865E-2</v>
          </cell>
          <cell r="K670">
            <v>4.5069386321067488E-2</v>
          </cell>
          <cell r="L670">
            <v>5.3914885463039276E-2</v>
          </cell>
          <cell r="M670">
            <v>5.4884938009675387E-2</v>
          </cell>
          <cell r="N670">
            <v>5.4884359210759855E-2</v>
          </cell>
          <cell r="O670">
            <v>5.4890449584590773E-2</v>
          </cell>
        </row>
        <row r="671">
          <cell r="A671" t="str">
            <v>RHNS-SHSOLBR</v>
          </cell>
          <cell r="B671" t="str">
            <v>VAR_fout</v>
          </cell>
          <cell r="C671" t="str">
            <v>RHNS-SHASOL</v>
          </cell>
          <cell r="E671">
            <v>1.3400535467613411E-2</v>
          </cell>
          <cell r="F671">
            <v>1.5657328034800695E-2</v>
          </cell>
          <cell r="G671">
            <v>1.0425991006362384E-2</v>
          </cell>
          <cell r="H671">
            <v>1.7477201029048418E-2</v>
          </cell>
          <cell r="I671">
            <v>1.6413283783774765E-2</v>
          </cell>
          <cell r="J671">
            <v>1.3885974324061384E-2</v>
          </cell>
          <cell r="K671">
            <v>1.7561226458209244E-2</v>
          </cell>
          <cell r="L671">
            <v>3.3423527136178348E-3</v>
          </cell>
          <cell r="M671">
            <v>1.4637564849394045E-3</v>
          </cell>
          <cell r="N671">
            <v>5.0135677184154814E-4</v>
          </cell>
          <cell r="O671">
            <v>1.4731707913034089E-3</v>
          </cell>
        </row>
        <row r="672">
          <cell r="A672" t="str">
            <v>RHNS-SHSOLBR</v>
          </cell>
          <cell r="B672" t="str">
            <v>VAR_fin</v>
          </cell>
          <cell r="C672" t="str">
            <v>SOL</v>
          </cell>
          <cell r="E672">
            <v>1.3400535467613411E-2</v>
          </cell>
          <cell r="F672">
            <v>1.5657328034800695E-2</v>
          </cell>
          <cell r="G672">
            <v>1.0425991006362384E-2</v>
          </cell>
          <cell r="H672">
            <v>1.7477201029048418E-2</v>
          </cell>
          <cell r="I672">
            <v>1.6413283783774765E-2</v>
          </cell>
          <cell r="J672">
            <v>1.3885974324061384E-2</v>
          </cell>
          <cell r="K672">
            <v>1.7561226458209244E-2</v>
          </cell>
          <cell r="L672">
            <v>3.3423527136178348E-3</v>
          </cell>
          <cell r="M672">
            <v>1.4637564849394045E-3</v>
          </cell>
          <cell r="N672">
            <v>5.0135677184154814E-4</v>
          </cell>
          <cell r="O672">
            <v>1.4731707913034089E-3</v>
          </cell>
        </row>
        <row r="673">
          <cell r="A673" t="str">
            <v>RHNS-SHSOLBR</v>
          </cell>
          <cell r="B673" t="str">
            <v>VAR_ncap</v>
          </cell>
          <cell r="C673" t="str">
            <v>-</v>
          </cell>
          <cell r="E673">
            <v>2.4205693844873599E-3</v>
          </cell>
          <cell r="F673">
            <v>6.3352919672450295E-5</v>
          </cell>
          <cell r="G673">
            <v>1.10985621825894E-6</v>
          </cell>
          <cell r="H673">
            <v>1.2561028807856799E-3</v>
          </cell>
          <cell r="I673">
            <v>1.2904729683632201E-3</v>
          </cell>
          <cell r="J673">
            <v>1.44514083841659E-5</v>
          </cell>
          <cell r="K673">
            <v>1.2648202713804099E-3</v>
          </cell>
          <cell r="L673">
            <v>1.09411835175113E-3</v>
          </cell>
          <cell r="M673">
            <v>2.11313428880972E-4</v>
          </cell>
          <cell r="N673">
            <v>1.3881734684314301E-3</v>
          </cell>
          <cell r="O673">
            <v>9.7679280531609699E-4</v>
          </cell>
        </row>
        <row r="674">
          <cell r="A674" t="str">
            <v>RHNS-SHSOLBR</v>
          </cell>
          <cell r="B674" t="str">
            <v>VAR_cap</v>
          </cell>
          <cell r="C674" t="str">
            <v>-</v>
          </cell>
          <cell r="E674">
            <v>2.4205693844873599E-3</v>
          </cell>
          <cell r="F674">
            <v>2.4839223041598101E-3</v>
          </cell>
          <cell r="G674">
            <v>2.4850321603780601E-3</v>
          </cell>
          <cell r="H674">
            <v>2.5607293704836402E-3</v>
          </cell>
          <cell r="I674">
            <v>2.5607784778433501E-3</v>
          </cell>
          <cell r="J674">
            <v>2.56102725753306E-3</v>
          </cell>
          <cell r="K674">
            <v>2.5697446481277998E-3</v>
          </cell>
          <cell r="L674">
            <v>2.5697617199814901E-3</v>
          </cell>
          <cell r="M674">
            <v>2.5702520520125101E-3</v>
          </cell>
          <cell r="N674">
            <v>2.5707821517480401E-3</v>
          </cell>
          <cell r="O674">
            <v>2.5762797026285E-3</v>
          </cell>
        </row>
        <row r="675">
          <cell r="A675" t="str">
            <v>RHES-SHPLTBR</v>
          </cell>
          <cell r="B675" t="str">
            <v>VAR_fout</v>
          </cell>
          <cell r="C675" t="str">
            <v>RHES-SHPLT</v>
          </cell>
          <cell r="D675">
            <v>1.2957576039884786</v>
          </cell>
          <cell r="E675">
            <v>1.4868842365478501</v>
          </cell>
          <cell r="F675">
            <v>1.4868848822256056</v>
          </cell>
          <cell r="G675">
            <v>1.4868842528532658</v>
          </cell>
          <cell r="H675">
            <v>1.4868846589093778</v>
          </cell>
          <cell r="I675">
            <v>1.4868849187652668</v>
          </cell>
          <cell r="J675">
            <v>1.4868858056446725</v>
          </cell>
          <cell r="K675">
            <v>1.4868863885381172</v>
          </cell>
          <cell r="L675">
            <v>1.486886305307082</v>
          </cell>
          <cell r="M675">
            <v>1.486887741773923</v>
          </cell>
          <cell r="N675">
            <v>1.4868886174524774</v>
          </cell>
          <cell r="O675">
            <v>1.4868918050070723</v>
          </cell>
        </row>
        <row r="676">
          <cell r="A676" t="str">
            <v>RHES-SHPLTBR</v>
          </cell>
          <cell r="B676" t="str">
            <v>VAR_fin</v>
          </cell>
          <cell r="C676" t="str">
            <v>RPLT</v>
          </cell>
          <cell r="D676">
            <v>1.4397306710983093</v>
          </cell>
          <cell r="E676">
            <v>1.652093596164278</v>
          </cell>
          <cell r="F676">
            <v>1.6520943135840065</v>
          </cell>
          <cell r="G676">
            <v>1.6520936142814058</v>
          </cell>
          <cell r="H676">
            <v>1.6520940654548659</v>
          </cell>
          <cell r="I676">
            <v>1.6520943541836273</v>
          </cell>
          <cell r="J676">
            <v>1.6520953396051914</v>
          </cell>
          <cell r="K676">
            <v>1.6520959872645735</v>
          </cell>
          <cell r="L676">
            <v>1.6520958947856452</v>
          </cell>
          <cell r="M676">
            <v>1.6520974908599153</v>
          </cell>
          <cell r="N676">
            <v>1.6520984638360858</v>
          </cell>
          <cell r="O676">
            <v>1.6521020055634128</v>
          </cell>
        </row>
        <row r="677">
          <cell r="A677" t="str">
            <v>RHES-SHPLTBR</v>
          </cell>
          <cell r="B677" t="str">
            <v>VAR_ncap</v>
          </cell>
          <cell r="C677" t="str">
            <v>-</v>
          </cell>
          <cell r="E677">
            <v>1.5621970481997699E-2</v>
          </cell>
          <cell r="F677">
            <v>6.3755509359152005E-7</v>
          </cell>
          <cell r="G677">
            <v>4.0061059619005203E-5</v>
          </cell>
          <cell r="H677">
            <v>8.6469611040624506E-2</v>
          </cell>
          <cell r="I677">
            <v>3.3667771666372602E-2</v>
          </cell>
          <cell r="J677">
            <v>5.6148598941729597E-6</v>
          </cell>
          <cell r="K677">
            <v>8.8186137867927505E-2</v>
          </cell>
          <cell r="L677">
            <v>2.7727637596268801E-2</v>
          </cell>
          <cell r="M677">
            <v>4.44008480671377E-3</v>
          </cell>
          <cell r="N677">
            <v>8.1374711744314904E-2</v>
          </cell>
          <cell r="O677">
            <v>3.4622572209264103E-2</v>
          </cell>
        </row>
        <row r="678">
          <cell r="A678" t="str">
            <v>RHES-SHPLTBR</v>
          </cell>
          <cell r="B678" t="str">
            <v>VAR_cap</v>
          </cell>
          <cell r="C678" t="str">
            <v>-</v>
          </cell>
          <cell r="D678">
            <v>0.104681131456585</v>
          </cell>
          <cell r="E678">
            <v>0.12030307903485507</v>
          </cell>
          <cell r="F678">
            <v>0.12030357077675524</v>
          </cell>
          <cell r="G678">
            <v>0.12034350246667289</v>
          </cell>
          <cell r="H678">
            <v>0.12166112430224671</v>
          </cell>
          <cell r="I678">
            <v>0.12016977696010417</v>
          </cell>
          <cell r="J678">
            <v>0.12014285504266298</v>
          </cell>
          <cell r="K678">
            <v>0.1218592958994975</v>
          </cell>
          <cell r="L678">
            <v>0.1210915799523635</v>
          </cell>
          <cell r="M678">
            <v>0.12035360152456857</v>
          </cell>
          <cell r="N678">
            <v>0.12037170295489788</v>
          </cell>
          <cell r="O678">
            <v>0.12043708329953343</v>
          </cell>
        </row>
        <row r="679">
          <cell r="A679" t="str">
            <v>RHES-SHCONBR6</v>
          </cell>
          <cell r="B679" t="str">
            <v>VAR_fout</v>
          </cell>
          <cell r="C679" t="str">
            <v>RHES-SHCON</v>
          </cell>
          <cell r="E679">
            <v>1.2833680597416002E-4</v>
          </cell>
          <cell r="F679">
            <v>1.2848370773684066E-4</v>
          </cell>
          <cell r="G679">
            <v>1.1750019982884515E-4</v>
          </cell>
          <cell r="H679">
            <v>1.2270102476623411E-4</v>
          </cell>
          <cell r="I679">
            <v>1.2199322289424211E-4</v>
          </cell>
          <cell r="J679">
            <v>1.2475779624265647E-4</v>
          </cell>
          <cell r="K679">
            <v>1.0756871041695264E-4</v>
          </cell>
          <cell r="L679">
            <v>7.9485206882428576E-5</v>
          </cell>
          <cell r="M679">
            <v>1.0412063670914634E-4</v>
          </cell>
          <cell r="N679">
            <v>1.0408806117627956E-4</v>
          </cell>
          <cell r="O679">
            <v>1.1262629885009916E-4</v>
          </cell>
        </row>
        <row r="680">
          <cell r="A680" t="str">
            <v>RHES-SHCONBR6</v>
          </cell>
          <cell r="B680" t="str">
            <v>VAR_fin</v>
          </cell>
          <cell r="C680" t="str">
            <v>CON</v>
          </cell>
          <cell r="E680">
            <v>1.2833680597416002E-4</v>
          </cell>
          <cell r="F680">
            <v>1.2848370773684066E-4</v>
          </cell>
          <cell r="G680">
            <v>1.1750019982884515E-4</v>
          </cell>
          <cell r="H680">
            <v>1.2270102476623411E-4</v>
          </cell>
          <cell r="I680">
            <v>1.2199322289424211E-4</v>
          </cell>
          <cell r="J680">
            <v>1.2475779624265647E-4</v>
          </cell>
          <cell r="K680">
            <v>1.0756871041695264E-4</v>
          </cell>
          <cell r="L680">
            <v>7.9485206882428576E-5</v>
          </cell>
          <cell r="M680">
            <v>1.0412063670914634E-4</v>
          </cell>
          <cell r="N680">
            <v>1.0408806117627956E-4</v>
          </cell>
          <cell r="O680">
            <v>1.1262629885009916E-4</v>
          </cell>
        </row>
        <row r="681">
          <cell r="A681" t="str">
            <v>RHES-SHCONBR6</v>
          </cell>
          <cell r="B681" t="str">
            <v>VAR_ncap</v>
          </cell>
          <cell r="C681" t="str">
            <v>-</v>
          </cell>
          <cell r="E681">
            <v>9.0785066051456004E-6</v>
          </cell>
          <cell r="F681">
            <v>1.7196059514602899E-8</v>
          </cell>
          <cell r="G681">
            <v>2.1290294349594798E-8</v>
          </cell>
          <cell r="H681">
            <v>1.33599222415166E-8</v>
          </cell>
          <cell r="I681">
            <v>1.40833459132363E-8</v>
          </cell>
          <cell r="J681">
            <v>1.7363210086663599E-8</v>
          </cell>
          <cell r="K681">
            <v>1.48965918987461E-6</v>
          </cell>
          <cell r="L681">
            <v>4.5136040988007499E-6</v>
          </cell>
          <cell r="M681">
            <v>1.10974299067625E-6</v>
          </cell>
          <cell r="N681">
            <v>9.0463538668793403E-7</v>
          </cell>
          <cell r="O681">
            <v>3.05481341946989E-8</v>
          </cell>
        </row>
        <row r="682">
          <cell r="A682" t="str">
            <v>RHES-SHCONBR6</v>
          </cell>
          <cell r="B682" t="str">
            <v>VAR_cap</v>
          </cell>
          <cell r="C682" t="str">
            <v>-</v>
          </cell>
          <cell r="E682">
            <v>9.0785066051456004E-6</v>
          </cell>
          <cell r="F682">
            <v>9.0957026646601999E-6</v>
          </cell>
          <cell r="G682">
            <v>9.1169929590097905E-6</v>
          </cell>
          <cell r="H682">
            <v>9.1303528812513099E-6</v>
          </cell>
          <cell r="I682">
            <v>9.14443622716455E-6</v>
          </cell>
          <cell r="J682">
            <v>9.1617994372512093E-6</v>
          </cell>
          <cell r="K682">
            <v>7.6996987264125008E-6</v>
          </cell>
          <cell r="L682">
            <v>6.0688678505697699E-6</v>
          </cell>
          <cell r="M682">
            <v>7.1578127575930204E-6</v>
          </cell>
          <cell r="N682">
            <v>8.0492498097846698E-6</v>
          </cell>
          <cell r="O682">
            <v>8.0655530103208992E-6</v>
          </cell>
        </row>
        <row r="683">
          <cell r="A683" t="str">
            <v>RHSA-WHPLTBR</v>
          </cell>
          <cell r="B683" t="str">
            <v>VAR_fout</v>
          </cell>
          <cell r="C683" t="str">
            <v>RHSA-WHPLT</v>
          </cell>
          <cell r="D683">
            <v>0.16979307724687256</v>
          </cell>
          <cell r="E683">
            <v>0.1948363377643603</v>
          </cell>
          <cell r="F683">
            <v>0.12891513446850789</v>
          </cell>
          <cell r="G683">
            <v>0.13422904053798335</v>
          </cell>
          <cell r="H683">
            <v>0.13901150830889342</v>
          </cell>
          <cell r="I683">
            <v>0.14290944755521237</v>
          </cell>
          <cell r="J683">
            <v>0.14608215843172689</v>
          </cell>
          <cell r="K683">
            <v>0.14912917241770757</v>
          </cell>
          <cell r="L683">
            <v>0.15129529691203697</v>
          </cell>
          <cell r="M683">
            <v>0.15376344308537607</v>
          </cell>
          <cell r="N683">
            <v>0.15376438353692667</v>
          </cell>
          <cell r="O683">
            <v>0.15376742806756183</v>
          </cell>
        </row>
        <row r="684">
          <cell r="A684" t="str">
            <v>RHSA-WHPLTBR</v>
          </cell>
          <cell r="B684" t="str">
            <v>VAR_fin</v>
          </cell>
          <cell r="C684" t="str">
            <v>RPLT</v>
          </cell>
          <cell r="D684">
            <v>0.27166892359499606</v>
          </cell>
          <cell r="E684">
            <v>0.31173814042297648</v>
          </cell>
          <cell r="F684">
            <v>0.2062642151496126</v>
          </cell>
          <cell r="G684">
            <v>0.21476646486077322</v>
          </cell>
          <cell r="H684">
            <v>0.22241841329422962</v>
          </cell>
          <cell r="I684">
            <v>0.2286551160883396</v>
          </cell>
          <cell r="J684">
            <v>0.23373145349076321</v>
          </cell>
          <cell r="K684">
            <v>0.23860667586833215</v>
          </cell>
          <cell r="L684">
            <v>0.24207247505925952</v>
          </cell>
          <cell r="M684">
            <v>0.24602150893660196</v>
          </cell>
          <cell r="N684">
            <v>0.24602301365908263</v>
          </cell>
          <cell r="O684">
            <v>0.24602788490809901</v>
          </cell>
        </row>
        <row r="685">
          <cell r="A685" t="str">
            <v>RHSA-WHPLTBR</v>
          </cell>
          <cell r="B685" t="str">
            <v>VAR_ncap</v>
          </cell>
          <cell r="C685" t="str">
            <v>-</v>
          </cell>
          <cell r="E685">
            <v>1.9517092238670001E-3</v>
          </cell>
          <cell r="F685">
            <v>1.5220605849796901E-7</v>
          </cell>
          <cell r="G685">
            <v>2.78468119245963E-7</v>
          </cell>
          <cell r="H685">
            <v>5.6008861990793704E-3</v>
          </cell>
          <cell r="I685">
            <v>4.17476794387332E-3</v>
          </cell>
          <cell r="J685">
            <v>2.1818894993233301E-4</v>
          </cell>
          <cell r="K685">
            <v>5.8217152095188501E-3</v>
          </cell>
          <cell r="L685">
            <v>3.69817579279788E-3</v>
          </cell>
          <cell r="M685">
            <v>1.0081699495399501E-3</v>
          </cell>
          <cell r="N685">
            <v>5.95831040492253E-3</v>
          </cell>
          <cell r="O685">
            <v>3.6171794817528302E-3</v>
          </cell>
        </row>
        <row r="686">
          <cell r="A686" t="str">
            <v>RHSA-WHPLTBR</v>
          </cell>
          <cell r="B686" t="str">
            <v>VAR_cap</v>
          </cell>
          <cell r="C686" t="str">
            <v>-</v>
          </cell>
          <cell r="D686">
            <v>1.12410901121583E-2</v>
          </cell>
          <cell r="E686">
            <v>1.3192769979336695E-2</v>
          </cell>
          <cell r="F686">
            <v>1.3190673252429728E-2</v>
          </cell>
          <cell r="G686">
            <v>1.3189731067839319E-2</v>
          </cell>
          <cell r="H686">
            <v>9.5149120725704899E-3</v>
          </cell>
          <cell r="I686">
            <v>9.7757105385103821E-3</v>
          </cell>
          <cell r="J686">
            <v>9.9935999661860536E-3</v>
          </cell>
          <cell r="K686">
            <v>1.0214255518426847E-2</v>
          </cell>
          <cell r="L686">
            <v>1.0350189099481592E-2</v>
          </cell>
          <cell r="M686">
            <v>1.0527602408873111E-2</v>
          </cell>
          <cell r="N686">
            <v>1.0522765567091717E-2</v>
          </cell>
          <cell r="O686">
            <v>1.0583185330725475E-2</v>
          </cell>
        </row>
        <row r="687">
          <cell r="A687" t="str">
            <v>ITOT-SWHCONBR8</v>
          </cell>
          <cell r="B687" t="str">
            <v>VAR_fout</v>
          </cell>
          <cell r="C687" t="str">
            <v>ITOT-ELS</v>
          </cell>
          <cell r="J687">
            <v>7.8025097658594318E-5</v>
          </cell>
          <cell r="K687">
            <v>1.412206274532637E-4</v>
          </cell>
          <cell r="L687">
            <v>1.2996673418086128E-4</v>
          </cell>
          <cell r="M687">
            <v>2.0721650155593513E-4</v>
          </cell>
          <cell r="N687">
            <v>1.7691845133479972E-4</v>
          </cell>
          <cell r="O687">
            <v>3.2583716727798415E-4</v>
          </cell>
        </row>
        <row r="688">
          <cell r="A688" t="str">
            <v>ITOT-SWHCONBR8</v>
          </cell>
          <cell r="B688" t="str">
            <v>VAR_fout</v>
          </cell>
          <cell r="C688" t="str">
            <v>ITOT-SWHC</v>
          </cell>
          <cell r="J688">
            <v>3.0125651980244004E-4</v>
          </cell>
          <cell r="K688">
            <v>5.4525577061166337E-4</v>
          </cell>
          <cell r="L688">
            <v>5.0180425535298811E-4</v>
          </cell>
          <cell r="M688">
            <v>8.0006720885535403E-4</v>
          </cell>
          <cell r="N688">
            <v>6.83085808763335E-4</v>
          </cell>
          <cell r="O688">
            <v>1.2580640586438126E-3</v>
          </cell>
        </row>
        <row r="689">
          <cell r="A689" t="str">
            <v>ITOT-SWHCONBR8</v>
          </cell>
          <cell r="B689" t="str">
            <v>VAR_fin</v>
          </cell>
          <cell r="C689" t="str">
            <v>CON</v>
          </cell>
          <cell r="J689">
            <v>3.7928161746103459E-4</v>
          </cell>
          <cell r="K689">
            <v>6.8647639806492758E-4</v>
          </cell>
          <cell r="L689">
            <v>6.3177098953384975E-4</v>
          </cell>
          <cell r="M689">
            <v>1.0072837104112889E-3</v>
          </cell>
          <cell r="N689">
            <v>8.600042600981348E-4</v>
          </cell>
          <cell r="O689">
            <v>1.5839012259217958E-3</v>
          </cell>
        </row>
        <row r="690">
          <cell r="A690" t="str">
            <v>ITOT-SWHCONBR8</v>
          </cell>
          <cell r="B690" t="str">
            <v>VAR_ncap</v>
          </cell>
          <cell r="C690" t="str">
            <v>-</v>
          </cell>
          <cell r="J690">
            <v>2.0317447596728601E-5</v>
          </cell>
          <cell r="K690">
            <v>1.6073134194049898E-5</v>
          </cell>
          <cell r="L690">
            <v>2.65749636537344E-7</v>
          </cell>
          <cell r="M690">
            <v>3.75432965914831E-5</v>
          </cell>
          <cell r="N690">
            <v>5.8920002146271599E-6</v>
          </cell>
          <cell r="O690">
            <v>4.1952720854862497E-5</v>
          </cell>
        </row>
        <row r="691">
          <cell r="A691" t="str">
            <v>ITOT-SWHCONBR8</v>
          </cell>
          <cell r="B691" t="str">
            <v>VAR_cap</v>
          </cell>
          <cell r="C691" t="str">
            <v>-</v>
          </cell>
          <cell r="J691">
            <v>2.0317447596728601E-5</v>
          </cell>
          <cell r="K691">
            <v>3.6390581790778601E-5</v>
          </cell>
          <cell r="L691">
            <v>3.3964362501780697E-5</v>
          </cell>
          <cell r="M691">
            <v>5.38821804220703E-5</v>
          </cell>
          <cell r="N691">
            <v>4.6463704610944602E-5</v>
          </cell>
          <cell r="O691">
            <v>8.5388017660972704E-5</v>
          </cell>
        </row>
        <row r="692">
          <cell r="A692" t="str">
            <v>D-SCOM_KEV_HFC_ELC_CHP</v>
          </cell>
          <cell r="B692" t="str">
            <v>VAR_fout</v>
          </cell>
          <cell r="C692" t="str">
            <v>ELC5</v>
          </cell>
          <cell r="G692">
            <v>5.8475026256086182E-4</v>
          </cell>
          <cell r="H692">
            <v>1.4937046432513192E-3</v>
          </cell>
          <cell r="I692">
            <v>7.6904302626551865E-3</v>
          </cell>
          <cell r="J692">
            <v>3.0199205960534978E-2</v>
          </cell>
          <cell r="K692">
            <v>4.5271412228335833E-2</v>
          </cell>
          <cell r="L692">
            <v>3.7223588176334206E-2</v>
          </cell>
          <cell r="M692">
            <v>1.4340117272209525E-2</v>
          </cell>
          <cell r="N692">
            <v>4.7276057314015983E-3</v>
          </cell>
          <cell r="O692">
            <v>1.2417032433080353E-2</v>
          </cell>
        </row>
        <row r="693">
          <cell r="A693" t="str">
            <v>D-SCOM_KEV_HFC_ELC_CHP</v>
          </cell>
          <cell r="B693" t="str">
            <v>VAR_fout</v>
          </cell>
          <cell r="C693" t="str">
            <v>SCOM_ELC</v>
          </cell>
          <cell r="G693">
            <v>5.8441516647268939E-4</v>
          </cell>
          <cell r="H693">
            <v>1.4929005895572731E-3</v>
          </cell>
          <cell r="I693">
            <v>7.6872468333105603E-3</v>
          </cell>
          <cell r="J693">
            <v>3.0168260580348352E-2</v>
          </cell>
          <cell r="K693">
            <v>4.5254604080172137E-2</v>
          </cell>
          <cell r="L693">
            <v>3.7169678805629346E-2</v>
          </cell>
          <cell r="M693">
            <v>1.4338447306142154E-2</v>
          </cell>
          <cell r="N693">
            <v>4.7262048505747759E-3</v>
          </cell>
          <cell r="O693">
            <v>1.2417166367281591E-2</v>
          </cell>
        </row>
        <row r="694">
          <cell r="A694" t="str">
            <v>D-SCOM_KEV_HFC_ELC_CHP</v>
          </cell>
          <cell r="B694" t="str">
            <v>VAR_fin</v>
          </cell>
          <cell r="C694" t="str">
            <v>SCOM_KEV_HFC_ELC_CHP</v>
          </cell>
          <cell r="G694">
            <v>1.167977495332232E-3</v>
          </cell>
          <cell r="H694">
            <v>2.984652341344081E-3</v>
          </cell>
          <cell r="I694">
            <v>1.5377672504737063E-2</v>
          </cell>
          <cell r="J694">
            <v>6.0366294644802344E-2</v>
          </cell>
          <cell r="K694">
            <v>9.0524244477773172E-2</v>
          </cell>
          <cell r="L694">
            <v>7.4390328090462712E-2</v>
          </cell>
          <cell r="M694">
            <v>2.8677243535230667E-2</v>
          </cell>
          <cell r="N694">
            <v>9.4505014439309996E-3</v>
          </cell>
          <cell r="O694">
            <v>2.4830612420623465E-2</v>
          </cell>
        </row>
        <row r="695">
          <cell r="A695" t="str">
            <v>D-EH2R</v>
          </cell>
          <cell r="B695" t="str">
            <v>VAR_fout</v>
          </cell>
          <cell r="C695" t="str">
            <v>EH2</v>
          </cell>
          <cell r="I695">
            <v>5.2082133617348557E-2</v>
          </cell>
          <cell r="J695">
            <v>0.32393478903593703</v>
          </cell>
          <cell r="K695">
            <v>0.46755058785886366</v>
          </cell>
          <cell r="L695">
            <v>8.1899128725521214E-2</v>
          </cell>
          <cell r="M695">
            <v>8.2215332371654917E-3</v>
          </cell>
          <cell r="N695">
            <v>6.8368368430725968E-3</v>
          </cell>
          <cell r="O695">
            <v>1.5414543629503176E-2</v>
          </cell>
        </row>
        <row r="696">
          <cell r="A696" t="str">
            <v>D-EH2R</v>
          </cell>
          <cell r="B696" t="str">
            <v>VAR_fin</v>
          </cell>
          <cell r="C696" t="str">
            <v>H2</v>
          </cell>
          <cell r="I696">
            <v>5.2082133617348557E-2</v>
          </cell>
          <cell r="J696">
            <v>0.32393478903593703</v>
          </cell>
          <cell r="K696">
            <v>0.46755058785886366</v>
          </cell>
          <cell r="L696">
            <v>8.1899128725521214E-2</v>
          </cell>
          <cell r="M696">
            <v>8.2215332371654917E-3</v>
          </cell>
          <cell r="N696">
            <v>6.8368368430725968E-3</v>
          </cell>
          <cell r="O696">
            <v>1.5414543629503176E-2</v>
          </cell>
        </row>
        <row r="697">
          <cell r="A697" t="str">
            <v>D-EH2R</v>
          </cell>
          <cell r="B697" t="str">
            <v>VAR_ncap</v>
          </cell>
          <cell r="C697" t="str">
            <v>-</v>
          </cell>
          <cell r="H697">
            <v>6.4650246226006496E-7</v>
          </cell>
          <cell r="I697">
            <v>2.4007288911157901E-3</v>
          </cell>
          <cell r="J697">
            <v>1.3103223921507701E-2</v>
          </cell>
          <cell r="K697">
            <v>5.4437656647070599E-3</v>
          </cell>
          <cell r="L697">
            <v>2.14330422282632E-4</v>
          </cell>
          <cell r="M697">
            <v>2.5150465004406398E-4</v>
          </cell>
          <cell r="N697">
            <v>3.0189387902386999E-4</v>
          </cell>
          <cell r="O697">
            <v>5.4018327651269204E-4</v>
          </cell>
        </row>
        <row r="698">
          <cell r="A698" t="str">
            <v>D-EH2R</v>
          </cell>
          <cell r="B698" t="str">
            <v>VAR_cap</v>
          </cell>
          <cell r="C698" t="str">
            <v>-</v>
          </cell>
          <cell r="H698">
            <v>6.4650246226006496E-7</v>
          </cell>
          <cell r="I698">
            <v>2.4008646546531901E-3</v>
          </cell>
          <cell r="J698">
            <v>1.3103223921507701E-2</v>
          </cell>
          <cell r="K698">
            <v>1.8546989586214702E-2</v>
          </cell>
          <cell r="L698">
            <v>3.88020641334413E-3</v>
          </cell>
          <cell r="M698">
            <v>4.14220475289393E-4</v>
          </cell>
          <cell r="N698">
            <v>3.46440866348777E-4</v>
          </cell>
          <cell r="O698">
            <v>8.4207715553656203E-4</v>
          </cell>
        </row>
        <row r="699">
          <cell r="A699" t="str">
            <v>SCOM-ELCSPECADV</v>
          </cell>
          <cell r="B699" t="str">
            <v>VAR_fout</v>
          </cell>
          <cell r="C699" t="str">
            <v>SCOM-ELS</v>
          </cell>
          <cell r="G699">
            <v>1.9980616443518101E-4</v>
          </cell>
          <cell r="H699">
            <v>4.7058753807141648E-4</v>
          </cell>
          <cell r="I699">
            <v>6.1007513103200715E-4</v>
          </cell>
          <cell r="J699">
            <v>1.110109476909174E-3</v>
          </cell>
          <cell r="K699">
            <v>1.1631234587500528E-3</v>
          </cell>
          <cell r="L699">
            <v>9.6756616392698603E-4</v>
          </cell>
          <cell r="M699">
            <v>7.6823781432742858E-4</v>
          </cell>
          <cell r="N699">
            <v>5.9949877092940187E-4</v>
          </cell>
          <cell r="O699">
            <v>1.2616016239885247E-3</v>
          </cell>
        </row>
        <row r="700">
          <cell r="A700" t="str">
            <v>SCOM-ELCSPECADV</v>
          </cell>
          <cell r="B700" t="str">
            <v>VAR_fin</v>
          </cell>
          <cell r="C700" t="str">
            <v>SCOM_ELC</v>
          </cell>
          <cell r="G700">
            <v>1.7203904785082307E-4</v>
          </cell>
          <cell r="H700">
            <v>3.9508744877997409E-4</v>
          </cell>
          <cell r="I700">
            <v>4.9973624776250981E-4</v>
          </cell>
          <cell r="J700">
            <v>8.8666181109747116E-4</v>
          </cell>
          <cell r="K700">
            <v>9.0640590706059232E-4</v>
          </cell>
          <cell r="L700">
            <v>7.5401083165999591E-4</v>
          </cell>
          <cell r="M700">
            <v>5.9867702580946539E-4</v>
          </cell>
          <cell r="N700">
            <v>4.6718104011927194E-4</v>
          </cell>
          <cell r="O700">
            <v>9.8314856925791759E-4</v>
          </cell>
        </row>
        <row r="701">
          <cell r="A701" t="str">
            <v>SCOM-ELCSPECADV</v>
          </cell>
          <cell r="B701" t="str">
            <v>VAR_ncap</v>
          </cell>
          <cell r="C701" t="str">
            <v>-</v>
          </cell>
          <cell r="G701">
            <v>2.1226071374300899E-5</v>
          </cell>
          <cell r="H701">
            <v>2.8684427345317599E-5</v>
          </cell>
          <cell r="I701">
            <v>1.47917187620362E-5</v>
          </cell>
          <cell r="J701">
            <v>5.3062477197733397E-5</v>
          </cell>
          <cell r="K701">
            <v>6.0915554427778797E-6</v>
          </cell>
          <cell r="L701">
            <v>7.1742891689354604E-7</v>
          </cell>
          <cell r="M701">
            <v>7.8940757197958299E-6</v>
          </cell>
          <cell r="N701">
            <v>5.0678223685577803E-6</v>
          </cell>
          <cell r="O701">
            <v>1.15011753715992E-4</v>
          </cell>
        </row>
        <row r="702">
          <cell r="A702" t="str">
            <v>SCOM-ELCSPECADV</v>
          </cell>
          <cell r="B702" t="str">
            <v>VAR_cap</v>
          </cell>
          <cell r="C702" t="str">
            <v>-</v>
          </cell>
          <cell r="G702">
            <v>2.1226071374300899E-5</v>
          </cell>
          <cell r="H702">
            <v>4.9872621483920438E-5</v>
          </cell>
          <cell r="I702">
            <v>6.4561788552773528E-5</v>
          </cell>
          <cell r="J702">
            <v>1.1743862242824624E-4</v>
          </cell>
          <cell r="K702">
            <v>1.2312691370963011E-4</v>
          </cell>
          <cell r="L702">
            <v>1.0236455987457247E-4</v>
          </cell>
          <cell r="M702">
            <v>8.1457937618431751E-5</v>
          </cell>
          <cell r="N702">
            <v>6.3552085796881011E-5</v>
          </cell>
          <cell r="O702">
            <v>1.3380620575731181E-4</v>
          </cell>
        </row>
        <row r="703">
          <cell r="A703" t="str">
            <v>RHSA-WHLTHRD</v>
          </cell>
          <cell r="B703" t="str">
            <v>VAR_fout</v>
          </cell>
          <cell r="C703" t="str">
            <v>RHSA-WHLTHRD</v>
          </cell>
          <cell r="D703">
            <v>1.3170451623771799</v>
          </cell>
          <cell r="E703">
            <v>1.4633762735993607</v>
          </cell>
          <cell r="F703">
            <v>1.4345976202170658</v>
          </cell>
          <cell r="G703">
            <v>0.99568671397881148</v>
          </cell>
          <cell r="H703">
            <v>1.0189509344568086</v>
          </cell>
          <cell r="I703">
            <v>1.331633812726956</v>
          </cell>
          <cell r="J703">
            <v>1.1127884428665227</v>
          </cell>
          <cell r="K703">
            <v>1.3973698056234676</v>
          </cell>
          <cell r="L703">
            <v>1.3712791774936943</v>
          </cell>
          <cell r="M703">
            <v>1.3543708763368196</v>
          </cell>
          <cell r="N703">
            <v>1.3888068100809643</v>
          </cell>
          <cell r="O703">
            <v>1.2069795197318089</v>
          </cell>
        </row>
        <row r="704">
          <cell r="A704" t="str">
            <v>RHSA-WHLTHRD</v>
          </cell>
          <cell r="B704" t="str">
            <v>VAR_fin</v>
          </cell>
          <cell r="C704" t="str">
            <v>RHSA_LTH</v>
          </cell>
          <cell r="D704">
            <v>1.7104482628275068</v>
          </cell>
          <cell r="E704">
            <v>1.8955651212426929</v>
          </cell>
          <cell r="F704">
            <v>1.8510937035058908</v>
          </cell>
          <cell r="G704">
            <v>1.2765214281779631</v>
          </cell>
          <cell r="H704">
            <v>1.2980266680978449</v>
          </cell>
          <cell r="I704">
            <v>1.6856124211733625</v>
          </cell>
          <cell r="J704">
            <v>1.4085929656538263</v>
          </cell>
          <cell r="K704">
            <v>1.7688225387638823</v>
          </cell>
          <cell r="L704">
            <v>1.7357964272072086</v>
          </cell>
          <cell r="M704">
            <v>1.714393514350405</v>
          </cell>
          <cell r="N704">
            <v>1.7579833038999546</v>
          </cell>
          <cell r="O704">
            <v>1.5278221768757076</v>
          </cell>
        </row>
        <row r="705">
          <cell r="A705" t="str">
            <v>RHSA-WHLTHRD</v>
          </cell>
          <cell r="B705" t="str">
            <v>VAR_ncap</v>
          </cell>
          <cell r="C705" t="str">
            <v>-</v>
          </cell>
          <cell r="E705">
            <v>4.8592849071305101E-2</v>
          </cell>
          <cell r="F705">
            <v>4.4694680229110197E-2</v>
          </cell>
          <cell r="G705">
            <v>2.64668154942879E-2</v>
          </cell>
          <cell r="H705">
            <v>2.5001462908265899E-2</v>
          </cell>
          <cell r="I705">
            <v>5.4809894049221201E-2</v>
          </cell>
          <cell r="J705">
            <v>3.9568440570257303E-2</v>
          </cell>
          <cell r="K705">
            <v>6.9770630278195203E-2</v>
          </cell>
          <cell r="L705">
            <v>2.8946448064639699E-2</v>
          </cell>
          <cell r="M705">
            <v>3.55387150282169E-2</v>
          </cell>
          <cell r="N705">
            <v>4.0886271338039501E-2</v>
          </cell>
          <cell r="O705">
            <v>3.44262867366711E-2</v>
          </cell>
        </row>
        <row r="706">
          <cell r="A706" t="str">
            <v>RHSA-WHLTHRD</v>
          </cell>
          <cell r="B706" t="str">
            <v>VAR_cap</v>
          </cell>
          <cell r="C706" t="str">
            <v>-</v>
          </cell>
          <cell r="D706">
            <v>0.13737412127568699</v>
          </cell>
          <cell r="E706">
            <v>0.1501971172161648</v>
          </cell>
          <cell r="F706">
            <v>0.14271635326390328</v>
          </cell>
          <cell r="G706">
            <v>8.4919380530158961E-2</v>
          </cell>
          <cell r="H706">
            <v>8.0468652788754952E-2</v>
          </cell>
          <cell r="I706">
            <v>0.12248445690920295</v>
          </cell>
          <cell r="J706">
            <v>0.12494700935548897</v>
          </cell>
          <cell r="K706">
            <v>0.17159649015529899</v>
          </cell>
          <cell r="L706">
            <v>0.12733092644516197</v>
          </cell>
          <cell r="M706">
            <v>0.12357626832176405</v>
          </cell>
          <cell r="N706">
            <v>0.12283805927330504</v>
          </cell>
          <cell r="O706">
            <v>0.11148501926036397</v>
          </cell>
        </row>
        <row r="707">
          <cell r="A707" t="str">
            <v>RHES-SHCONBR7</v>
          </cell>
          <cell r="B707" t="str">
            <v>VAR_fout</v>
          </cell>
          <cell r="C707" t="str">
            <v>RHES-SHCON</v>
          </cell>
          <cell r="E707">
            <v>1.2203275079883169E-4</v>
          </cell>
          <cell r="F707">
            <v>1.2219685888510077E-4</v>
          </cell>
          <cell r="G707">
            <v>1.1120627989731948E-4</v>
          </cell>
          <cell r="H707">
            <v>1.1640848528133424E-4</v>
          </cell>
          <cell r="I707">
            <v>1.1570065560014818E-4</v>
          </cell>
          <cell r="J707">
            <v>1.1846652518276329E-4</v>
          </cell>
          <cell r="K707">
            <v>1.046434340728932E-4</v>
          </cell>
          <cell r="L707">
            <v>7.6864707617201232E-5</v>
          </cell>
          <cell r="M707">
            <v>1.0147332882616622E-4</v>
          </cell>
          <cell r="N707">
            <v>1.0147804851526061E-4</v>
          </cell>
          <cell r="O707">
            <v>1.10075337271904E-4</v>
          </cell>
        </row>
        <row r="708">
          <cell r="A708" t="str">
            <v>RHES-SHCONBR7</v>
          </cell>
          <cell r="B708" t="str">
            <v>VAR_fin</v>
          </cell>
          <cell r="C708" t="str">
            <v>CON</v>
          </cell>
          <cell r="E708">
            <v>1.2203275079883169E-4</v>
          </cell>
          <cell r="F708">
            <v>1.2219685888510077E-4</v>
          </cell>
          <cell r="G708">
            <v>1.1120627989731948E-4</v>
          </cell>
          <cell r="H708">
            <v>1.1640848528133424E-4</v>
          </cell>
          <cell r="I708">
            <v>1.1570065560014818E-4</v>
          </cell>
          <cell r="J708">
            <v>1.1846652518276329E-4</v>
          </cell>
          <cell r="K708">
            <v>1.046434340728932E-4</v>
          </cell>
          <cell r="L708">
            <v>7.6864707617201232E-5</v>
          </cell>
          <cell r="M708">
            <v>1.0147332882616622E-4</v>
          </cell>
          <cell r="N708">
            <v>1.0147804851526061E-4</v>
          </cell>
          <cell r="O708">
            <v>1.10075337271904E-4</v>
          </cell>
        </row>
        <row r="709">
          <cell r="A709" t="str">
            <v>RHES-SHCONBR7</v>
          </cell>
          <cell r="B709" t="str">
            <v>VAR_ncap</v>
          </cell>
          <cell r="C709" t="str">
            <v>-</v>
          </cell>
          <cell r="E709">
            <v>8.5691948605568594E-6</v>
          </cell>
          <cell r="F709">
            <v>1.71266069604794E-8</v>
          </cell>
          <cell r="G709">
            <v>2.1626970855331699E-8</v>
          </cell>
          <cell r="H709">
            <v>1.3407204639506801E-8</v>
          </cell>
          <cell r="I709">
            <v>1.4008318598152099E-8</v>
          </cell>
          <cell r="J709">
            <v>1.73227347113794E-8</v>
          </cell>
          <cell r="K709">
            <v>1.5967087174610901E-6</v>
          </cell>
          <cell r="L709">
            <v>4.1943240466533504E-6</v>
          </cell>
          <cell r="M709">
            <v>1.10768526445213E-6</v>
          </cell>
          <cell r="N709">
            <v>9.0781413488542899E-7</v>
          </cell>
          <cell r="O709">
            <v>3.0666149882452499E-8</v>
          </cell>
        </row>
        <row r="710">
          <cell r="A710" t="str">
            <v>RHES-SHCONBR7</v>
          </cell>
          <cell r="B710" t="str">
            <v>VAR_cap</v>
          </cell>
          <cell r="C710" t="str">
            <v>-</v>
          </cell>
          <cell r="E710">
            <v>8.5691948605568594E-6</v>
          </cell>
          <cell r="F710">
            <v>8.5863214675173401E-6</v>
          </cell>
          <cell r="G710">
            <v>8.6079484383726699E-6</v>
          </cell>
          <cell r="H710">
            <v>8.6213556430121806E-6</v>
          </cell>
          <cell r="I710">
            <v>8.6353639616103308E-6</v>
          </cell>
          <cell r="J710">
            <v>8.6526866963217092E-6</v>
          </cell>
          <cell r="K710">
            <v>7.4632316898445402E-6</v>
          </cell>
          <cell r="L710">
            <v>5.85679436777178E-6</v>
          </cell>
          <cell r="M710">
            <v>6.9434562865155997E-6</v>
          </cell>
          <cell r="N710">
            <v>7.8380449247799302E-6</v>
          </cell>
          <cell r="O710">
            <v>7.8545210480458296E-6</v>
          </cell>
        </row>
        <row r="711">
          <cell r="A711" t="str">
            <v>ITOT-SWHCONBR9</v>
          </cell>
          <cell r="B711" t="str">
            <v>VAR_fout</v>
          </cell>
          <cell r="C711" t="str">
            <v>ITOT-ELS</v>
          </cell>
          <cell r="J711">
            <v>1.6861436101070139E-5</v>
          </cell>
          <cell r="K711">
            <v>2.931082277069058E-5</v>
          </cell>
          <cell r="L711">
            <v>2.6136679112729395E-5</v>
          </cell>
          <cell r="M711">
            <v>3.9581108212440052E-5</v>
          </cell>
          <cell r="N711">
            <v>3.3052025407776863E-5</v>
          </cell>
          <cell r="O711">
            <v>6.8251792161187132E-5</v>
          </cell>
        </row>
        <row r="712">
          <cell r="A712" t="str">
            <v>ITOT-SWHCONBR9</v>
          </cell>
          <cell r="B712" t="str">
            <v>VAR_fout</v>
          </cell>
          <cell r="C712" t="str">
            <v>ITOT-SWHC</v>
          </cell>
          <cell r="J712">
            <v>9.8077137982213386E-5</v>
          </cell>
          <cell r="K712">
            <v>1.7011984060954201E-4</v>
          </cell>
          <cell r="L712">
            <v>1.5169712974302506E-4</v>
          </cell>
          <cell r="M712">
            <v>2.2972851608186651E-4</v>
          </cell>
          <cell r="N712">
            <v>1.9183375841008677E-4</v>
          </cell>
          <cell r="O712">
            <v>3.9613299478536508E-4</v>
          </cell>
        </row>
        <row r="713">
          <cell r="A713" t="str">
            <v>ITOT-SWHCONBR9</v>
          </cell>
          <cell r="B713" t="str">
            <v>VAR_fin</v>
          </cell>
          <cell r="C713" t="str">
            <v>CON</v>
          </cell>
          <cell r="J713">
            <v>1.1497535278745329E-4</v>
          </cell>
          <cell r="K713">
            <v>1.9943066338023234E-4</v>
          </cell>
          <cell r="L713">
            <v>1.7783380885575434E-4</v>
          </cell>
          <cell r="M713">
            <v>2.6930962429430665E-4</v>
          </cell>
          <cell r="N713">
            <v>2.2488578381786383E-4</v>
          </cell>
          <cell r="O713">
            <v>4.6438478694655282E-4</v>
          </cell>
        </row>
        <row r="714">
          <cell r="A714" t="str">
            <v>ITOT-SWHCONBR9</v>
          </cell>
          <cell r="B714" t="str">
            <v>VAR_ncap</v>
          </cell>
          <cell r="C714" t="str">
            <v>-</v>
          </cell>
          <cell r="J714">
            <v>5.7385816306178098E-6</v>
          </cell>
          <cell r="K714">
            <v>4.1307629689539097E-6</v>
          </cell>
          <cell r="L714">
            <v>1.01252182602313E-7</v>
          </cell>
          <cell r="M714">
            <v>9.4825893212372194E-6</v>
          </cell>
          <cell r="N714">
            <v>1.62070523295848E-6</v>
          </cell>
          <cell r="O714">
            <v>1.32131455075252E-5</v>
          </cell>
        </row>
        <row r="715">
          <cell r="A715" t="str">
            <v>ITOT-SWHCONBR9</v>
          </cell>
          <cell r="B715" t="str">
            <v>VAR_cap</v>
          </cell>
          <cell r="C715" t="str">
            <v>-</v>
          </cell>
          <cell r="J715">
            <v>5.7385816306178098E-6</v>
          </cell>
          <cell r="K715">
            <v>9.8693445995717203E-6</v>
          </cell>
          <cell r="L715">
            <v>9.2102609499921494E-6</v>
          </cell>
          <cell r="M715">
            <v>1.37146044727934E-5</v>
          </cell>
          <cell r="N715">
            <v>1.19040970903326E-5</v>
          </cell>
          <cell r="O715">
            <v>2.4316440061720901E-5</v>
          </cell>
        </row>
        <row r="716">
          <cell r="A716" t="str">
            <v>SCOM-SHPLTBR</v>
          </cell>
          <cell r="B716" t="str">
            <v>VAR_fout</v>
          </cell>
          <cell r="C716" t="str">
            <v>SCOM-SHPLT</v>
          </cell>
          <cell r="D716">
            <v>1.8770710196056706</v>
          </cell>
          <cell r="E716">
            <v>2.1600823367351905</v>
          </cell>
          <cell r="F716">
            <v>2.1233104765720321</v>
          </cell>
          <cell r="G716">
            <v>2.1356304492671243</v>
          </cell>
          <cell r="H716">
            <v>2.2681211504301602</v>
          </cell>
          <cell r="I716">
            <v>2.512708196348457</v>
          </cell>
          <cell r="J716">
            <v>2.4787451943987269</v>
          </cell>
          <cell r="K716">
            <v>2.2392633434766234</v>
          </cell>
          <cell r="L716">
            <v>2.2058969741373442</v>
          </cell>
          <cell r="M716">
            <v>2.2213672749007984</v>
          </cell>
          <cell r="N716">
            <v>2.2219687052514492</v>
          </cell>
          <cell r="O716">
            <v>2.2222387949333275</v>
          </cell>
        </row>
        <row r="717">
          <cell r="A717" t="str">
            <v>SCOM-SHPLTBR</v>
          </cell>
          <cell r="B717" t="str">
            <v>VAR_fin</v>
          </cell>
          <cell r="C717" t="str">
            <v>SCOMPLTBRC</v>
          </cell>
          <cell r="D717">
            <v>1.8770710196056706</v>
          </cell>
          <cell r="E717">
            <v>2.1600823367351905</v>
          </cell>
          <cell r="F717">
            <v>2.1233104765720321</v>
          </cell>
          <cell r="G717">
            <v>2.1356304492671243</v>
          </cell>
          <cell r="H717">
            <v>2.2681211504301602</v>
          </cell>
          <cell r="I717">
            <v>2.512708196348457</v>
          </cell>
          <cell r="J717">
            <v>2.4787451943987269</v>
          </cell>
          <cell r="K717">
            <v>2.2392633434766234</v>
          </cell>
          <cell r="L717">
            <v>2.2058969741373442</v>
          </cell>
          <cell r="M717">
            <v>2.2213672749007984</v>
          </cell>
          <cell r="N717">
            <v>2.2219687052514492</v>
          </cell>
          <cell r="O717">
            <v>2.2222387949333275</v>
          </cell>
        </row>
        <row r="718">
          <cell r="A718" t="str">
            <v>SCOM-SHPLTBR</v>
          </cell>
          <cell r="B718" t="str">
            <v>VAR_fin</v>
          </cell>
          <cell r="C718" t="str">
            <v>SPLT</v>
          </cell>
          <cell r="D718">
            <v>2.0856344662285222</v>
          </cell>
          <cell r="E718">
            <v>2.4000914852613211</v>
          </cell>
          <cell r="F718">
            <v>2.3592338628578151</v>
          </cell>
          <cell r="G718">
            <v>2.3729227214079152</v>
          </cell>
          <cell r="H718">
            <v>2.5201346115890675</v>
          </cell>
          <cell r="I718">
            <v>2.7918979959427315</v>
          </cell>
          <cell r="J718">
            <v>2.7541613271096961</v>
          </cell>
          <cell r="K718">
            <v>2.4880703816406906</v>
          </cell>
          <cell r="L718">
            <v>2.4509966379303818</v>
          </cell>
          <cell r="M718">
            <v>2.4681858610008884</v>
          </cell>
          <cell r="N718">
            <v>2.4688541169460549</v>
          </cell>
          <cell r="O718">
            <v>2.4691542165925857</v>
          </cell>
        </row>
        <row r="719">
          <cell r="A719" t="str">
            <v>SCOM-SHPLTBR</v>
          </cell>
          <cell r="B719" t="str">
            <v>VAR_ncap</v>
          </cell>
          <cell r="C719" t="str">
            <v>-</v>
          </cell>
          <cell r="D719">
            <v>1.4405931129824001E-6</v>
          </cell>
          <cell r="E719">
            <v>2.3693054794550299E-2</v>
          </cell>
          <cell r="F719">
            <v>1.5766652215954E-6</v>
          </cell>
          <cell r="G719">
            <v>9.65642522161208E-4</v>
          </cell>
          <cell r="H719">
            <v>0.135700757577115</v>
          </cell>
          <cell r="I719">
            <v>6.9517286162256803E-2</v>
          </cell>
          <cell r="J719">
            <v>3.7054967641455398E-6</v>
          </cell>
          <cell r="K719">
            <v>0.114681804004337</v>
          </cell>
          <cell r="L719">
            <v>7.0836400321916598E-2</v>
          </cell>
          <cell r="M719">
            <v>1.6079383810089199E-4</v>
          </cell>
          <cell r="N719">
            <v>0.125532845747096</v>
          </cell>
          <cell r="O719">
            <v>0.16906694590754001</v>
          </cell>
        </row>
        <row r="720">
          <cell r="A720" t="str">
            <v>SCOM-SHPLTBR</v>
          </cell>
          <cell r="B720" t="str">
            <v>VAR_cap</v>
          </cell>
          <cell r="C720" t="str">
            <v>-</v>
          </cell>
          <cell r="D720">
            <v>0.150512308717307</v>
          </cell>
          <cell r="E720">
            <v>0.17420529058280626</v>
          </cell>
          <cell r="F720">
            <v>0.17420593638819593</v>
          </cell>
          <cell r="G720">
            <v>0.17517062428989633</v>
          </cell>
          <cell r="H720">
            <v>0.18783803061334467</v>
          </cell>
          <cell r="I720">
            <v>0.20599962612343797</v>
          </cell>
          <cell r="J720">
            <v>0.20522090481209854</v>
          </cell>
          <cell r="K720">
            <v>0.1842018285985676</v>
          </cell>
          <cell r="L720">
            <v>0.19620089724687545</v>
          </cell>
          <cell r="M720">
            <v>0.18567762761377227</v>
          </cell>
          <cell r="N720">
            <v>0.19438347238358533</v>
          </cell>
          <cell r="O720">
            <v>0.29475754813979388</v>
          </cell>
        </row>
        <row r="721">
          <cell r="A721" t="str">
            <v>ITOT-SWHELCHP</v>
          </cell>
          <cell r="B721" t="str">
            <v>VAR_fout</v>
          </cell>
          <cell r="C721" t="str">
            <v>ITOT-SWHAELCH</v>
          </cell>
          <cell r="D721">
            <v>1.1081426682387892</v>
          </cell>
          <cell r="E721">
            <v>1.4007912089678018</v>
          </cell>
          <cell r="F721">
            <v>3.5962188347658617</v>
          </cell>
          <cell r="G721">
            <v>5.9437278968099578</v>
          </cell>
          <cell r="H721">
            <v>8.1723489073609379</v>
          </cell>
          <cell r="I721">
            <v>8.1723505660364886</v>
          </cell>
          <cell r="J721">
            <v>10.909005817938997</v>
          </cell>
          <cell r="K721">
            <v>13.185938691479668</v>
          </cell>
          <cell r="L721">
            <v>13.185942738819769</v>
          </cell>
          <cell r="M721">
            <v>13.185959838013634</v>
          </cell>
          <cell r="N721">
            <v>13.185968699699993</v>
          </cell>
          <cell r="O721">
            <v>13.185983143974461</v>
          </cell>
        </row>
        <row r="722">
          <cell r="A722" t="str">
            <v>ITOT-SWHELCHP</v>
          </cell>
          <cell r="B722" t="str">
            <v>VAR_fin</v>
          </cell>
          <cell r="C722" t="str">
            <v>ITOT_ELC</v>
          </cell>
          <cell r="D722">
            <v>0.35967211818579353</v>
          </cell>
          <cell r="E722">
            <v>0.45106240680033471</v>
          </cell>
          <cell r="F722">
            <v>1.1444275883053114</v>
          </cell>
          <cell r="G722">
            <v>1.8552312110227631</v>
          </cell>
          <cell r="H722">
            <v>2.5028939371628418</v>
          </cell>
          <cell r="I722">
            <v>2.4567022492388104</v>
          </cell>
          <cell r="J722">
            <v>3.2199464280414674</v>
          </cell>
          <cell r="K722">
            <v>3.8227429548654266</v>
          </cell>
          <cell r="L722">
            <v>3.8227441282320869</v>
          </cell>
          <cell r="M722">
            <v>3.8227490854690673</v>
          </cell>
          <cell r="N722">
            <v>3.8227516545655829</v>
          </cell>
          <cell r="O722">
            <v>3.8227558421133723</v>
          </cell>
        </row>
        <row r="723">
          <cell r="A723" t="str">
            <v>ITOT-SWHELCHP</v>
          </cell>
          <cell r="B723" t="str">
            <v>VAR_fin</v>
          </cell>
          <cell r="C723" t="str">
            <v>ITOTELCHPC</v>
          </cell>
          <cell r="D723">
            <v>1.1081426682387892</v>
          </cell>
          <cell r="E723">
            <v>1.4007912089678018</v>
          </cell>
          <cell r="F723">
            <v>3.5962188347658617</v>
          </cell>
          <cell r="G723">
            <v>5.9437278968099578</v>
          </cell>
          <cell r="H723">
            <v>8.1723489073609379</v>
          </cell>
          <cell r="I723">
            <v>8.1723505660364886</v>
          </cell>
          <cell r="J723">
            <v>10.909005817938997</v>
          </cell>
          <cell r="K723">
            <v>13.185938691479668</v>
          </cell>
          <cell r="L723">
            <v>13.185942738819769</v>
          </cell>
          <cell r="M723">
            <v>13.185959838013634</v>
          </cell>
          <cell r="N723">
            <v>13.185968699699993</v>
          </cell>
          <cell r="O723">
            <v>13.185983143974461</v>
          </cell>
        </row>
        <row r="724">
          <cell r="A724" t="str">
            <v>ITOT-SWHELCHP</v>
          </cell>
          <cell r="B724" t="str">
            <v>VAR_ncap</v>
          </cell>
          <cell r="C724" t="str">
            <v>-</v>
          </cell>
          <cell r="E724">
            <v>1.6010067470921902E-2</v>
          </cell>
          <cell r="F724">
            <v>0.119358757519748</v>
          </cell>
          <cell r="G724">
            <v>0.127660317805673</v>
          </cell>
          <cell r="H724">
            <v>0.17760859776559099</v>
          </cell>
          <cell r="I724">
            <v>0.14201950494156601</v>
          </cell>
          <cell r="J724">
            <v>0.27898227242518098</v>
          </cell>
          <cell r="K724">
            <v>0.32298024741402398</v>
          </cell>
          <cell r="L724">
            <v>0.140255738499625</v>
          </cell>
          <cell r="M724">
            <v>0.26198362557457699</v>
          </cell>
          <cell r="N724">
            <v>0.31056097291278101</v>
          </cell>
          <cell r="O724">
            <v>0.15223346757585601</v>
          </cell>
        </row>
        <row r="725">
          <cell r="A725" t="str">
            <v>ITOT-SWHELCHP</v>
          </cell>
          <cell r="B725" t="str">
            <v>VAR_cap</v>
          </cell>
          <cell r="C725" t="str">
            <v>-</v>
          </cell>
          <cell r="D725">
            <v>6.02631234918991E-2</v>
          </cell>
          <cell r="E725">
            <v>7.6273035440450943E-2</v>
          </cell>
          <cell r="F725">
            <v>0.19563141052405678</v>
          </cell>
          <cell r="G725">
            <v>0.3232911673995027</v>
          </cell>
          <cell r="H725">
            <v>0.44845577109056778</v>
          </cell>
          <cell r="I725">
            <v>0.44806425000105371</v>
          </cell>
          <cell r="J725">
            <v>0.5986091956839299</v>
          </cell>
          <cell r="K725">
            <v>0.74397995424673058</v>
          </cell>
          <cell r="L725">
            <v>0.72707396668109137</v>
          </cell>
          <cell r="M725">
            <v>0.72521750628321435</v>
          </cell>
          <cell r="N725">
            <v>0.72554073063446456</v>
          </cell>
          <cell r="O725">
            <v>0.7247748456419757</v>
          </cell>
        </row>
        <row r="726">
          <cell r="A726" t="str">
            <v>RHES-SHCONBR8</v>
          </cell>
          <cell r="B726" t="str">
            <v>VAR_fout</v>
          </cell>
          <cell r="C726" t="str">
            <v>RHES-SHCON</v>
          </cell>
          <cell r="E726">
            <v>2.9020260813327481E-5</v>
          </cell>
          <cell r="F726">
            <v>2.9968835104244601E-5</v>
          </cell>
          <cell r="G726">
            <v>2.1975745199258585E-5</v>
          </cell>
          <cell r="H726">
            <v>2.7205993565534769E-5</v>
          </cell>
          <cell r="I726">
            <v>2.6472678689093535E-5</v>
          </cell>
          <cell r="J726">
            <v>2.9229923694358829E-5</v>
          </cell>
          <cell r="K726">
            <v>3.9371501990116961E-5</v>
          </cell>
          <cell r="L726">
            <v>2.4792159244857639E-5</v>
          </cell>
          <cell r="M726">
            <v>4.0067897267525532E-5</v>
          </cell>
          <cell r="N726">
            <v>3.8066352874796974E-5</v>
          </cell>
          <cell r="O726">
            <v>4.9749131724138291E-5</v>
          </cell>
        </row>
        <row r="727">
          <cell r="A727" t="str">
            <v>RHES-SHCONBR8</v>
          </cell>
          <cell r="B727" t="str">
            <v>VAR_fin</v>
          </cell>
          <cell r="C727" t="str">
            <v>CON</v>
          </cell>
          <cell r="E727">
            <v>2.9020260813327481E-5</v>
          </cell>
          <cell r="F727">
            <v>2.9968835104244601E-5</v>
          </cell>
          <cell r="G727">
            <v>2.1975745199258585E-5</v>
          </cell>
          <cell r="H727">
            <v>2.7205993565534769E-5</v>
          </cell>
          <cell r="I727">
            <v>2.6472678689093535E-5</v>
          </cell>
          <cell r="J727">
            <v>2.9229923694358829E-5</v>
          </cell>
          <cell r="K727">
            <v>3.9371501990116961E-5</v>
          </cell>
          <cell r="L727">
            <v>2.4792159244857639E-5</v>
          </cell>
          <cell r="M727">
            <v>4.0067897267525532E-5</v>
          </cell>
          <cell r="N727">
            <v>3.8066352874796974E-5</v>
          </cell>
          <cell r="O727">
            <v>4.9749131724138291E-5</v>
          </cell>
        </row>
        <row r="728">
          <cell r="A728" t="str">
            <v>RHES-SHCONBR8</v>
          </cell>
          <cell r="B728" t="str">
            <v>VAR_ncap</v>
          </cell>
          <cell r="C728" t="str">
            <v>-</v>
          </cell>
          <cell r="E728">
            <v>1.0538056783038199E-6</v>
          </cell>
          <cell r="F728">
            <v>4.94525270585364E-8</v>
          </cell>
          <cell r="G728">
            <v>2.8140035616938302E-7</v>
          </cell>
          <cell r="H728">
            <v>1.5461013648878499E-8</v>
          </cell>
          <cell r="I728">
            <v>1.02949749424437E-8</v>
          </cell>
          <cell r="J728">
            <v>1.34542460740654E-8</v>
          </cell>
          <cell r="K728">
            <v>1.10252945864255E-6</v>
          </cell>
          <cell r="L728">
            <v>2.7765257085868601E-7</v>
          </cell>
          <cell r="M728">
            <v>5.4765908260523297E-7</v>
          </cell>
          <cell r="N728">
            <v>7.4944647886291197E-7</v>
          </cell>
          <cell r="O728">
            <v>3.4613356982679498E-8</v>
          </cell>
        </row>
        <row r="729">
          <cell r="A729" t="str">
            <v>RHES-SHCONBR8</v>
          </cell>
          <cell r="B729" t="str">
            <v>VAR_cap</v>
          </cell>
          <cell r="C729" t="str">
            <v>-</v>
          </cell>
          <cell r="E729">
            <v>1.0538056783038199E-6</v>
          </cell>
          <cell r="F729">
            <v>1.1032582053623601E-6</v>
          </cell>
          <cell r="G729">
            <v>1.3846585615317399E-6</v>
          </cell>
          <cell r="H729">
            <v>1.4001195751806199E-6</v>
          </cell>
          <cell r="I729">
            <v>1.41041455012306E-6</v>
          </cell>
          <cell r="J729">
            <v>1.4238687961971299E-6</v>
          </cell>
          <cell r="K729">
            <v>2.18376686405584E-6</v>
          </cell>
          <cell r="L729">
            <v>1.6403038255038999E-6</v>
          </cell>
          <cell r="M729">
            <v>1.96705134677185E-6</v>
          </cell>
          <cell r="N729">
            <v>2.7021636184430398E-6</v>
          </cell>
          <cell r="O729">
            <v>2.72535519402612E-6</v>
          </cell>
        </row>
        <row r="730">
          <cell r="A730" t="str">
            <v>RHEM-SHWODBR</v>
          </cell>
          <cell r="B730" t="str">
            <v>VAR_fout</v>
          </cell>
          <cell r="C730" t="str">
            <v>RHEM-SHWOD</v>
          </cell>
          <cell r="D730">
            <v>4.7439195953920166</v>
          </cell>
          <cell r="E730">
            <v>4.6939466772621454</v>
          </cell>
          <cell r="F730">
            <v>3.691442674088711</v>
          </cell>
          <cell r="G730">
            <v>2.4260570883338919</v>
          </cell>
          <cell r="H730">
            <v>2.1570928559746712</v>
          </cell>
          <cell r="I730">
            <v>1.7114440301862277</v>
          </cell>
          <cell r="J730">
            <v>1.449543608667931</v>
          </cell>
          <cell r="K730">
            <v>1.2411825876804479</v>
          </cell>
          <cell r="L730">
            <v>1.1359647036123661</v>
          </cell>
          <cell r="M730">
            <v>1.0883803259377505</v>
          </cell>
          <cell r="N730">
            <v>1.0317223385863499</v>
          </cell>
          <cell r="O730">
            <v>0.74562891059398606</v>
          </cell>
        </row>
        <row r="731">
          <cell r="A731" t="str">
            <v>RHEM-SHWODBR</v>
          </cell>
          <cell r="B731" t="str">
            <v>VAR_fin</v>
          </cell>
          <cell r="C731" t="str">
            <v>RHEMWODBRC</v>
          </cell>
          <cell r="D731">
            <v>4.7439195953920166</v>
          </cell>
          <cell r="E731">
            <v>4.6939466772621454</v>
          </cell>
          <cell r="F731">
            <v>3.691442674088711</v>
          </cell>
          <cell r="G731">
            <v>2.4260570883338919</v>
          </cell>
          <cell r="H731">
            <v>2.1570928559746712</v>
          </cell>
          <cell r="I731">
            <v>1.7114440301862277</v>
          </cell>
          <cell r="J731">
            <v>1.449543608667931</v>
          </cell>
          <cell r="K731">
            <v>1.2411825876804479</v>
          </cell>
          <cell r="L731">
            <v>1.1359647036123661</v>
          </cell>
          <cell r="M731">
            <v>1.0883803259377505</v>
          </cell>
          <cell r="N731">
            <v>1.0317223385863499</v>
          </cell>
          <cell r="O731">
            <v>0.74562891059398606</v>
          </cell>
        </row>
        <row r="732">
          <cell r="A732" t="str">
            <v>RHEM-SHWODBR</v>
          </cell>
          <cell r="B732" t="str">
            <v>VAR_fin</v>
          </cell>
          <cell r="C732" t="str">
            <v>RWOD</v>
          </cell>
          <cell r="D732">
            <v>6.5887772158222377</v>
          </cell>
          <cell r="E732">
            <v>6.5193703850863152</v>
          </cell>
          <cell r="F732">
            <v>5.1270037140121048</v>
          </cell>
          <cell r="G732">
            <v>3.3695237337970716</v>
          </cell>
          <cell r="H732">
            <v>2.9959622999648192</v>
          </cell>
          <cell r="I732">
            <v>2.3770055974808715</v>
          </cell>
          <cell r="J732">
            <v>2.0132550120387935</v>
          </cell>
          <cell r="K732">
            <v>1.7238647051117324</v>
          </cell>
          <cell r="L732">
            <v>1.5777287550171739</v>
          </cell>
          <cell r="M732">
            <v>1.5116393415802094</v>
          </cell>
          <cell r="N732">
            <v>1.4329476924810416</v>
          </cell>
          <cell r="O732">
            <v>1.0355957091583134</v>
          </cell>
        </row>
        <row r="733">
          <cell r="A733" t="str">
            <v>RHEM-SHWODBR</v>
          </cell>
          <cell r="B733" t="str">
            <v>VAR_ncap</v>
          </cell>
          <cell r="C733" t="str">
            <v>-</v>
          </cell>
          <cell r="D733">
            <v>1.2791088353972E-4</v>
          </cell>
          <cell r="E733">
            <v>1.92444302843743E-7</v>
          </cell>
          <cell r="F733">
            <v>2.0856584438263099E-7</v>
          </cell>
          <cell r="G733">
            <v>2.0828766218731298E-6</v>
          </cell>
          <cell r="H733">
            <v>6.57607513801335E-2</v>
          </cell>
          <cell r="I733">
            <v>5.5311595289636001E-2</v>
          </cell>
          <cell r="J733">
            <v>4.2428287925453801E-7</v>
          </cell>
          <cell r="K733">
            <v>3.3265899787276301E-2</v>
          </cell>
          <cell r="L733">
            <v>3.9428065185996397E-2</v>
          </cell>
          <cell r="M733">
            <v>4.8596746564553801E-3</v>
          </cell>
          <cell r="N733">
            <v>3.5837141805590902E-2</v>
          </cell>
          <cell r="O733">
            <v>1.27527752377863E-2</v>
          </cell>
        </row>
        <row r="734">
          <cell r="A734" t="str">
            <v>RHEM-SHWODBR</v>
          </cell>
          <cell r="B734" t="str">
            <v>VAR_cap</v>
          </cell>
          <cell r="C734" t="str">
            <v>-</v>
          </cell>
          <cell r="D734">
            <v>0.33519968983853271</v>
          </cell>
          <cell r="E734">
            <v>0.33519808622583885</v>
          </cell>
          <cell r="F734">
            <v>0.33519501451473155</v>
          </cell>
          <cell r="G734">
            <v>0.33519369676716915</v>
          </cell>
          <cell r="H734">
            <v>0.15268936163235586</v>
          </cell>
          <cell r="I734">
            <v>0.12107385070566766</v>
          </cell>
          <cell r="J734">
            <v>0.1060168140533732</v>
          </cell>
          <cell r="K734">
            <v>8.8577282528361931E-2</v>
          </cell>
          <cell r="L734">
            <v>8.1192713374855063E-2</v>
          </cell>
          <cell r="M734">
            <v>7.7553046523931218E-2</v>
          </cell>
          <cell r="N734">
            <v>7.3516910334138222E-2</v>
          </cell>
          <cell r="O734">
            <v>5.3449005817442233E-2</v>
          </cell>
        </row>
        <row r="735">
          <cell r="A735" t="str">
            <v>RHES-SHCONBR9</v>
          </cell>
          <cell r="B735" t="str">
            <v>VAR_fout</v>
          </cell>
          <cell r="C735" t="str">
            <v>RHES-SHCON</v>
          </cell>
          <cell r="E735">
            <v>1.6006346540858037E-5</v>
          </cell>
          <cell r="F735">
            <v>1.6603460793600573E-5</v>
          </cell>
          <cell r="G735">
            <v>7.6573004219793735E-6</v>
          </cell>
          <cell r="H735">
            <v>1.2796193545225061E-5</v>
          </cell>
          <cell r="I735">
            <v>1.1984583658577504E-5</v>
          </cell>
          <cell r="J735">
            <v>1.4637141573745519E-5</v>
          </cell>
          <cell r="K735">
            <v>1.6165715794783768E-5</v>
          </cell>
          <cell r="L735">
            <v>8.0190302661289321E-6</v>
          </cell>
          <cell r="M735">
            <v>1.8298059014802908E-5</v>
          </cell>
          <cell r="N735">
            <v>1.1514943969698879E-5</v>
          </cell>
          <cell r="O735">
            <v>2.6363561532249879E-5</v>
          </cell>
        </row>
        <row r="736">
          <cell r="A736" t="str">
            <v>RHES-SHCONBR9</v>
          </cell>
          <cell r="B736" t="str">
            <v>VAR_fin</v>
          </cell>
          <cell r="C736" t="str">
            <v>CON</v>
          </cell>
          <cell r="E736">
            <v>1.6006346540858037E-5</v>
          </cell>
          <cell r="F736">
            <v>1.6603460793600573E-5</v>
          </cell>
          <cell r="G736">
            <v>7.6573004219793735E-6</v>
          </cell>
          <cell r="H736">
            <v>1.2796193545225061E-5</v>
          </cell>
          <cell r="I736">
            <v>1.1984583658577504E-5</v>
          </cell>
          <cell r="J736">
            <v>1.4637141573745519E-5</v>
          </cell>
          <cell r="K736">
            <v>1.6165715794783768E-5</v>
          </cell>
          <cell r="L736">
            <v>8.0190302661289321E-6</v>
          </cell>
          <cell r="M736">
            <v>1.8298059014802908E-5</v>
          </cell>
          <cell r="N736">
            <v>1.1514943969698879E-5</v>
          </cell>
          <cell r="O736">
            <v>2.6363561532249879E-5</v>
          </cell>
        </row>
        <row r="737">
          <cell r="A737" t="str">
            <v>RHES-SHCONBR9</v>
          </cell>
          <cell r="B737" t="str">
            <v>VAR_ncap</v>
          </cell>
          <cell r="C737" t="str">
            <v>-</v>
          </cell>
          <cell r="F737">
            <v>1.4555871760672001E-8</v>
          </cell>
          <cell r="G737">
            <v>2.1183443698540701E-7</v>
          </cell>
          <cell r="K737">
            <v>6.3632144131124899E-8</v>
          </cell>
          <cell r="L737">
            <v>6.1531119831052498E-8</v>
          </cell>
          <cell r="M737">
            <v>5.9946901369714806E-8</v>
          </cell>
          <cell r="N737">
            <v>3.6988156833726702E-7</v>
          </cell>
          <cell r="O737">
            <v>2.6723554202494001E-8</v>
          </cell>
        </row>
        <row r="738">
          <cell r="A738" t="str">
            <v>RHES-SHCONBR9</v>
          </cell>
          <cell r="B738" t="str">
            <v>VAR_cap</v>
          </cell>
          <cell r="C738" t="str">
            <v>-</v>
          </cell>
          <cell r="F738">
            <v>1.4555871760672001E-8</v>
          </cell>
          <cell r="G738">
            <v>2.2639030874607899E-7</v>
          </cell>
          <cell r="H738">
            <v>2.2639030874607899E-7</v>
          </cell>
          <cell r="I738">
            <v>2.2639030874607899E-7</v>
          </cell>
          <cell r="J738">
            <v>2.2639030874607899E-7</v>
          </cell>
          <cell r="K738">
            <v>2.90022452877204E-7</v>
          </cell>
          <cell r="L738">
            <v>2.84580421940458E-7</v>
          </cell>
          <cell r="M738">
            <v>1.85110165331892E-7</v>
          </cell>
          <cell r="N738">
            <v>5.5499173366915895E-7</v>
          </cell>
          <cell r="O738">
            <v>5.8171528787165297E-7</v>
          </cell>
        </row>
        <row r="739">
          <cell r="A739" t="str">
            <v>D-RHNS_LTH_CHPNGA</v>
          </cell>
          <cell r="B739" t="str">
            <v>VAR_fout</v>
          </cell>
          <cell r="C739" t="str">
            <v>RHSA_LTH</v>
          </cell>
          <cell r="D739">
            <v>3.363293686672372E-6</v>
          </cell>
          <cell r="E739">
            <v>5.3986541831125071E-4</v>
          </cell>
          <cell r="F739">
            <v>1.0481271473657187E-4</v>
          </cell>
          <cell r="G739">
            <v>1.610117934591036E-5</v>
          </cell>
          <cell r="H739">
            <v>2.4446439438507039E-5</v>
          </cell>
          <cell r="I739">
            <v>1.6693154759840513E-5</v>
          </cell>
          <cell r="J739">
            <v>8.0282276259855298E-6</v>
          </cell>
          <cell r="K739">
            <v>9.2353852136593653E-6</v>
          </cell>
          <cell r="L739">
            <v>7.4077521055089811E-5</v>
          </cell>
          <cell r="M739">
            <v>3.4149411867094264E-5</v>
          </cell>
          <cell r="N739">
            <v>1.679431012588233E-5</v>
          </cell>
          <cell r="O739">
            <v>3.5043949713394336E-5</v>
          </cell>
        </row>
        <row r="740">
          <cell r="A740" t="str">
            <v>D-RHNS_LTH_CHPNGA</v>
          </cell>
          <cell r="B740" t="str">
            <v>VAR_fout</v>
          </cell>
          <cell r="C740" t="str">
            <v>LTH</v>
          </cell>
          <cell r="F740">
            <v>1.1477025381151541E-7</v>
          </cell>
          <cell r="G740">
            <v>5.384079282202082E-7</v>
          </cell>
          <cell r="H740">
            <v>1.6064794748722018E-6</v>
          </cell>
          <cell r="I740">
            <v>1.461166862666034E-6</v>
          </cell>
          <cell r="J740">
            <v>6.5182948533820955E-6</v>
          </cell>
          <cell r="K740">
            <v>7.3855164179092276E-6</v>
          </cell>
          <cell r="L740">
            <v>1.8376384712815399E-6</v>
          </cell>
          <cell r="M740">
            <v>4.8026510745135425E-6</v>
          </cell>
          <cell r="N740">
            <v>3.5280435497519326E-6</v>
          </cell>
          <cell r="O740">
            <v>1.054955171791749E-5</v>
          </cell>
        </row>
        <row r="741">
          <cell r="A741" t="str">
            <v>D-RHNS_LTH_CHPNGA</v>
          </cell>
          <cell r="B741" t="str">
            <v>VAR_fout</v>
          </cell>
          <cell r="C741" t="str">
            <v>RHNS_LTH_CHPNGA_ON</v>
          </cell>
          <cell r="D741">
            <v>5.6087168621445256E-6</v>
          </cell>
          <cell r="E741">
            <v>8.7022128262992382E-4</v>
          </cell>
          <cell r="F741">
            <v>2.5525389623005539E-3</v>
          </cell>
          <cell r="G741">
            <v>2.257049619857628E-3</v>
          </cell>
          <cell r="H741">
            <v>2.5968906544273332E-3</v>
          </cell>
          <cell r="I741">
            <v>1.4753746775536382E-3</v>
          </cell>
          <cell r="J741">
            <v>3.029687783042393E-6</v>
          </cell>
          <cell r="K741">
            <v>2.5039052155084585E-6</v>
          </cell>
          <cell r="L741">
            <v>1.1857176990331894E-3</v>
          </cell>
          <cell r="M741">
            <v>1.9002613949344281E-3</v>
          </cell>
          <cell r="N741">
            <v>1.4414242604336696E-3</v>
          </cell>
          <cell r="O741">
            <v>3.3433434122981951E-3</v>
          </cell>
        </row>
        <row r="742">
          <cell r="A742" t="str">
            <v>D-RHNS_LTH_CHPNGA</v>
          </cell>
          <cell r="B742" t="str">
            <v>VAR_fin</v>
          </cell>
          <cell r="C742" t="str">
            <v>RHNS_LTH_CHPNGA</v>
          </cell>
          <cell r="D742">
            <v>8.9720105488169027E-6</v>
          </cell>
          <cell r="E742">
            <v>1.4103070323598912E-3</v>
          </cell>
          <cell r="F742">
            <v>2.6582376243251948E-3</v>
          </cell>
          <cell r="G742">
            <v>2.2746485235939314E-3</v>
          </cell>
          <cell r="H742">
            <v>2.623899624887331E-3</v>
          </cell>
          <cell r="I742">
            <v>1.4947130058842858E-3</v>
          </cell>
          <cell r="J742">
            <v>1.7576210262410025E-5</v>
          </cell>
          <cell r="K742">
            <v>1.9124806847077057E-5</v>
          </cell>
          <cell r="L742">
            <v>1.2626667821783047E-3</v>
          </cell>
          <cell r="M742">
            <v>1.9397914842545787E-3</v>
          </cell>
          <cell r="N742">
            <v>1.462475476202789E-3</v>
          </cell>
          <cell r="O742">
            <v>3.3893215795240432E-3</v>
          </cell>
        </row>
        <row r="743">
          <cell r="A743" t="str">
            <v>D-SLFO</v>
          </cell>
          <cell r="B743" t="str">
            <v>VAR_fout</v>
          </cell>
          <cell r="C743" t="str">
            <v>CO2</v>
          </cell>
          <cell r="D743">
            <v>2267.78872880361</v>
          </cell>
          <cell r="E743">
            <v>1996.6206161401301</v>
          </cell>
          <cell r="F743">
            <v>1866.7692317132801</v>
          </cell>
          <cell r="G743">
            <v>1462.87184008139</v>
          </cell>
          <cell r="H743">
            <v>1116.1336310607301</v>
          </cell>
          <cell r="I743">
            <v>792.123585808244</v>
          </cell>
          <cell r="J743">
            <v>464.613510743088</v>
          </cell>
          <cell r="L743">
            <v>1.6317502501919701E-2</v>
          </cell>
          <cell r="M743">
            <v>2.88674611404315E-2</v>
          </cell>
          <cell r="N743">
            <v>1.8494098891078399E-2</v>
          </cell>
          <cell r="O743">
            <v>3.5095934403409697E-2</v>
          </cell>
        </row>
        <row r="744">
          <cell r="A744" t="str">
            <v>D-SLFO</v>
          </cell>
          <cell r="B744" t="str">
            <v>VAR_fout</v>
          </cell>
          <cell r="C744" t="str">
            <v>SLFO</v>
          </cell>
          <cell r="D744">
            <v>30.256635198941776</v>
          </cell>
          <cell r="E744">
            <v>26.638734396174886</v>
          </cell>
          <cell r="F744">
            <v>24.906316253748116</v>
          </cell>
          <cell r="G744">
            <v>19.517842253062419</v>
          </cell>
          <cell r="H744">
            <v>14.891868019224047</v>
          </cell>
          <cell r="I744">
            <v>10.568645871768865</v>
          </cell>
          <cell r="J744">
            <v>6.1995746016666553</v>
          </cell>
          <cell r="K744">
            <v>3.5820540594420662</v>
          </cell>
          <cell r="L744">
            <v>0.86381037144747452</v>
          </cell>
          <cell r="M744">
            <v>0.86982216071007445</v>
          </cell>
          <cell r="N744">
            <v>0.87005454734612264</v>
          </cell>
          <cell r="O744">
            <v>0.87016834517560993</v>
          </cell>
        </row>
        <row r="745">
          <cell r="A745" t="str">
            <v>D-SLFO</v>
          </cell>
          <cell r="B745" t="str">
            <v>VAR_fin</v>
          </cell>
          <cell r="C745" t="str">
            <v>LFO</v>
          </cell>
          <cell r="D745">
            <v>30.7705390611073</v>
          </cell>
          <cell r="E745">
            <v>27.091188821440102</v>
          </cell>
          <cell r="F745">
            <v>25.32929758091295</v>
          </cell>
          <cell r="G745">
            <v>19.849007328105632</v>
          </cell>
          <cell r="H745">
            <v>15.14428264668555</v>
          </cell>
          <cell r="I745">
            <v>10.747945533354725</v>
          </cell>
          <cell r="J745">
            <v>6.3041181919007796</v>
          </cell>
          <cell r="L745">
            <v>2.2140437587408015E-4</v>
          </cell>
          <cell r="M745">
            <v>3.9168875360151247E-4</v>
          </cell>
          <cell r="N745">
            <v>2.5093756975682984E-4</v>
          </cell>
          <cell r="O745">
            <v>4.7619992406254633E-4</v>
          </cell>
        </row>
        <row r="746">
          <cell r="A746" t="str">
            <v>D-SLFO</v>
          </cell>
          <cell r="B746" t="str">
            <v>VAR_fin</v>
          </cell>
          <cell r="C746" t="str">
            <v>BDS</v>
          </cell>
          <cell r="F746">
            <v>4.8442514929885618E-5</v>
          </cell>
          <cell r="G746">
            <v>3.4235215142202214E-4</v>
          </cell>
          <cell r="H746">
            <v>5.2125528380969437E-4</v>
          </cell>
          <cell r="I746">
            <v>2.0791967433070899E-4</v>
          </cell>
          <cell r="J746">
            <v>7.5632323946705755E-4</v>
          </cell>
          <cell r="K746">
            <v>3.6428949100373309</v>
          </cell>
          <cell r="L746">
            <v>0.87826152497565702</v>
          </cell>
          <cell r="M746">
            <v>0.88420539099364548</v>
          </cell>
          <cell r="N746">
            <v>0.8845820525448127</v>
          </cell>
          <cell r="O746">
            <v>0.88447321695060721</v>
          </cell>
        </row>
        <row r="747">
          <cell r="A747" t="str">
            <v>D-RCOA</v>
          </cell>
          <cell r="B747" t="str">
            <v>VAR_fout</v>
          </cell>
          <cell r="C747" t="str">
            <v>CO2</v>
          </cell>
          <cell r="D747">
            <v>9.2700514778087495</v>
          </cell>
          <cell r="E747">
            <v>9.2700100273891604</v>
          </cell>
          <cell r="F747">
            <v>0.13695117262047901</v>
          </cell>
          <cell r="G747">
            <v>8.6216880868625001E-2</v>
          </cell>
          <cell r="H747">
            <v>3.3755115495356702E-2</v>
          </cell>
        </row>
        <row r="748">
          <cell r="A748" t="str">
            <v>D-RCOA</v>
          </cell>
          <cell r="B748" t="str">
            <v>VAR_fout</v>
          </cell>
          <cell r="C748" t="str">
            <v>RCOA</v>
          </cell>
          <cell r="D748">
            <v>0.10000055531616782</v>
          </cell>
          <cell r="E748">
            <v>0.10000010817032533</v>
          </cell>
          <cell r="F748">
            <v>1.4773589279447603E-3</v>
          </cell>
          <cell r="G748">
            <v>9.3006343979099276E-4</v>
          </cell>
          <cell r="H748">
            <v>3.641328532400939E-4</v>
          </cell>
        </row>
        <row r="749">
          <cell r="A749" t="str">
            <v>D-RCOA</v>
          </cell>
          <cell r="B749" t="str">
            <v>VAR_fin</v>
          </cell>
          <cell r="C749" t="str">
            <v>COA</v>
          </cell>
          <cell r="D749">
            <v>0.10000055531616782</v>
          </cell>
          <cell r="E749">
            <v>0.10000010817032533</v>
          </cell>
          <cell r="F749">
            <v>1.4773589279447603E-3</v>
          </cell>
          <cell r="G749">
            <v>9.3006343979099276E-4</v>
          </cell>
          <cell r="H749">
            <v>3.641328532400939E-4</v>
          </cell>
        </row>
        <row r="750">
          <cell r="A750" t="str">
            <v>SCOM-ELCSPECDC</v>
          </cell>
          <cell r="B750" t="str">
            <v>VAR_fout</v>
          </cell>
          <cell r="C750" t="str">
            <v>SCOM-ELSDC</v>
          </cell>
          <cell r="F750">
            <v>10.166015736999416</v>
          </cell>
          <cell r="G750">
            <v>9.4002629187538513</v>
          </cell>
          <cell r="H750">
            <v>9.4002629187538513</v>
          </cell>
          <cell r="I750">
            <v>8.5871820412315873</v>
          </cell>
          <cell r="J750">
            <v>8.1145446338317555</v>
          </cell>
          <cell r="K750">
            <v>7.6419072264318952</v>
          </cell>
          <cell r="L750">
            <v>7.6419072264318952</v>
          </cell>
          <cell r="M750">
            <v>7.6419072264318952</v>
          </cell>
          <cell r="N750">
            <v>7.6419072264318952</v>
          </cell>
          <cell r="O750">
            <v>7.6419072264318952</v>
          </cell>
        </row>
        <row r="751">
          <cell r="A751" t="str">
            <v>SCOM-ELCSPECDC</v>
          </cell>
          <cell r="B751" t="str">
            <v>VAR_fin</v>
          </cell>
          <cell r="C751" t="str">
            <v>SCOM_ELC</v>
          </cell>
          <cell r="F751">
            <v>10.166015736999416</v>
          </cell>
          <cell r="G751">
            <v>9.4002629187538513</v>
          </cell>
          <cell r="H751">
            <v>9.4002629187538513</v>
          </cell>
          <cell r="I751">
            <v>8.5871820412315873</v>
          </cell>
          <cell r="J751">
            <v>8.1145446338317555</v>
          </cell>
          <cell r="K751">
            <v>7.6419072264318952</v>
          </cell>
          <cell r="L751">
            <v>7.6419072264318952</v>
          </cell>
          <cell r="M751">
            <v>7.6419072264318952</v>
          </cell>
          <cell r="N751">
            <v>7.6419072264318952</v>
          </cell>
          <cell r="O751">
            <v>7.6419072264318952</v>
          </cell>
        </row>
        <row r="752">
          <cell r="A752" t="str">
            <v>D-RHEM_KEV_WOD_ELC_CHP</v>
          </cell>
          <cell r="B752" t="str">
            <v>VAR_fout</v>
          </cell>
          <cell r="C752" t="str">
            <v>ELC5</v>
          </cell>
          <cell r="G752">
            <v>2.0825382538016017E-4</v>
          </cell>
          <cell r="H752">
            <v>3.4206405553095087E-4</v>
          </cell>
          <cell r="I752">
            <v>7.8627715668020737E-2</v>
          </cell>
          <cell r="J752">
            <v>9.7587175915493707E-2</v>
          </cell>
          <cell r="K752">
            <v>9.6056663709200532E-2</v>
          </cell>
          <cell r="L752">
            <v>9.5366313441626258E-2</v>
          </cell>
          <cell r="M752">
            <v>9.292007813866969E-2</v>
          </cell>
          <cell r="N752">
            <v>9.3588652352836629E-2</v>
          </cell>
          <cell r="O752">
            <v>9.0629862559189839E-2</v>
          </cell>
        </row>
        <row r="753">
          <cell r="A753" t="str">
            <v>D-RHEM_KEV_WOD_ELC_CHP</v>
          </cell>
          <cell r="B753" t="str">
            <v>VAR_fout</v>
          </cell>
          <cell r="C753" t="str">
            <v>RHEM_ELC</v>
          </cell>
          <cell r="G753">
            <v>2.0807008012096504E-4</v>
          </cell>
          <cell r="H753">
            <v>3.4182939487931142E-4</v>
          </cell>
          <cell r="I753">
            <v>7.8445618036999079E-2</v>
          </cell>
          <cell r="J753">
            <v>9.7265002090789449E-2</v>
          </cell>
          <cell r="K753">
            <v>9.6052202247861068E-2</v>
          </cell>
          <cell r="L753">
            <v>9.5518304683389108E-2</v>
          </cell>
          <cell r="M753">
            <v>9.4944129138081645E-2</v>
          </cell>
          <cell r="N753">
            <v>9.5640546367787876E-2</v>
          </cell>
          <cell r="O753">
            <v>9.2545508250369418E-2</v>
          </cell>
        </row>
        <row r="754">
          <cell r="A754" t="str">
            <v>D-RHEM_KEV_WOD_ELC_CHP</v>
          </cell>
          <cell r="B754" t="str">
            <v>VAR_fin</v>
          </cell>
          <cell r="C754" t="str">
            <v>RHEM_KEV_WOD_ELC_CHP</v>
          </cell>
          <cell r="G754">
            <v>4.1545660386515637E-4</v>
          </cell>
          <cell r="H754">
            <v>6.825930050648807E-4</v>
          </cell>
          <cell r="I754">
            <v>0.15707178032200297</v>
          </cell>
          <cell r="J754">
            <v>0.19484975184591671</v>
          </cell>
          <cell r="K754">
            <v>0.19210527750049725</v>
          </cell>
          <cell r="L754">
            <v>0.19088290435943617</v>
          </cell>
          <cell r="M754">
            <v>0.18786089747379742</v>
          </cell>
          <cell r="N754">
            <v>0.18922681234915581</v>
          </cell>
          <cell r="O754">
            <v>0.18317172504571749</v>
          </cell>
        </row>
        <row r="755">
          <cell r="A755" t="str">
            <v>RHES-SHSTG-SOL</v>
          </cell>
          <cell r="B755" t="str">
            <v>VAR_fout</v>
          </cell>
          <cell r="C755" t="str">
            <v>RHES-SHASOL</v>
          </cell>
          <cell r="D755">
            <v>7.5674657103125046E-6</v>
          </cell>
          <cell r="E755">
            <v>8.729798129478766E-6</v>
          </cell>
          <cell r="F755">
            <v>6.1335558801878257E-2</v>
          </cell>
          <cell r="G755">
            <v>5.8266084680578936E-2</v>
          </cell>
          <cell r="H755">
            <v>7.0862496904786382E-2</v>
          </cell>
          <cell r="I755">
            <v>7.3511188937641858E-2</v>
          </cell>
          <cell r="J755">
            <v>6.4126864727803226E-2</v>
          </cell>
          <cell r="K755">
            <v>0.20633121830475545</v>
          </cell>
          <cell r="L755">
            <v>0.19828953922958242</v>
          </cell>
          <cell r="M755">
            <v>0.18352408803805126</v>
          </cell>
          <cell r="N755">
            <v>0.19615991709196559</v>
          </cell>
          <cell r="O755">
            <v>0.18538677563606384</v>
          </cell>
        </row>
        <row r="756">
          <cell r="A756" t="str">
            <v>RHES-SHSTG-SOL</v>
          </cell>
          <cell r="B756" t="str">
            <v>VAR_fin</v>
          </cell>
          <cell r="C756" t="str">
            <v>RHES-SHASOL</v>
          </cell>
          <cell r="D756">
            <v>3.6416192202825393E-7</v>
          </cell>
          <cell r="E756">
            <v>6.5584251248327283E-7</v>
          </cell>
          <cell r="F756">
            <v>6.1333565650913587E-2</v>
          </cell>
          <cell r="G756">
            <v>5.8262735274896248E-2</v>
          </cell>
          <cell r="H756">
            <v>7.0862034826448594E-2</v>
          </cell>
          <cell r="I756">
            <v>7.3514281295482542E-2</v>
          </cell>
          <cell r="J756">
            <v>6.4123298579063626E-2</v>
          </cell>
          <cell r="K756">
            <v>0.20634078070851802</v>
          </cell>
          <cell r="L756">
            <v>0.19829978344429144</v>
          </cell>
          <cell r="M756">
            <v>0.18352844553047282</v>
          </cell>
          <cell r="N756">
            <v>0.19616891243101803</v>
          </cell>
          <cell r="O756">
            <v>0.18538782341998444</v>
          </cell>
        </row>
        <row r="757">
          <cell r="A757" t="str">
            <v>RHES-SHSTG-SOL</v>
          </cell>
          <cell r="B757" t="str">
            <v>VAR_ncap</v>
          </cell>
          <cell r="C757" t="str">
            <v>-</v>
          </cell>
          <cell r="D757">
            <v>3.4948515962801101E-3</v>
          </cell>
          <cell r="E757">
            <v>7.6600707605244496E-3</v>
          </cell>
          <cell r="F757">
            <v>8.77857085194644E-7</v>
          </cell>
          <cell r="G757">
            <v>4.9490216639956602E-7</v>
          </cell>
          <cell r="H757">
            <v>5.9692099990884297E-3</v>
          </cell>
          <cell r="I757">
            <v>4.4791459540348801E-3</v>
          </cell>
          <cell r="J757">
            <v>2.7434024955602801E-7</v>
          </cell>
          <cell r="K757">
            <v>2.8636862553259299E-2</v>
          </cell>
          <cell r="L757">
            <v>2.72940760917281E-3</v>
          </cell>
          <cell r="M757">
            <v>1.9788359622800099E-4</v>
          </cell>
          <cell r="N757">
            <v>2.46059460504536E-2</v>
          </cell>
          <cell r="O757">
            <v>5.8822138896478804E-3</v>
          </cell>
        </row>
        <row r="758">
          <cell r="A758" t="str">
            <v>RHES-SHSTG-SOL</v>
          </cell>
          <cell r="B758" t="str">
            <v>VAR_cap</v>
          </cell>
          <cell r="C758" t="str">
            <v>-</v>
          </cell>
          <cell r="D758">
            <v>3.4948515962801101E-3</v>
          </cell>
          <cell r="E758">
            <v>1.1154922356804599E-2</v>
          </cell>
          <cell r="F758">
            <v>1.11558002138898E-2</v>
          </cell>
          <cell r="G758">
            <v>1.1156295116056199E-2</v>
          </cell>
          <cell r="H758">
            <v>1.0801508156516501E-2</v>
          </cell>
          <cell r="I758">
            <v>1.0448941049006601E-2</v>
          </cell>
          <cell r="J758">
            <v>1.0448630293372899E-2</v>
          </cell>
          <cell r="K758">
            <v>3.3116282847543699E-2</v>
          </cell>
          <cell r="L758">
            <v>3.2054747195211501E-2</v>
          </cell>
          <cell r="M758">
            <v>3.1564153758660098E-2</v>
          </cell>
          <cell r="N758">
            <v>3.1740193848813103E-2</v>
          </cell>
          <cell r="O758">
            <v>3.0686043536329501E-2</v>
          </cell>
        </row>
        <row r="759">
          <cell r="A759" t="str">
            <v>D-ITOT_LTH</v>
          </cell>
          <cell r="B759" t="str">
            <v>VAR_fout</v>
          </cell>
          <cell r="C759" t="str">
            <v>ITOT_LTH_DH</v>
          </cell>
          <cell r="D759">
            <v>7.1200037690718032</v>
          </cell>
          <cell r="E759">
            <v>7.6289064229247332</v>
          </cell>
          <cell r="F759">
            <v>7.2463971357543437</v>
          </cell>
          <cell r="G759">
            <v>7.7665283827889073</v>
          </cell>
          <cell r="H759">
            <v>7.9986122061409928</v>
          </cell>
          <cell r="I759">
            <v>7.1288071963883848</v>
          </cell>
          <cell r="J759">
            <v>8.8217358446124727</v>
          </cell>
          <cell r="K759">
            <v>8.1467171350523717</v>
          </cell>
          <cell r="L759">
            <v>9.4119643178663441</v>
          </cell>
          <cell r="M759">
            <v>8.8495509798191829</v>
          </cell>
          <cell r="N759">
            <v>8.0494664340089255</v>
          </cell>
          <cell r="O759">
            <v>8.0274257013152237</v>
          </cell>
        </row>
        <row r="760">
          <cell r="A760" t="str">
            <v>D-ITOT_LTH</v>
          </cell>
          <cell r="B760" t="str">
            <v>VAR_fin</v>
          </cell>
          <cell r="C760" t="str">
            <v>LTH</v>
          </cell>
          <cell r="D760">
            <v>7.7403397879979519</v>
          </cell>
          <cell r="E760">
            <v>8.2914013389510508</v>
          </cell>
          <cell r="F760">
            <v>7.8725714006670415</v>
          </cell>
          <cell r="G760">
            <v>8.4321101601619972</v>
          </cell>
          <cell r="H760">
            <v>8.6783873023003757</v>
          </cell>
          <cell r="I760">
            <v>7.7295905822010118</v>
          </cell>
          <cell r="J760">
            <v>9.5589258596065179</v>
          </cell>
          <cell r="K760">
            <v>8.8217204128004614</v>
          </cell>
          <cell r="L760">
            <v>10.191800742684956</v>
          </cell>
          <cell r="M760">
            <v>9.5827881622266791</v>
          </cell>
          <cell r="N760">
            <v>8.7164119210077633</v>
          </cell>
          <cell r="O760">
            <v>8.6925449843885207</v>
          </cell>
        </row>
        <row r="761">
          <cell r="A761" t="str">
            <v>D-ITOT_LTH</v>
          </cell>
          <cell r="B761" t="str">
            <v>VAR_ncap</v>
          </cell>
          <cell r="C761" t="str">
            <v>-</v>
          </cell>
          <cell r="D761">
            <v>0.79547234558014202</v>
          </cell>
          <cell r="E761">
            <v>2.1954532417572E-8</v>
          </cell>
          <cell r="F761">
            <v>2.4478731374722198E-8</v>
          </cell>
          <cell r="G761">
            <v>2.7400026188935399E-8</v>
          </cell>
          <cell r="H761">
            <v>3.6482744680099E-8</v>
          </cell>
          <cell r="I761">
            <v>5.1102644561912998E-8</v>
          </cell>
          <cell r="J761">
            <v>5.63819385018119E-8</v>
          </cell>
          <cell r="K761">
            <v>1.4359740683766E-7</v>
          </cell>
          <cell r="L761">
            <v>9.3398652513252398E-8</v>
          </cell>
          <cell r="M761">
            <v>1.9798791463389999E-7</v>
          </cell>
          <cell r="N761">
            <v>2.7365874650499298E-7</v>
          </cell>
          <cell r="O761">
            <v>1.36891293985377E-6</v>
          </cell>
        </row>
        <row r="762">
          <cell r="A762" t="str">
            <v>D-ITOT_LTH</v>
          </cell>
          <cell r="B762" t="str">
            <v>VAR_cap</v>
          </cell>
          <cell r="C762" t="str">
            <v>-</v>
          </cell>
          <cell r="D762">
            <v>0.79547234558014202</v>
          </cell>
          <cell r="E762">
            <v>0.79547236753467399</v>
          </cell>
          <cell r="F762">
            <v>0.79547239201340603</v>
          </cell>
          <cell r="G762">
            <v>0.79547241941343205</v>
          </cell>
          <cell r="H762">
            <v>0.79547245589617699</v>
          </cell>
          <cell r="I762">
            <v>0.79547250699882099</v>
          </cell>
          <cell r="J762">
            <v>0.79547256338076</v>
          </cell>
          <cell r="K762">
            <v>0.79547270697816697</v>
          </cell>
          <cell r="L762">
            <v>0.795472800376819</v>
          </cell>
          <cell r="M762">
            <v>0.79547299836473395</v>
          </cell>
          <cell r="N762">
            <v>0.79547327202347995</v>
          </cell>
          <cell r="O762">
            <v>0.79547464093641995</v>
          </cell>
        </row>
        <row r="763">
          <cell r="A763" t="str">
            <v>D-IH2</v>
          </cell>
          <cell r="B763" t="str">
            <v>VAR_fout</v>
          </cell>
          <cell r="C763" t="str">
            <v>IH2</v>
          </cell>
          <cell r="G763">
            <v>8.4212444408148814E-4</v>
          </cell>
          <cell r="H763">
            <v>2.0908525450364075</v>
          </cell>
          <cell r="I763">
            <v>3.5682670661747942</v>
          </cell>
          <cell r="J763">
            <v>11.925770806730819</v>
          </cell>
          <cell r="K763">
            <v>18.116419963134188</v>
          </cell>
          <cell r="L763">
            <v>21.505369489517832</v>
          </cell>
          <cell r="M763">
            <v>22.36028746730176</v>
          </cell>
          <cell r="N763">
            <v>22.586279332925375</v>
          </cell>
          <cell r="O763">
            <v>22.432087746670405</v>
          </cell>
        </row>
        <row r="764">
          <cell r="A764" t="str">
            <v>D-IH2</v>
          </cell>
          <cell r="B764" t="str">
            <v>VAR_fin</v>
          </cell>
          <cell r="C764" t="str">
            <v>H2</v>
          </cell>
          <cell r="G764">
            <v>8.4854007485624084E-4</v>
          </cell>
          <cell r="H764">
            <v>2.1067814710136568</v>
          </cell>
          <cell r="I764">
            <v>3.5954515092380239</v>
          </cell>
          <cell r="J764">
            <v>12.016625956154426</v>
          </cell>
          <cell r="K764">
            <v>18.254437879916789</v>
          </cell>
          <cell r="L764">
            <v>21.66920573876703</v>
          </cell>
          <cell r="M764">
            <v>22.530636813429567</v>
          </cell>
          <cell r="N764">
            <v>22.758350372774515</v>
          </cell>
          <cell r="O764">
            <v>22.602984095186272</v>
          </cell>
        </row>
        <row r="765">
          <cell r="A765" t="str">
            <v>D-IH2</v>
          </cell>
          <cell r="B765" t="str">
            <v>VAR_ncap</v>
          </cell>
          <cell r="C765" t="str">
            <v>-</v>
          </cell>
          <cell r="G765">
            <v>1.4107238841445401E-4</v>
          </cell>
          <cell r="H765">
            <v>0.13102126826575999</v>
          </cell>
          <cell r="I765">
            <v>1.2543527271000399E-4</v>
          </cell>
          <cell r="J765">
            <v>0.31539988541077302</v>
          </cell>
          <cell r="K765">
            <v>0.27137730042182101</v>
          </cell>
          <cell r="L765">
            <v>9.7644545057197704E-2</v>
          </cell>
          <cell r="M765">
            <v>3.1234619734991101E-2</v>
          </cell>
          <cell r="N765">
            <v>2.8570908007803601E-3</v>
          </cell>
          <cell r="O765">
            <v>8.7996824754533497E-5</v>
          </cell>
        </row>
        <row r="766">
          <cell r="A766" t="str">
            <v>D-IH2</v>
          </cell>
          <cell r="B766" t="str">
            <v>VAR_cap</v>
          </cell>
          <cell r="C766" t="str">
            <v>-</v>
          </cell>
          <cell r="G766">
            <v>1.4107238841445401E-4</v>
          </cell>
          <cell r="H766">
            <v>0.13116234065417401</v>
          </cell>
          <cell r="I766">
            <v>0.13128777592688401</v>
          </cell>
          <cell r="J766">
            <v>0.44668766133765703</v>
          </cell>
          <cell r="K766">
            <v>0.71806496175947798</v>
          </cell>
          <cell r="L766">
            <v>0.81570950681667598</v>
          </cell>
          <cell r="M766">
            <v>0.84694412655166695</v>
          </cell>
          <cell r="N766">
            <v>0.84975649547399001</v>
          </cell>
          <cell r="O766">
            <v>0.84974814178878799</v>
          </cell>
        </row>
        <row r="767">
          <cell r="A767" t="str">
            <v>D-RHNM_LTH_CHPWOD</v>
          </cell>
          <cell r="B767" t="str">
            <v>VAR_fout</v>
          </cell>
          <cell r="C767" t="str">
            <v>RHNM_LTH_CHPWOD_ON</v>
          </cell>
          <cell r="D767">
            <v>3.9423145171553877E-6</v>
          </cell>
          <cell r="E767">
            <v>4.73920044705014E-6</v>
          </cell>
          <cell r="F767">
            <v>7.4604898701952196E-7</v>
          </cell>
          <cell r="G767">
            <v>7.1438749044525844E-4</v>
          </cell>
          <cell r="H767">
            <v>1.4801118593154926E-3</v>
          </cell>
          <cell r="I767">
            <v>5.5920096958278036E-3</v>
          </cell>
          <cell r="J767">
            <v>7.1096445534082229E-3</v>
          </cell>
          <cell r="K767">
            <v>3.120566654087178E-3</v>
          </cell>
          <cell r="L767">
            <v>3.3607100951368973E-3</v>
          </cell>
          <cell r="M767">
            <v>6.6405088226167341E-3</v>
          </cell>
          <cell r="N767">
            <v>3.0773295564158641E-3</v>
          </cell>
          <cell r="O767">
            <v>4.2879476638172168E-3</v>
          </cell>
        </row>
        <row r="768">
          <cell r="A768" t="str">
            <v>D-RHNM_LTH_CHPWOD</v>
          </cell>
          <cell r="B768" t="str">
            <v>VAR_fout</v>
          </cell>
          <cell r="C768" t="str">
            <v>RHSA_LTH</v>
          </cell>
          <cell r="D768">
            <v>6.0510719015716769E-6</v>
          </cell>
          <cell r="E768">
            <v>9.816667245840571E-6</v>
          </cell>
          <cell r="F768">
            <v>9.6141325064452386E-6</v>
          </cell>
          <cell r="G768">
            <v>1.8782203294083783E-4</v>
          </cell>
          <cell r="H768">
            <v>1.4872676846575095E-4</v>
          </cell>
          <cell r="I768">
            <v>1.256857976331838E-5</v>
          </cell>
          <cell r="J768">
            <v>9.3274876588301731E-5</v>
          </cell>
          <cell r="K768">
            <v>1.1935262235688873E-4</v>
          </cell>
          <cell r="L768">
            <v>2.6026509463694257E-4</v>
          </cell>
          <cell r="M768">
            <v>3.9958508141390913E-4</v>
          </cell>
          <cell r="N768">
            <v>5.9242555100009893E-6</v>
          </cell>
          <cell r="O768">
            <v>1.1231795565575889E-5</v>
          </cell>
        </row>
        <row r="769">
          <cell r="A769" t="str">
            <v>D-RHNM_LTH_CHPWOD</v>
          </cell>
          <cell r="B769" t="str">
            <v>VAR_fout</v>
          </cell>
          <cell r="C769" t="str">
            <v>LTH</v>
          </cell>
          <cell r="H769">
            <v>6.7627130765506774E-7</v>
          </cell>
          <cell r="I769">
            <v>8.4944767741316327E-6</v>
          </cell>
          <cell r="J769">
            <v>1.198671497501607E-5</v>
          </cell>
          <cell r="K769">
            <v>5.9797449231850421E-6</v>
          </cell>
          <cell r="L769">
            <v>7.6293877133306045E-6</v>
          </cell>
          <cell r="M769">
            <v>1.710659874110909E-5</v>
          </cell>
          <cell r="N769">
            <v>8.4768228051127243E-6</v>
          </cell>
          <cell r="O769">
            <v>1.3830494434294686E-5</v>
          </cell>
        </row>
        <row r="770">
          <cell r="A770" t="str">
            <v>D-RHNM_LTH_CHPWOD</v>
          </cell>
          <cell r="B770" t="str">
            <v>VAR_fin</v>
          </cell>
          <cell r="C770" t="str">
            <v>RHNM_LTH_CHPWOD</v>
          </cell>
          <cell r="D770">
            <v>9.9933864187270596E-6</v>
          </cell>
          <cell r="E770">
            <v>1.4824576178056213E-5</v>
          </cell>
          <cell r="F770">
            <v>1.0705811830908867E-5</v>
          </cell>
          <cell r="G770">
            <v>9.0283269946912249E-4</v>
          </cell>
          <cell r="H770">
            <v>1.6304548644102978E-3</v>
          </cell>
          <cell r="I770">
            <v>5.6135359208397276E-3</v>
          </cell>
          <cell r="J770">
            <v>7.2152911482992257E-3</v>
          </cell>
          <cell r="K770">
            <v>3.2463137421500912E-3</v>
          </cell>
          <cell r="L770">
            <v>3.6289697077601835E-3</v>
          </cell>
          <cell r="M770">
            <v>7.0575398746332485E-3</v>
          </cell>
          <cell r="N770">
            <v>3.0920756658070823E-3</v>
          </cell>
          <cell r="O770">
            <v>4.3130099538170874E-3</v>
          </cell>
        </row>
        <row r="771">
          <cell r="A771" t="str">
            <v>RHNS-SHWODBR</v>
          </cell>
          <cell r="B771" t="str">
            <v>VAR_fout</v>
          </cell>
          <cell r="C771" t="str">
            <v>RHNS-SHWOD</v>
          </cell>
          <cell r="E771">
            <v>2.6568857234142089E-2</v>
          </cell>
          <cell r="F771">
            <v>9.4632660883246927E-2</v>
          </cell>
          <cell r="G771">
            <v>0.10781870996065469</v>
          </cell>
          <cell r="H771">
            <v>0.23189837281241552</v>
          </cell>
          <cell r="I771">
            <v>0.15302411274190092</v>
          </cell>
          <cell r="J771">
            <v>0.16172553968233094</v>
          </cell>
          <cell r="K771">
            <v>0.2414483467077711</v>
          </cell>
          <cell r="L771">
            <v>0.15717740977472874</v>
          </cell>
          <cell r="M771">
            <v>0.15646768673120545</v>
          </cell>
          <cell r="N771">
            <v>0.15650970008489107</v>
          </cell>
          <cell r="O771">
            <v>9.6861254370840602E-2</v>
          </cell>
        </row>
        <row r="772">
          <cell r="A772" t="str">
            <v>RHNS-SHWODBR</v>
          </cell>
          <cell r="B772" t="str">
            <v>VAR_fin</v>
          </cell>
          <cell r="C772" t="str">
            <v>RHNSWODBRC</v>
          </cell>
          <cell r="E772">
            <v>2.6568857234142089E-2</v>
          </cell>
          <cell r="F772">
            <v>9.4632660883246927E-2</v>
          </cell>
          <cell r="G772">
            <v>0.10781870996065469</v>
          </cell>
          <cell r="H772">
            <v>0.23189837281241552</v>
          </cell>
          <cell r="I772">
            <v>0.15302411274190092</v>
          </cell>
          <cell r="J772">
            <v>0.16172553968233094</v>
          </cell>
          <cell r="K772">
            <v>0.2414483467077711</v>
          </cell>
          <cell r="L772">
            <v>0.15717740977472874</v>
          </cell>
          <cell r="M772">
            <v>0.15646768673120545</v>
          </cell>
          <cell r="N772">
            <v>0.15650970008489107</v>
          </cell>
          <cell r="O772">
            <v>9.6861254370840602E-2</v>
          </cell>
        </row>
        <row r="773">
          <cell r="A773" t="str">
            <v>RHNS-SHWODBR</v>
          </cell>
          <cell r="B773" t="str">
            <v>VAR_fin</v>
          </cell>
          <cell r="C773" t="str">
            <v>RWOD</v>
          </cell>
          <cell r="E773">
            <v>3.6901190602975129E-2</v>
          </cell>
          <cell r="F773">
            <v>0.13143425122673197</v>
          </cell>
          <cell r="G773">
            <v>0.14974820827868709</v>
          </cell>
          <cell r="H773">
            <v>0.3220810733505774</v>
          </cell>
          <cell r="I773">
            <v>0.21253348991930648</v>
          </cell>
          <cell r="J773">
            <v>0.22461880511434845</v>
          </cell>
          <cell r="K773">
            <v>0.33534492598301563</v>
          </cell>
          <cell r="L773">
            <v>0.21830195802045663</v>
          </cell>
          <cell r="M773">
            <v>0.21731623157111893</v>
          </cell>
          <cell r="N773">
            <v>0.21737458345123753</v>
          </cell>
          <cell r="O773">
            <v>0.13452951995950088</v>
          </cell>
        </row>
        <row r="774">
          <cell r="A774" t="str">
            <v>RHNS-SHWODBR</v>
          </cell>
          <cell r="B774" t="str">
            <v>VAR_ncap</v>
          </cell>
          <cell r="C774" t="str">
            <v>-</v>
          </cell>
          <cell r="E774">
            <v>1.9495613048839699E-3</v>
          </cell>
          <cell r="F774">
            <v>6.0804838616440298E-3</v>
          </cell>
          <cell r="H774">
            <v>9.8878965675966504E-3</v>
          </cell>
          <cell r="J774">
            <v>1.75984447475711E-2</v>
          </cell>
          <cell r="L774">
            <v>1.9771832229363202E-6</v>
          </cell>
          <cell r="M774">
            <v>1.1421677170525399E-2</v>
          </cell>
          <cell r="N774">
            <v>2.6396488922794502E-6</v>
          </cell>
          <cell r="O774">
            <v>6.7851932459622305E-7</v>
          </cell>
        </row>
        <row r="775">
          <cell r="A775" t="str">
            <v>RHNS-SHWODBR</v>
          </cell>
          <cell r="B775" t="str">
            <v>VAR_cap</v>
          </cell>
          <cell r="C775" t="str">
            <v>-</v>
          </cell>
          <cell r="E775">
            <v>1.9495613048839699E-3</v>
          </cell>
          <cell r="F775">
            <v>8.029882073548612E-3</v>
          </cell>
          <cell r="G775">
            <v>8.029703796890492E-3</v>
          </cell>
          <cell r="H775">
            <v>1.6966679653719018E-2</v>
          </cell>
          <cell r="I775">
            <v>1.1164599302901637E-2</v>
          </cell>
          <cell r="J775">
            <v>1.7741136700330028E-2</v>
          </cell>
          <cell r="K775">
            <v>1.7598407908595955E-2</v>
          </cell>
          <cell r="L775">
            <v>1.5154218863286949E-2</v>
          </cell>
          <cell r="M775">
            <v>1.1423574690175561E-2</v>
          </cell>
          <cell r="N775">
            <v>1.1425420411639745E-2</v>
          </cell>
          <cell r="O775">
            <v>1.1421514418427684E-2</v>
          </cell>
        </row>
        <row r="776">
          <cell r="A776" t="str">
            <v>D-RHNM_NKEV_GAS_ELC_CHP</v>
          </cell>
          <cell r="B776" t="str">
            <v>VAR_fout</v>
          </cell>
          <cell r="C776" t="str">
            <v>ELC5</v>
          </cell>
          <cell r="E776">
            <v>9.210763332722845E-4</v>
          </cell>
          <cell r="F776">
            <v>3.7509633483286601E-3</v>
          </cell>
          <cell r="G776">
            <v>3.7105025862932753E-3</v>
          </cell>
          <cell r="H776">
            <v>3.7505261586907555E-3</v>
          </cell>
          <cell r="I776">
            <v>2.307597503700365E-3</v>
          </cell>
          <cell r="L776">
            <v>6.9597499863116282E-4</v>
          </cell>
          <cell r="M776">
            <v>1.7999820559842664E-3</v>
          </cell>
          <cell r="N776">
            <v>8.9519655326904875E-4</v>
          </cell>
          <cell r="O776">
            <v>1.8100155175448554E-3</v>
          </cell>
        </row>
        <row r="777">
          <cell r="A777" t="str">
            <v>D-RHNM_NKEV_GAS_ELC_CHP</v>
          </cell>
          <cell r="B777" t="str">
            <v>VAR_fout</v>
          </cell>
          <cell r="C777" t="str">
            <v>RHNM_ELC</v>
          </cell>
          <cell r="E777">
            <v>9.2094509536251601E-4</v>
          </cell>
          <cell r="F777">
            <v>3.7474897255530023E-3</v>
          </cell>
          <cell r="G777">
            <v>3.7073725498307721E-3</v>
          </cell>
          <cell r="H777">
            <v>3.7482203301578611E-3</v>
          </cell>
          <cell r="I777">
            <v>2.3065470302308399E-3</v>
          </cell>
          <cell r="L777">
            <v>6.96499694574221E-4</v>
          </cell>
          <cell r="M777">
            <v>1.8196608618412731E-3</v>
          </cell>
          <cell r="N777">
            <v>9.0062444643277133E-4</v>
          </cell>
          <cell r="O777">
            <v>1.8171452489987171E-3</v>
          </cell>
        </row>
        <row r="778">
          <cell r="A778" t="str">
            <v>D-RHNM_NKEV_GAS_ELC_CHP</v>
          </cell>
          <cell r="B778" t="str">
            <v>VAR_fin</v>
          </cell>
          <cell r="C778" t="str">
            <v>RHNM_NKEV_GAS_ELC_CHP</v>
          </cell>
          <cell r="E778">
            <v>1.842021428634799E-3</v>
          </cell>
          <cell r="F778">
            <v>7.4965309247036118E-3</v>
          </cell>
          <cell r="G778">
            <v>7.4165966852288772E-3</v>
          </cell>
          <cell r="H778">
            <v>7.4967234790610316E-3</v>
          </cell>
          <cell r="I778">
            <v>4.6109683390243633E-3</v>
          </cell>
          <cell r="L778">
            <v>1.392474693205384E-3</v>
          </cell>
          <cell r="M778">
            <v>3.619642917825541E-3</v>
          </cell>
          <cell r="N778">
            <v>1.7958209997018201E-3</v>
          </cell>
          <cell r="O778">
            <v>3.6271607665435742E-3</v>
          </cell>
        </row>
        <row r="779">
          <cell r="A779" t="str">
            <v>D-RLFO</v>
          </cell>
          <cell r="B779" t="str">
            <v>VAR_fout</v>
          </cell>
          <cell r="C779" t="str">
            <v>CO2</v>
          </cell>
          <cell r="D779">
            <v>4514.4828221692896</v>
          </cell>
          <cell r="E779">
            <v>3846.5253505034598</v>
          </cell>
          <cell r="F779">
            <v>3753.3610951453202</v>
          </cell>
          <cell r="G779">
            <v>3105.9338492912898</v>
          </cell>
          <cell r="H779">
            <v>1563.3451089821101</v>
          </cell>
          <cell r="I779">
            <v>774.17554641820595</v>
          </cell>
          <cell r="J779">
            <v>493.59612819470698</v>
          </cell>
          <cell r="L779">
            <v>1.6171445504074799E-2</v>
          </cell>
          <cell r="M779">
            <v>2.87366833278541E-2</v>
          </cell>
          <cell r="N779">
            <v>1.8334579401455001E-2</v>
          </cell>
          <cell r="O779">
            <v>3.4544216691709498E-2</v>
          </cell>
        </row>
        <row r="780">
          <cell r="A780" t="str">
            <v>D-RLFO</v>
          </cell>
          <cell r="B780" t="str">
            <v>VAR_fout</v>
          </cell>
          <cell r="C780" t="str">
            <v>RLFO</v>
          </cell>
          <cell r="D780">
            <v>60.231827651037911</v>
          </cell>
          <cell r="E780">
            <v>51.3199985675313</v>
          </cell>
          <cell r="F780">
            <v>50.07705700642984</v>
          </cell>
          <cell r="G780">
            <v>41.439429877160052</v>
          </cell>
          <cell r="H780">
            <v>20.858522652985766</v>
          </cell>
          <cell r="I780">
            <v>10.329187963044143</v>
          </cell>
          <cell r="J780">
            <v>6.5862979340895276</v>
          </cell>
          <cell r="K780">
            <v>6.5857629082038391</v>
          </cell>
          <cell r="L780">
            <v>5.8519901383189126</v>
          </cell>
          <cell r="M780">
            <v>3.3411085228144435</v>
          </cell>
          <cell r="N780">
            <v>3.3410083836047981</v>
          </cell>
          <cell r="O780">
            <v>0.67916979340998429</v>
          </cell>
        </row>
        <row r="781">
          <cell r="A781" t="str">
            <v>D-RLFO</v>
          </cell>
          <cell r="B781" t="str">
            <v>VAR_fin</v>
          </cell>
          <cell r="C781" t="str">
            <v>LFO</v>
          </cell>
          <cell r="D781">
            <v>61.254855117629447</v>
          </cell>
          <cell r="E781">
            <v>52.191660115379385</v>
          </cell>
          <cell r="F781">
            <v>50.927558957195643</v>
          </cell>
          <cell r="G781">
            <v>42.142928755648477</v>
          </cell>
          <cell r="H781">
            <v>21.212280990259224</v>
          </cell>
          <cell r="I781">
            <v>10.504417183422067</v>
          </cell>
          <cell r="J781">
            <v>6.6973694463325266</v>
          </cell>
          <cell r="L781">
            <v>2.1942259842706613E-4</v>
          </cell>
          <cell r="M781">
            <v>3.8991429210114145E-4</v>
          </cell>
          <cell r="N781">
            <v>2.4877312620698734E-4</v>
          </cell>
          <cell r="O781">
            <v>4.6871393068805299E-4</v>
          </cell>
        </row>
        <row r="782">
          <cell r="A782" t="str">
            <v>D-RLFO</v>
          </cell>
          <cell r="B782" t="str">
            <v>VAR_fin</v>
          </cell>
          <cell r="C782" t="str">
            <v>BDS</v>
          </cell>
          <cell r="F782">
            <v>4.8455341329755207E-5</v>
          </cell>
          <cell r="G782">
            <v>3.4288191388798375E-4</v>
          </cell>
          <cell r="H782">
            <v>5.201773352579421E-4</v>
          </cell>
          <cell r="I782">
            <v>2.1036110413095993E-4</v>
          </cell>
          <cell r="J782">
            <v>7.9570401078856063E-4</v>
          </cell>
          <cell r="K782">
            <v>6.6976201368833905</v>
          </cell>
          <cell r="L782">
            <v>5.9511658273740418</v>
          </cell>
          <cell r="M782">
            <v>3.3974668194736357</v>
          </cell>
          <cell r="N782">
            <v>3.3975061064146814</v>
          </cell>
          <cell r="O782">
            <v>0.69023672280459669</v>
          </cell>
        </row>
        <row r="783">
          <cell r="A783" t="str">
            <v>D-SCOM_LTH_CHPBIO</v>
          </cell>
          <cell r="B783" t="str">
            <v>VAR_fout</v>
          </cell>
          <cell r="C783" t="str">
            <v>SCOM_LTH_CHPBIO_ON</v>
          </cell>
          <cell r="D783">
            <v>1.4243091379999531</v>
          </cell>
          <cell r="E783">
            <v>1.5427983463569295</v>
          </cell>
          <cell r="F783">
            <v>1.3886955014669133</v>
          </cell>
          <cell r="G783">
            <v>1.1577001912818206</v>
          </cell>
          <cell r="H783">
            <v>1.2327648793457597</v>
          </cell>
          <cell r="I783">
            <v>0.98372656445611695</v>
          </cell>
          <cell r="J783">
            <v>2.0133535402748577</v>
          </cell>
          <cell r="K783">
            <v>1.9535046924204398</v>
          </cell>
          <cell r="L783">
            <v>2.2684960599504502</v>
          </cell>
          <cell r="M783">
            <v>2.4560204267451606</v>
          </cell>
          <cell r="N783">
            <v>2.2276852837743641</v>
          </cell>
          <cell r="O783">
            <v>1.9179145056500162</v>
          </cell>
        </row>
        <row r="784">
          <cell r="A784" t="str">
            <v>D-SCOM_LTH_CHPBIO</v>
          </cell>
          <cell r="B784" t="str">
            <v>VAR_fout</v>
          </cell>
          <cell r="C784" t="str">
            <v>LTH</v>
          </cell>
          <cell r="E784">
            <v>3.5524824908860948E-2</v>
          </cell>
          <cell r="F784">
            <v>9.1961151168527711E-2</v>
          </cell>
          <cell r="G784">
            <v>0.16527587893765602</v>
          </cell>
          <cell r="H784">
            <v>0.28367390448313168</v>
          </cell>
          <cell r="I784">
            <v>0.32539294110574668</v>
          </cell>
          <cell r="J784">
            <v>0.87618231484418285</v>
          </cell>
          <cell r="K784">
            <v>1.1614783332230523</v>
          </cell>
          <cell r="L784">
            <v>1.4752395807861653</v>
          </cell>
          <cell r="M784">
            <v>2.3574663625518579</v>
          </cell>
          <cell r="N784">
            <v>2.7548154685777457</v>
          </cell>
          <cell r="O784">
            <v>3.0643297135804333</v>
          </cell>
        </row>
        <row r="785">
          <cell r="A785" t="str">
            <v>D-SCOM_LTH_CHPBIO</v>
          </cell>
          <cell r="B785" t="str">
            <v>VAR_fin</v>
          </cell>
          <cell r="C785" t="str">
            <v>SCOM_LTH_CHPBIO</v>
          </cell>
          <cell r="D785">
            <v>1.4243091379999531</v>
          </cell>
          <cell r="E785">
            <v>1.5783231712657895</v>
          </cell>
          <cell r="F785">
            <v>1.4806566526354412</v>
          </cell>
          <cell r="G785">
            <v>1.3229760702194764</v>
          </cell>
          <cell r="H785">
            <v>1.5164387838288924</v>
          </cell>
          <cell r="I785">
            <v>1.3091195055618634</v>
          </cell>
          <cell r="J785">
            <v>2.8895358551190387</v>
          </cell>
          <cell r="K785">
            <v>3.1149830256434909</v>
          </cell>
          <cell r="L785">
            <v>3.7437356407366167</v>
          </cell>
          <cell r="M785">
            <v>4.8134867892970181</v>
          </cell>
          <cell r="N785">
            <v>4.9825007523521085</v>
          </cell>
          <cell r="O785">
            <v>4.982244219230453</v>
          </cell>
        </row>
        <row r="786">
          <cell r="A786" t="str">
            <v>D-SCOM_LTH_CHPHFC</v>
          </cell>
          <cell r="B786" t="str">
            <v>VAR_fout</v>
          </cell>
          <cell r="C786" t="str">
            <v>SCOM_LTH_CHPHFC_ON</v>
          </cell>
          <cell r="G786">
            <v>6.2253664525825593E-4</v>
          </cell>
          <cell r="H786">
            <v>1.4912596420157955E-3</v>
          </cell>
          <cell r="I786">
            <v>7.4312031329331453E-3</v>
          </cell>
          <cell r="J786">
            <v>2.7480997634012159E-2</v>
          </cell>
          <cell r="K786">
            <v>4.9141791204873213E-2</v>
          </cell>
          <cell r="L786">
            <v>4.1782519250690507E-2</v>
          </cell>
          <cell r="M786">
            <v>1.5396122416298954E-2</v>
          </cell>
          <cell r="N786">
            <v>4.5527793107128685E-3</v>
          </cell>
          <cell r="O786">
            <v>1.2511742053385745E-2</v>
          </cell>
        </row>
        <row r="787">
          <cell r="A787" t="str">
            <v>D-SCOM_LTH_CHPHFC</v>
          </cell>
          <cell r="B787" t="str">
            <v>VAR_fout</v>
          </cell>
          <cell r="C787" t="str">
            <v>LTH</v>
          </cell>
          <cell r="H787">
            <v>8.1346369982559132E-7</v>
          </cell>
          <cell r="I787">
            <v>1.0397573801363062E-5</v>
          </cell>
          <cell r="J787">
            <v>6.3777368764468854E-5</v>
          </cell>
          <cell r="K787">
            <v>1.5281310598194115E-4</v>
          </cell>
          <cell r="L787">
            <v>5.0711651193067069E-5</v>
          </cell>
          <cell r="M787">
            <v>3.6935678560548907E-5</v>
          </cell>
          <cell r="N787">
            <v>1.2822820728136506E-5</v>
          </cell>
          <cell r="O787">
            <v>4.1822599334716757E-5</v>
          </cell>
        </row>
        <row r="788">
          <cell r="A788" t="str">
            <v>D-SCOM_LTH_CHPHFC</v>
          </cell>
          <cell r="B788" t="str">
            <v>VAR_fin</v>
          </cell>
          <cell r="C788" t="str">
            <v>SCOM_LTH_CHPHFC</v>
          </cell>
          <cell r="G788">
            <v>6.2297702779881222E-4</v>
          </cell>
          <cell r="H788">
            <v>1.4927557220067273E-3</v>
          </cell>
          <cell r="I788">
            <v>7.4420463485084503E-3</v>
          </cell>
          <cell r="J788">
            <v>2.7544865175830675E-2</v>
          </cell>
          <cell r="K788">
            <v>4.9294604310855111E-2</v>
          </cell>
          <cell r="L788">
            <v>4.1833230901883588E-2</v>
          </cell>
          <cell r="M788">
            <v>1.5433058094859509E-2</v>
          </cell>
          <cell r="N788">
            <v>4.5658996441230179E-3</v>
          </cell>
          <cell r="O788">
            <v>1.255356465272045E-2</v>
          </cell>
        </row>
        <row r="789">
          <cell r="A789" t="str">
            <v>D-SCOM_NKEV_GAS_ELC_CHP</v>
          </cell>
          <cell r="B789" t="str">
            <v>VAR_fout</v>
          </cell>
          <cell r="C789" t="str">
            <v>ELC5</v>
          </cell>
          <cell r="D789">
            <v>0.26746830401225413</v>
          </cell>
          <cell r="E789">
            <v>0.31283954893679955</v>
          </cell>
          <cell r="F789">
            <v>0.59538616747476381</v>
          </cell>
          <cell r="G789">
            <v>0.65141900842066447</v>
          </cell>
          <cell r="H789">
            <v>0.62894143576730333</v>
          </cell>
          <cell r="I789">
            <v>0.38310379599219235</v>
          </cell>
          <cell r="L789">
            <v>1.3793392731447048E-3</v>
          </cell>
          <cell r="M789">
            <v>1.6408030621119871E-3</v>
          </cell>
          <cell r="N789">
            <v>1.2441204631235242E-3</v>
          </cell>
          <cell r="O789">
            <v>2.8518982740169826E-3</v>
          </cell>
        </row>
        <row r="790">
          <cell r="A790" t="str">
            <v>D-SCOM_NKEV_GAS_ELC_CHP</v>
          </cell>
          <cell r="B790" t="str">
            <v>VAR_fout</v>
          </cell>
          <cell r="C790" t="str">
            <v>SCOM_ELC</v>
          </cell>
          <cell r="D790">
            <v>0.32693240470541318</v>
          </cell>
          <cell r="E790">
            <v>0.31303404104580029</v>
          </cell>
          <cell r="F790">
            <v>0.59030087893182892</v>
          </cell>
          <cell r="G790">
            <v>0.64738460680290544</v>
          </cell>
          <cell r="H790">
            <v>0.62391376609271332</v>
          </cell>
          <cell r="I790">
            <v>0.38316618941495328</v>
          </cell>
          <cell r="L790">
            <v>1.3789222825522308E-3</v>
          </cell>
          <cell r="M790">
            <v>1.6410237369877409E-3</v>
          </cell>
          <cell r="N790">
            <v>1.2442854038001441E-3</v>
          </cell>
          <cell r="O790">
            <v>2.8532164467583773E-3</v>
          </cell>
        </row>
        <row r="791">
          <cell r="A791" t="str">
            <v>D-SCOM_NKEV_GAS_ELC_CHP</v>
          </cell>
          <cell r="B791" t="str">
            <v>VAR_fin</v>
          </cell>
          <cell r="C791" t="str">
            <v>SCOM_NKEV_GAS_ELC_CHP</v>
          </cell>
          <cell r="D791">
            <v>0.59440070871766748</v>
          </cell>
          <cell r="E791">
            <v>0.62587358998259968</v>
          </cell>
          <cell r="F791">
            <v>1.1856852971159655</v>
          </cell>
          <cell r="G791">
            <v>1.2988023941144442</v>
          </cell>
          <cell r="H791">
            <v>1.2528534270171676</v>
          </cell>
          <cell r="I791">
            <v>0.7662691275162381</v>
          </cell>
          <cell r="L791">
            <v>2.7582615556969339E-3</v>
          </cell>
          <cell r="M791">
            <v>3.2818267990997268E-3</v>
          </cell>
          <cell r="N791">
            <v>2.4884058669236687E-3</v>
          </cell>
          <cell r="O791">
            <v>5.7051147207753602E-3</v>
          </cell>
        </row>
        <row r="792">
          <cell r="A792" t="str">
            <v>RHEM-SHLTHDH</v>
          </cell>
          <cell r="B792" t="str">
            <v>VAR_fout</v>
          </cell>
          <cell r="C792" t="str">
            <v>RHEM-SHLTHD</v>
          </cell>
          <cell r="D792">
            <v>2.0387187385614252</v>
          </cell>
          <cell r="E792">
            <v>3.7887238420029834</v>
          </cell>
          <cell r="F792">
            <v>4.0399908249678473</v>
          </cell>
          <cell r="G792">
            <v>3.1655194369810293</v>
          </cell>
          <cell r="H792">
            <v>3.1062738651524233</v>
          </cell>
          <cell r="I792">
            <v>3.6308896441394563</v>
          </cell>
          <cell r="J792">
            <v>3.0499243487003724</v>
          </cell>
          <cell r="K792">
            <v>3.6926817900191025</v>
          </cell>
          <cell r="L792">
            <v>3.5588043825356319</v>
          </cell>
          <cell r="M792">
            <v>3.4222502597297857</v>
          </cell>
          <cell r="N792">
            <v>3.4235825208039086</v>
          </cell>
          <cell r="O792">
            <v>2.3115295078191576</v>
          </cell>
        </row>
        <row r="793">
          <cell r="A793" t="str">
            <v>RHEM-SHLTHDH</v>
          </cell>
          <cell r="B793" t="str">
            <v>VAR_fin</v>
          </cell>
          <cell r="C793" t="str">
            <v>RHEMLTHDHC</v>
          </cell>
          <cell r="D793">
            <v>2.0387187385614252</v>
          </cell>
          <cell r="E793">
            <v>3.7887238420029834</v>
          </cell>
          <cell r="F793">
            <v>4.0399908249678473</v>
          </cell>
          <cell r="G793">
            <v>3.1655194369810293</v>
          </cell>
          <cell r="H793">
            <v>3.1062738651524233</v>
          </cell>
          <cell r="I793">
            <v>3.6308896441394563</v>
          </cell>
          <cell r="J793">
            <v>3.0499243487003724</v>
          </cell>
          <cell r="K793">
            <v>3.6926817900191025</v>
          </cell>
          <cell r="L793">
            <v>3.5588043825356319</v>
          </cell>
          <cell r="M793">
            <v>3.4222502597297857</v>
          </cell>
          <cell r="N793">
            <v>3.4235825208039086</v>
          </cell>
          <cell r="O793">
            <v>2.3115295078191576</v>
          </cell>
        </row>
        <row r="794">
          <cell r="A794" t="str">
            <v>RHEM-SHLTHDH</v>
          </cell>
          <cell r="B794" t="str">
            <v>VAR_fin</v>
          </cell>
          <cell r="C794" t="str">
            <v>RHEM_LTH_DH</v>
          </cell>
          <cell r="D794">
            <v>2.0593118571327524</v>
          </cell>
          <cell r="E794">
            <v>3.8269937798009956</v>
          </cell>
          <cell r="F794">
            <v>4.0807988130988351</v>
          </cell>
          <cell r="G794">
            <v>3.1974943807889198</v>
          </cell>
          <cell r="H794">
            <v>3.137650368840831</v>
          </cell>
          <cell r="I794">
            <v>3.6675652971105595</v>
          </cell>
          <cell r="J794">
            <v>3.0807316653539125</v>
          </cell>
          <cell r="K794">
            <v>3.7299816060798991</v>
          </cell>
          <cell r="L794">
            <v>3.5947519015511427</v>
          </cell>
          <cell r="M794">
            <v>3.456818444171502</v>
          </cell>
          <cell r="N794">
            <v>3.4581641624281918</v>
          </cell>
          <cell r="O794">
            <v>2.3348782907264232</v>
          </cell>
        </row>
        <row r="795">
          <cell r="A795" t="str">
            <v>RHEM-SHLTHDH</v>
          </cell>
          <cell r="B795" t="str">
            <v>VAR_ncap</v>
          </cell>
          <cell r="C795" t="str">
            <v>-</v>
          </cell>
          <cell r="D795">
            <v>1.24430639353803E-8</v>
          </cell>
          <cell r="E795">
            <v>4.57487184013441E-8</v>
          </cell>
          <cell r="F795">
            <v>2.3335779518441799E-8</v>
          </cell>
          <cell r="G795">
            <v>1.81072346974023E-8</v>
          </cell>
          <cell r="H795">
            <v>4.26783173170557E-8</v>
          </cell>
          <cell r="I795">
            <v>5.29708598590095E-8</v>
          </cell>
          <cell r="J795">
            <v>6.8840846048478301E-8</v>
          </cell>
          <cell r="K795">
            <v>1.0430669868525399E-7</v>
          </cell>
          <cell r="L795">
            <v>1.0744439337222999E-7</v>
          </cell>
          <cell r="M795">
            <v>1.71964295447938E-7</v>
          </cell>
          <cell r="N795">
            <v>2.55649622116218E-7</v>
          </cell>
          <cell r="O795">
            <v>8.0159438920352704E-7</v>
          </cell>
        </row>
        <row r="796">
          <cell r="A796" t="str">
            <v>RHEM-SHLTHDH</v>
          </cell>
          <cell r="B796" t="str">
            <v>VAR_cap</v>
          </cell>
          <cell r="C796" t="str">
            <v>-</v>
          </cell>
          <cell r="D796">
            <v>0.3156254795547519</v>
          </cell>
          <cell r="E796">
            <v>0.31562552530347032</v>
          </cell>
          <cell r="F796">
            <v>0.31562554863924985</v>
          </cell>
          <cell r="G796">
            <v>0.31562556674648456</v>
          </cell>
          <cell r="H796">
            <v>0.31562560942480183</v>
          </cell>
          <cell r="I796">
            <v>0.3156256623956617</v>
          </cell>
          <cell r="J796">
            <v>0.31562573123650778</v>
          </cell>
          <cell r="K796">
            <v>0.31562583554320645</v>
          </cell>
          <cell r="L796">
            <v>0.31562594298759983</v>
          </cell>
          <cell r="M796">
            <v>0.31562611495189524</v>
          </cell>
          <cell r="N796">
            <v>0.31562637060151738</v>
          </cell>
          <cell r="O796">
            <v>0.31562717219590658</v>
          </cell>
        </row>
        <row r="797">
          <cell r="A797" t="str">
            <v>D-ITOT_SOLELC</v>
          </cell>
          <cell r="B797" t="str">
            <v>VAR_fout</v>
          </cell>
          <cell r="C797" t="str">
            <v>ITOT_ELC</v>
          </cell>
          <cell r="D797">
            <v>3.5162771208454151</v>
          </cell>
          <cell r="E797">
            <v>4.8475593924840892</v>
          </cell>
          <cell r="F797">
            <v>11.917506045563737</v>
          </cell>
          <cell r="G797">
            <v>14.048792633458712</v>
          </cell>
          <cell r="H797">
            <v>17.055696591894446</v>
          </cell>
          <cell r="I797">
            <v>20.306580649364452</v>
          </cell>
          <cell r="J797">
            <v>19.334155030006649</v>
          </cell>
          <cell r="K797">
            <v>21.868559016426502</v>
          </cell>
          <cell r="L797">
            <v>23.276362347005144</v>
          </cell>
          <cell r="M797">
            <v>24.261849357614082</v>
          </cell>
          <cell r="N797">
            <v>25.270759972228561</v>
          </cell>
          <cell r="O797">
            <v>26.285961121830901</v>
          </cell>
        </row>
        <row r="798">
          <cell r="A798" t="str">
            <v>D-ITOT_SOLELC</v>
          </cell>
          <cell r="B798" t="str">
            <v>VAR_fout</v>
          </cell>
          <cell r="C798" t="str">
            <v>ELC5</v>
          </cell>
          <cell r="D798">
            <v>1.6768788621161703E-3</v>
          </cell>
          <cell r="E798">
            <v>1.0633336804595319E-3</v>
          </cell>
          <cell r="F798">
            <v>9.1928588586101083E-3</v>
          </cell>
          <cell r="G798">
            <v>6.7750482665972556E-2</v>
          </cell>
          <cell r="H798">
            <v>2.7277425570060991</v>
          </cell>
          <cell r="I798">
            <v>0.48706653214782314</v>
          </cell>
          <cell r="J798">
            <v>2.5200563120032196</v>
          </cell>
          <cell r="K798">
            <v>0.87096268027296886</v>
          </cell>
          <cell r="L798">
            <v>0.65777172591111921</v>
          </cell>
          <cell r="M798">
            <v>0.84640627256333922</v>
          </cell>
          <cell r="N798">
            <v>1.0798885754448226</v>
          </cell>
          <cell r="O798">
            <v>1.3460370382189188</v>
          </cell>
        </row>
        <row r="799">
          <cell r="A799" t="str">
            <v>D-ITOT_SOLELC</v>
          </cell>
          <cell r="B799" t="str">
            <v>VAR_fin</v>
          </cell>
          <cell r="C799" t="str">
            <v>ITOT_SOL_ELC</v>
          </cell>
          <cell r="D799">
            <v>3.517953999707534</v>
          </cell>
          <cell r="E799">
            <v>4.8486222543413104</v>
          </cell>
          <cell r="F799">
            <v>11.926698904422356</v>
          </cell>
          <cell r="G799">
            <v>14.116543116124692</v>
          </cell>
          <cell r="H799">
            <v>19.783439148900555</v>
          </cell>
          <cell r="I799">
            <v>20.793647181512274</v>
          </cell>
          <cell r="J799">
            <v>21.854211342009847</v>
          </cell>
          <cell r="K799">
            <v>22.73952169669947</v>
          </cell>
          <cell r="L799">
            <v>23.934134072916269</v>
          </cell>
          <cell r="M799">
            <v>25.108255630177403</v>
          </cell>
          <cell r="N799">
            <v>26.350648547673373</v>
          </cell>
          <cell r="O799">
            <v>27.6319981600498</v>
          </cell>
        </row>
        <row r="800">
          <cell r="A800" t="str">
            <v>D-SWOD</v>
          </cell>
          <cell r="B800" t="str">
            <v>VAR_fout</v>
          </cell>
          <cell r="C800" t="str">
            <v>SWOD</v>
          </cell>
          <cell r="D800">
            <v>8.5743686253774527</v>
          </cell>
          <cell r="E800">
            <v>9.7931963850575663</v>
          </cell>
          <cell r="F800">
            <v>9.5629341427921659</v>
          </cell>
          <cell r="G800">
            <v>7.8015439127340258</v>
          </cell>
          <cell r="H800">
            <v>7.7985582625183181</v>
          </cell>
          <cell r="I800">
            <v>6.1787692442288229</v>
          </cell>
          <cell r="J800">
            <v>5.2608989598102482</v>
          </cell>
          <cell r="K800">
            <v>0.54382094202550446</v>
          </cell>
          <cell r="L800">
            <v>0.53767647860692092</v>
          </cell>
          <cell r="M800">
            <v>0.53995435431376981</v>
          </cell>
          <cell r="N800">
            <v>0.53816827925703836</v>
          </cell>
          <cell r="O800">
            <v>1.6116055439941714</v>
          </cell>
        </row>
        <row r="801">
          <cell r="A801" t="str">
            <v>D-SWOD</v>
          </cell>
          <cell r="B801" t="str">
            <v>VAR_fin</v>
          </cell>
          <cell r="C801" t="str">
            <v>WOD</v>
          </cell>
          <cell r="D801">
            <v>8.5743686253774527</v>
          </cell>
          <cell r="E801">
            <v>9.7931963850575663</v>
          </cell>
          <cell r="F801">
            <v>9.5629341427921659</v>
          </cell>
          <cell r="G801">
            <v>7.8015439127340258</v>
          </cell>
          <cell r="H801">
            <v>7.7985582625183181</v>
          </cell>
          <cell r="I801">
            <v>6.1787692442288229</v>
          </cell>
          <cell r="J801">
            <v>5.2608989598102482</v>
          </cell>
          <cell r="K801">
            <v>0.54382094202550446</v>
          </cell>
          <cell r="L801">
            <v>0.53767647860692092</v>
          </cell>
          <cell r="M801">
            <v>0.53995435431376981</v>
          </cell>
          <cell r="N801">
            <v>0.53816827925703836</v>
          </cell>
          <cell r="O801">
            <v>1.6116055439941714</v>
          </cell>
        </row>
        <row r="802">
          <cell r="A802" t="str">
            <v>ITOT-PROCESSCO2CCS</v>
          </cell>
          <cell r="B802" t="str">
            <v>VAR_fout</v>
          </cell>
          <cell r="C802" t="str">
            <v>CO2_O</v>
          </cell>
          <cell r="I802">
            <v>6.756669341155723E-2</v>
          </cell>
          <cell r="J802">
            <v>1035.2511329839008</v>
          </cell>
          <cell r="K802">
            <v>1031.8775711267963</v>
          </cell>
          <cell r="L802">
            <v>1031.8789146349693</v>
          </cell>
          <cell r="M802">
            <v>1031.8801136712805</v>
          </cell>
          <cell r="N802">
            <v>1031.8806322473702</v>
          </cell>
          <cell r="O802">
            <v>1031.8814857693417</v>
          </cell>
        </row>
        <row r="803">
          <cell r="A803" t="str">
            <v>ITOT-PROCESSCO2CCS</v>
          </cell>
          <cell r="B803" t="str">
            <v>VAR_fout</v>
          </cell>
          <cell r="C803" t="str">
            <v>CO2</v>
          </cell>
          <cell r="I803">
            <v>-6.7566693411557202E-2</v>
          </cell>
          <cell r="J803">
            <v>-1035.2511329839001</v>
          </cell>
          <cell r="K803">
            <v>-1031.8775711267999</v>
          </cell>
          <cell r="L803">
            <v>-1031.87891463497</v>
          </cell>
          <cell r="M803">
            <v>-1031.88011367128</v>
          </cell>
          <cell r="N803">
            <v>-1031.8806322473699</v>
          </cell>
          <cell r="O803">
            <v>-1031.8814857693401</v>
          </cell>
        </row>
        <row r="804">
          <cell r="A804" t="str">
            <v>ITOT-PROCESSCO2CCS</v>
          </cell>
          <cell r="B804" t="str">
            <v>VAR_fin</v>
          </cell>
          <cell r="C804" t="str">
            <v>ITOT_ELC</v>
          </cell>
          <cell r="I804">
            <v>1.4308240957741519E-4</v>
          </cell>
          <cell r="J804">
            <v>2.1922965169070849</v>
          </cell>
          <cell r="K804">
            <v>2.1851525035626311</v>
          </cell>
          <cell r="L804">
            <v>2.1851553486387596</v>
          </cell>
          <cell r="M804">
            <v>2.1851578877744751</v>
          </cell>
          <cell r="N804">
            <v>2.1851589859356055</v>
          </cell>
          <cell r="O804">
            <v>2.1851607933939015</v>
          </cell>
        </row>
        <row r="805">
          <cell r="A805" t="str">
            <v>ITOT-PROCESSCO2CCS</v>
          </cell>
          <cell r="B805" t="str">
            <v>VAR_fin</v>
          </cell>
          <cell r="C805" t="str">
            <v>ITOT_LTH_DH</v>
          </cell>
          <cell r="I805">
            <v>5.5643159280105892E-5</v>
          </cell>
          <cell r="J805">
            <v>0.85255975657497685</v>
          </cell>
          <cell r="K805">
            <v>0.84978152916324456</v>
          </cell>
          <cell r="L805">
            <v>0.84978263558173883</v>
          </cell>
          <cell r="M805">
            <v>0.84978362302340671</v>
          </cell>
          <cell r="N805">
            <v>0.84978405008606894</v>
          </cell>
          <cell r="O805">
            <v>0.84978475298651657</v>
          </cell>
        </row>
        <row r="806">
          <cell r="A806" t="str">
            <v>ITOT-PROCESSCO2CCS</v>
          </cell>
          <cell r="B806" t="str">
            <v>VAR_ncap</v>
          </cell>
          <cell r="C806" t="str">
            <v>-</v>
          </cell>
          <cell r="I806">
            <v>0.18621886849609401</v>
          </cell>
          <cell r="J806">
            <v>2098.16933383982</v>
          </cell>
          <cell r="K806">
            <v>4.4194312025564097E-3</v>
          </cell>
          <cell r="L806">
            <v>322.44459695423001</v>
          </cell>
          <cell r="M806">
            <v>87.627639538258194</v>
          </cell>
          <cell r="N806">
            <v>335.23476933147202</v>
          </cell>
          <cell r="O806">
            <v>1771.3051903176299</v>
          </cell>
        </row>
        <row r="807">
          <cell r="A807" t="str">
            <v>ITOT-PROCESSCO2CCS</v>
          </cell>
          <cell r="B807" t="str">
            <v>VAR_cap</v>
          </cell>
          <cell r="C807" t="str">
            <v>-</v>
          </cell>
          <cell r="I807">
            <v>0.18621886849609401</v>
          </cell>
          <cell r="J807">
            <v>2098.3555527083199</v>
          </cell>
          <cell r="K807">
            <v>2098.3599721395199</v>
          </cell>
          <cell r="L807">
            <v>2420.8045690937502</v>
          </cell>
          <cell r="M807">
            <v>2508.4322086320099</v>
          </cell>
          <cell r="N807">
            <v>2515.0124133358499</v>
          </cell>
          <cell r="O807">
            <v>2516.6166155727901</v>
          </cell>
        </row>
        <row r="808">
          <cell r="A808" t="str">
            <v>D-RSH2R</v>
          </cell>
          <cell r="B808" t="str">
            <v>VAR_fout</v>
          </cell>
          <cell r="C808" t="str">
            <v>RSH2</v>
          </cell>
          <cell r="G808">
            <v>2.5072354186277644E-4</v>
          </cell>
          <cell r="H808">
            <v>4.2733539304920336E-4</v>
          </cell>
          <cell r="I808">
            <v>1.3678822850985288E-2</v>
          </cell>
          <cell r="J808">
            <v>2.4848073744500637E-3</v>
          </cell>
          <cell r="K808">
            <v>2.5699789435996209E-3</v>
          </cell>
          <cell r="L808">
            <v>0.88120425192916396</v>
          </cell>
          <cell r="M808">
            <v>0.30442194219643498</v>
          </cell>
          <cell r="N808">
            <v>2.6311514658251701E-3</v>
          </cell>
          <cell r="O808">
            <v>4.5515063161012063E-3</v>
          </cell>
        </row>
        <row r="809">
          <cell r="A809" t="str">
            <v>D-RSH2R</v>
          </cell>
          <cell r="B809" t="str">
            <v>VAR_fin</v>
          </cell>
          <cell r="C809" t="str">
            <v>H2</v>
          </cell>
          <cell r="G809">
            <v>2.5072354186277644E-4</v>
          </cell>
          <cell r="H809">
            <v>4.2733539304920336E-4</v>
          </cell>
          <cell r="I809">
            <v>1.3678822850985288E-2</v>
          </cell>
          <cell r="J809">
            <v>2.4848073744500637E-3</v>
          </cell>
          <cell r="K809">
            <v>2.5699789435996209E-3</v>
          </cell>
          <cell r="L809">
            <v>0.88120425192916396</v>
          </cell>
          <cell r="M809">
            <v>0.30442194219643498</v>
          </cell>
          <cell r="N809">
            <v>2.6311514658251701E-3</v>
          </cell>
          <cell r="O809">
            <v>4.5515063161012063E-3</v>
          </cell>
        </row>
        <row r="810">
          <cell r="A810" t="str">
            <v>D-RSH2R</v>
          </cell>
          <cell r="B810" t="str">
            <v>VAR_ncap</v>
          </cell>
          <cell r="C810" t="str">
            <v>-</v>
          </cell>
          <cell r="G810">
            <v>3.2163828435483899E-5</v>
          </cell>
          <cell r="H810">
            <v>4.0560537442508003E-5</v>
          </cell>
          <cell r="I810">
            <v>8.4844282249812303E-4</v>
          </cell>
          <cell r="J810">
            <v>1.1049669501491799E-4</v>
          </cell>
          <cell r="K810">
            <v>4.9025419310583005E-7</v>
          </cell>
          <cell r="L810">
            <v>3.1033439531244499E-2</v>
          </cell>
          <cell r="M810">
            <v>1.5962563966544499E-6</v>
          </cell>
          <cell r="N810">
            <v>1.6608895359933299E-4</v>
          </cell>
          <cell r="O810">
            <v>1.5994520833624001E-4</v>
          </cell>
        </row>
        <row r="811">
          <cell r="A811" t="str">
            <v>D-RSH2R</v>
          </cell>
          <cell r="B811" t="str">
            <v>VAR_cap</v>
          </cell>
          <cell r="C811" t="str">
            <v>-</v>
          </cell>
          <cell r="G811">
            <v>3.2163828435483899E-5</v>
          </cell>
          <cell r="H811">
            <v>6.4978741032978998E-5</v>
          </cell>
          <cell r="I811">
            <v>8.5696041115925002E-4</v>
          </cell>
          <cell r="J811">
            <v>1.1049669501491799E-4</v>
          </cell>
          <cell r="K811">
            <v>1.10986949208024E-4</v>
          </cell>
          <cell r="L811">
            <v>3.1050566620834E-2</v>
          </cell>
          <cell r="M811">
            <v>2.3561628797501E-2</v>
          </cell>
          <cell r="N811">
            <v>1.6637168560232601E-4</v>
          </cell>
          <cell r="O811">
            <v>3.26034161935572E-4</v>
          </cell>
        </row>
        <row r="812">
          <cell r="A812" t="str">
            <v>SCOM-SHLTHCHPBIO</v>
          </cell>
          <cell r="B812" t="str">
            <v>VAR_fout</v>
          </cell>
          <cell r="C812" t="str">
            <v>SCOM-SHLTHC-BIO</v>
          </cell>
          <cell r="D812">
            <v>1.4100660466199539</v>
          </cell>
          <cell r="E812">
            <v>1.5273703628933584</v>
          </cell>
          <cell r="F812">
            <v>1.3748085464522459</v>
          </cell>
          <cell r="G812">
            <v>1.1461231893690018</v>
          </cell>
          <cell r="H812">
            <v>1.2204372305523019</v>
          </cell>
          <cell r="I812">
            <v>0.97388929881155584</v>
          </cell>
          <cell r="J812">
            <v>1.9932200048721078</v>
          </cell>
          <cell r="K812">
            <v>1.9339696454962347</v>
          </cell>
          <cell r="L812">
            <v>2.2458110993509477</v>
          </cell>
          <cell r="M812">
            <v>2.4314602224777082</v>
          </cell>
          <cell r="N812">
            <v>2.2054084309366191</v>
          </cell>
          <cell r="O812">
            <v>1.8987353605935173</v>
          </cell>
        </row>
        <row r="813">
          <cell r="A813" t="str">
            <v>SCOM-SHLTHCHPBIO</v>
          </cell>
          <cell r="B813" t="str">
            <v>VAR_fin</v>
          </cell>
          <cell r="C813" t="str">
            <v>SCOM_LTH_CHPBIO_ON</v>
          </cell>
          <cell r="D813">
            <v>1.4243091379999531</v>
          </cell>
          <cell r="E813">
            <v>1.5427983463569295</v>
          </cell>
          <cell r="F813">
            <v>1.3886955014669133</v>
          </cell>
          <cell r="G813">
            <v>1.1577001912818206</v>
          </cell>
          <cell r="H813">
            <v>1.2327648793457597</v>
          </cell>
          <cell r="I813">
            <v>0.98372656445611695</v>
          </cell>
          <cell r="J813">
            <v>2.0133535402748577</v>
          </cell>
          <cell r="K813">
            <v>1.9535046924204398</v>
          </cell>
          <cell r="L813">
            <v>2.2684960599504502</v>
          </cell>
          <cell r="M813">
            <v>2.4560204267451606</v>
          </cell>
          <cell r="N813">
            <v>2.2276852837743641</v>
          </cell>
          <cell r="O813">
            <v>1.9179145056500162</v>
          </cell>
        </row>
        <row r="814">
          <cell r="A814" t="str">
            <v>SCOM-SHLTHCHPBIO</v>
          </cell>
          <cell r="B814" t="str">
            <v>VAR_fin</v>
          </cell>
          <cell r="C814" t="str">
            <v>SCOMLTHCHPC</v>
          </cell>
          <cell r="D814">
            <v>1.4100660466199539</v>
          </cell>
          <cell r="E814">
            <v>1.5273703628933584</v>
          </cell>
          <cell r="F814">
            <v>1.3748085464522459</v>
          </cell>
          <cell r="G814">
            <v>1.1461231893690018</v>
          </cell>
          <cell r="H814">
            <v>1.2204372305523019</v>
          </cell>
          <cell r="I814">
            <v>0.97388929881155584</v>
          </cell>
          <cell r="J814">
            <v>1.9932200048721078</v>
          </cell>
          <cell r="K814">
            <v>1.9339696454962347</v>
          </cell>
          <cell r="L814">
            <v>2.2458110993509477</v>
          </cell>
          <cell r="M814">
            <v>2.4314602224777082</v>
          </cell>
          <cell r="N814">
            <v>2.2054084309366191</v>
          </cell>
          <cell r="O814">
            <v>1.8987353605935173</v>
          </cell>
        </row>
        <row r="815">
          <cell r="A815" t="str">
            <v>SCOM-SHLTHCHPBIO</v>
          </cell>
          <cell r="B815" t="str">
            <v>VAR_ncap</v>
          </cell>
          <cell r="C815" t="str">
            <v>-</v>
          </cell>
          <cell r="D815">
            <v>3.2357239058856101E-8</v>
          </cell>
          <cell r="E815">
            <v>3.3974636092610498E-2</v>
          </cell>
          <cell r="F815">
            <v>3.9683940027921097E-2</v>
          </cell>
          <cell r="G815">
            <v>3.1004878729150899E-2</v>
          </cell>
          <cell r="H815">
            <v>6.2273339987986197E-2</v>
          </cell>
          <cell r="I815">
            <v>5.0442960940867601E-2</v>
          </cell>
          <cell r="J815">
            <v>9.2113245402121402E-2</v>
          </cell>
          <cell r="K815">
            <v>8.1361586374697897E-2</v>
          </cell>
          <cell r="L815">
            <v>0.116118028746466</v>
          </cell>
          <cell r="M815">
            <v>0.114846325062665</v>
          </cell>
          <cell r="N815">
            <v>0.106528758630141</v>
          </cell>
          <cell r="O815">
            <v>7.3555365317456697E-2</v>
          </cell>
        </row>
        <row r="816">
          <cell r="A816" t="str">
            <v>SCOM-SHLTHCHPBIO</v>
          </cell>
          <cell r="B816" t="str">
            <v>VAR_cap</v>
          </cell>
          <cell r="C816" t="str">
            <v>-</v>
          </cell>
          <cell r="D816">
            <v>0.10913971993627805</v>
          </cell>
          <cell r="E816">
            <v>0.12094109925457491</v>
          </cell>
          <cell r="F816">
            <v>0.11363842696397888</v>
          </cell>
          <cell r="G816">
            <v>0.101453961614707</v>
          </cell>
          <cell r="H816">
            <v>0.1164901164005486</v>
          </cell>
          <cell r="I816">
            <v>9.5412251923293903E-2</v>
          </cell>
          <cell r="J816">
            <v>0.16061961436627539</v>
          </cell>
          <cell r="K816">
            <v>0.15813692349601521</v>
          </cell>
          <cell r="L816">
            <v>0.21641605684458548</v>
          </cell>
          <cell r="M816">
            <v>0.2505401710460009</v>
          </cell>
          <cell r="N816">
            <v>0.2383799225611174</v>
          </cell>
          <cell r="O816">
            <v>0.20314707722944469</v>
          </cell>
        </row>
        <row r="817">
          <cell r="A817" t="str">
            <v>D-RSH2</v>
          </cell>
          <cell r="B817" t="str">
            <v>VAR_fout</v>
          </cell>
          <cell r="C817" t="str">
            <v>RSH2</v>
          </cell>
          <cell r="G817">
            <v>2.4669425246379091E-4</v>
          </cell>
          <cell r="H817">
            <v>4.6746326287520402E-4</v>
          </cell>
          <cell r="I817">
            <v>4.7970568659829162E-2</v>
          </cell>
          <cell r="J817">
            <v>0.18416274558697204</v>
          </cell>
          <cell r="K817">
            <v>1.0022384065858232</v>
          </cell>
          <cell r="L817">
            <v>0.64481417041884526</v>
          </cell>
          <cell r="M817">
            <v>1.4154525246778758E-2</v>
          </cell>
          <cell r="N817">
            <v>8.9425811596121965E-2</v>
          </cell>
          <cell r="O817">
            <v>5.5413444992027876E-2</v>
          </cell>
        </row>
        <row r="818">
          <cell r="A818" t="str">
            <v>D-RSH2</v>
          </cell>
          <cell r="B818" t="str">
            <v>VAR_fin</v>
          </cell>
          <cell r="C818" t="str">
            <v>H2</v>
          </cell>
          <cell r="G818">
            <v>2.4857366500095728E-4</v>
          </cell>
          <cell r="H818">
            <v>4.7102457939611313E-4</v>
          </cell>
          <cell r="I818">
            <v>4.8336027065340792E-2</v>
          </cell>
          <cell r="J818">
            <v>0.18556576884137899</v>
          </cell>
          <cell r="K818">
            <v>1.0098738476540905</v>
          </cell>
          <cell r="L818">
            <v>0.64972661496882833</v>
          </cell>
          <cell r="M818">
            <v>1.4262359912324302E-2</v>
          </cell>
          <cell r="N818">
            <v>9.0107092127717323E-2</v>
          </cell>
          <cell r="O818">
            <v>5.583560611741073E-2</v>
          </cell>
        </row>
        <row r="819">
          <cell r="A819" t="str">
            <v>D-RSH2</v>
          </cell>
          <cell r="B819" t="str">
            <v>VAR_ncap</v>
          </cell>
          <cell r="C819" t="str">
            <v>-</v>
          </cell>
          <cell r="G819">
            <v>4.8121306840239498E-5</v>
          </cell>
          <cell r="H819">
            <v>3.3015218868948601E-5</v>
          </cell>
          <cell r="I819">
            <v>5.2162534910663401E-3</v>
          </cell>
          <cell r="J819">
            <v>1.2480953754283699E-2</v>
          </cell>
          <cell r="K819">
            <v>1.79395545449396E-2</v>
          </cell>
          <cell r="L819">
            <v>2.4497993839309597E-7</v>
          </cell>
          <cell r="M819">
            <v>3.2266897696548199E-7</v>
          </cell>
          <cell r="N819">
            <v>3.69459347873814E-7</v>
          </cell>
          <cell r="O819">
            <v>1.92087881902035E-6</v>
          </cell>
        </row>
        <row r="820">
          <cell r="A820" t="str">
            <v>D-RSH2</v>
          </cell>
          <cell r="B820" t="str">
            <v>VAR_cap</v>
          </cell>
          <cell r="C820" t="str">
            <v>-</v>
          </cell>
          <cell r="G820">
            <v>4.8121306840239498E-5</v>
          </cell>
          <cell r="H820">
            <v>8.11365257091881E-5</v>
          </cell>
          <cell r="I820">
            <v>5.2973900167755297E-3</v>
          </cell>
          <cell r="J820">
            <v>1.7778343771059201E-2</v>
          </cell>
          <cell r="K820">
            <v>3.5717898315998801E-2</v>
          </cell>
          <cell r="L820">
            <v>3.5718143295937199E-2</v>
          </cell>
          <cell r="M820">
            <v>3.5718465964914202E-2</v>
          </cell>
          <cell r="N820">
            <v>3.5703580311196401E-2</v>
          </cell>
          <cell r="O820">
            <v>3.56726349962408E-2</v>
          </cell>
        </row>
        <row r="821">
          <cell r="A821" t="str">
            <v>RHES-SHNGABR</v>
          </cell>
          <cell r="B821" t="str">
            <v>VAR_fout</v>
          </cell>
          <cell r="C821" t="str">
            <v>CO2_R</v>
          </cell>
          <cell r="D821">
            <v>1043.13514390459</v>
          </cell>
          <cell r="E821">
            <v>1215.5475812177301</v>
          </cell>
          <cell r="F821">
            <v>1103.8013019702701</v>
          </cell>
          <cell r="G821">
            <v>1103.80113293212</v>
          </cell>
          <cell r="H821">
            <v>1085.27447233714</v>
          </cell>
          <cell r="I821">
            <v>950.98166975824597</v>
          </cell>
          <cell r="J821">
            <v>615.76984614035905</v>
          </cell>
          <cell r="K821">
            <v>302.91003418623302</v>
          </cell>
          <cell r="L821">
            <v>104.88696182306499</v>
          </cell>
          <cell r="M821">
            <v>34.746937790906401</v>
          </cell>
          <cell r="N821">
            <v>34.746459278325503</v>
          </cell>
          <cell r="O821">
            <v>15.1975150221426</v>
          </cell>
        </row>
        <row r="822">
          <cell r="A822" t="str">
            <v>RHES-SHNGABR</v>
          </cell>
          <cell r="B822" t="str">
            <v>VAR_fout</v>
          </cell>
          <cell r="C822" t="str">
            <v>RHES-SHNGA</v>
          </cell>
          <cell r="D822">
            <v>17.570538771442614</v>
          </cell>
          <cell r="E822">
            <v>20.474648974412116</v>
          </cell>
          <cell r="F822">
            <v>18.592397816875106</v>
          </cell>
          <cell r="G822">
            <v>18.592394969601351</v>
          </cell>
          <cell r="H822">
            <v>18.280332424118466</v>
          </cell>
          <cell r="I822">
            <v>16.0183082672045</v>
          </cell>
          <cell r="J822">
            <v>10.372009819740088</v>
          </cell>
          <cell r="K822">
            <v>5.1022080226404567</v>
          </cell>
          <cell r="L822">
            <v>1.7667130094310528</v>
          </cell>
          <cell r="M822">
            <v>0.58527643442129529</v>
          </cell>
          <cell r="N822">
            <v>0.58526837436895807</v>
          </cell>
          <cell r="O822">
            <v>0.25598651189779176</v>
          </cell>
        </row>
        <row r="823">
          <cell r="A823" t="str">
            <v>RHES-SHNGABR</v>
          </cell>
          <cell r="B823" t="str">
            <v>VAR_fin</v>
          </cell>
          <cell r="C823" t="str">
            <v>RNGA</v>
          </cell>
          <cell r="D823">
            <v>18.495303969939595</v>
          </cell>
          <cell r="E823">
            <v>21.552262078328543</v>
          </cell>
          <cell r="F823">
            <v>19.570945070394838</v>
          </cell>
          <cell r="G823">
            <v>19.57094207326459</v>
          </cell>
          <cell r="H823">
            <v>19.242455183282594</v>
          </cell>
          <cell r="I823">
            <v>16.861377123373153</v>
          </cell>
          <cell r="J823">
            <v>10.91790507341063</v>
          </cell>
          <cell r="K823">
            <v>5.370745286989953</v>
          </cell>
          <cell r="L823">
            <v>1.8596979046642657</v>
          </cell>
          <cell r="M823">
            <v>0.61608045728557403</v>
          </cell>
          <cell r="N823">
            <v>0.61607197301995564</v>
          </cell>
          <cell r="O823">
            <v>0.26945948620820176</v>
          </cell>
        </row>
        <row r="824">
          <cell r="A824" t="str">
            <v>RHES-SHNGABR</v>
          </cell>
          <cell r="B824" t="str">
            <v>VAR_ncap</v>
          </cell>
          <cell r="C824" t="str">
            <v>-</v>
          </cell>
          <cell r="E824">
            <v>0.23218978004924901</v>
          </cell>
          <cell r="F824">
            <v>1.4109112715058601E-7</v>
          </cell>
          <cell r="G824">
            <v>3.3114303942406598E-7</v>
          </cell>
          <cell r="H824">
            <v>0.99172789867223798</v>
          </cell>
          <cell r="I824">
            <v>0.31183640904805199</v>
          </cell>
          <cell r="J824">
            <v>6.2268957731846001E-7</v>
          </cell>
          <cell r="K824">
            <v>0.103665896197948</v>
          </cell>
          <cell r="L824">
            <v>6.8442833064204899E-7</v>
          </cell>
          <cell r="M824">
            <v>9.7357243796557007E-7</v>
          </cell>
          <cell r="N824">
            <v>2.9634657383247501E-2</v>
          </cell>
          <cell r="O824">
            <v>8.5892500398178605E-7</v>
          </cell>
        </row>
        <row r="825">
          <cell r="A825" t="str">
            <v>RHES-SHNGABR</v>
          </cell>
          <cell r="B825" t="str">
            <v>VAR_cap</v>
          </cell>
          <cell r="C825" t="str">
            <v>-</v>
          </cell>
          <cell r="D825">
            <v>1.4219190615860799</v>
          </cell>
          <cell r="E825">
            <v>1.6541088069736047</v>
          </cell>
          <cell r="F825">
            <v>1.6541077068561933</v>
          </cell>
          <cell r="G825">
            <v>1.6541071001969601</v>
          </cell>
          <cell r="H825">
            <v>1.4794410724624143</v>
          </cell>
          <cell r="I825">
            <v>1.3035643449187375</v>
          </cell>
          <cell r="J825">
            <v>0.85208003732525794</v>
          </cell>
          <cell r="K825">
            <v>0.41550264042020235</v>
          </cell>
          <cell r="L825">
            <v>0.15158136446745984</v>
          </cell>
          <cell r="M825">
            <v>0.10358526605331403</v>
          </cell>
          <cell r="N825">
            <v>4.7982634717032104E-2</v>
          </cell>
          <cell r="O825">
            <v>2.9635844468446641E-2</v>
          </cell>
        </row>
        <row r="826">
          <cell r="A826" t="str">
            <v>SCOM-SHLTHCHPHFC</v>
          </cell>
          <cell r="B826" t="str">
            <v>VAR_fout</v>
          </cell>
          <cell r="C826" t="str">
            <v>SCOM-SHLTHC-HFC</v>
          </cell>
          <cell r="G826">
            <v>6.1631127880567367E-4</v>
          </cell>
          <cell r="H826">
            <v>1.4763470455956367E-3</v>
          </cell>
          <cell r="I826">
            <v>7.3568911016038191E-3</v>
          </cell>
          <cell r="J826">
            <v>2.7206187657672021E-2</v>
          </cell>
          <cell r="K826">
            <v>4.8650373292824463E-2</v>
          </cell>
          <cell r="L826">
            <v>4.1364694058183625E-2</v>
          </cell>
          <cell r="M826">
            <v>1.5242161192135959E-2</v>
          </cell>
          <cell r="N826">
            <v>4.5072515176057416E-3</v>
          </cell>
          <cell r="O826">
            <v>1.2386624632851883E-2</v>
          </cell>
        </row>
        <row r="827">
          <cell r="A827" t="str">
            <v>SCOM-SHLTHCHPHFC</v>
          </cell>
          <cell r="B827" t="str">
            <v>VAR_fin</v>
          </cell>
          <cell r="C827" t="str">
            <v>SCOM_LTH_CHPHFC_ON</v>
          </cell>
          <cell r="G827">
            <v>6.2253664525825593E-4</v>
          </cell>
          <cell r="H827">
            <v>1.4912596420157955E-3</v>
          </cell>
          <cell r="I827">
            <v>7.4312031329331453E-3</v>
          </cell>
          <cell r="J827">
            <v>2.7480997634012159E-2</v>
          </cell>
          <cell r="K827">
            <v>4.9141791204873213E-2</v>
          </cell>
          <cell r="L827">
            <v>4.1782519250690507E-2</v>
          </cell>
          <cell r="M827">
            <v>1.5396122416298954E-2</v>
          </cell>
          <cell r="N827">
            <v>4.5527793107128685E-3</v>
          </cell>
          <cell r="O827">
            <v>1.2511742053385745E-2</v>
          </cell>
        </row>
        <row r="828">
          <cell r="A828" t="str">
            <v>SCOM-SHLTHCHPHFC</v>
          </cell>
          <cell r="B828" t="str">
            <v>VAR_fin</v>
          </cell>
          <cell r="C828" t="str">
            <v>SCOMLTHCHPC</v>
          </cell>
          <cell r="G828">
            <v>6.1631127880567367E-4</v>
          </cell>
          <cell r="H828">
            <v>1.4763470455956367E-3</v>
          </cell>
          <cell r="I828">
            <v>7.3568911016038191E-3</v>
          </cell>
          <cell r="J828">
            <v>2.7206187657672021E-2</v>
          </cell>
          <cell r="K828">
            <v>4.8650373292824463E-2</v>
          </cell>
          <cell r="L828">
            <v>4.1364694058183625E-2</v>
          </cell>
          <cell r="M828">
            <v>1.5242161192135959E-2</v>
          </cell>
          <cell r="N828">
            <v>4.5072515176057416E-3</v>
          </cell>
          <cell r="O828">
            <v>1.2386624632851883E-2</v>
          </cell>
        </row>
        <row r="829">
          <cell r="A829" t="str">
            <v>SCOM-SHLTHCHPHFC</v>
          </cell>
          <cell r="B829" t="str">
            <v>VAR_ncap</v>
          </cell>
          <cell r="C829" t="str">
            <v>-</v>
          </cell>
          <cell r="G829">
            <v>5.36606350488073E-5</v>
          </cell>
          <cell r="H829">
            <v>9.9071020355651301E-5</v>
          </cell>
          <cell r="I829">
            <v>5.1057841773858995E-4</v>
          </cell>
          <cell r="J829">
            <v>1.8063644693117799E-3</v>
          </cell>
          <cell r="K829">
            <v>2.9363897125983299E-3</v>
          </cell>
          <cell r="L829">
            <v>2.1337182384946799E-3</v>
          </cell>
          <cell r="M829">
            <v>1.1199401041604199E-3</v>
          </cell>
          <cell r="N829">
            <v>1.93808463249359E-4</v>
          </cell>
          <cell r="O829">
            <v>8.4814076085482396E-4</v>
          </cell>
        </row>
        <row r="830">
          <cell r="A830" t="str">
            <v>SCOM-SHLTHCHPHFC</v>
          </cell>
          <cell r="B830" t="str">
            <v>VAR_cap</v>
          </cell>
          <cell r="C830" t="str">
            <v>-</v>
          </cell>
          <cell r="G830">
            <v>5.36606350488073E-5</v>
          </cell>
          <cell r="H830">
            <v>1.2123587995399129E-4</v>
          </cell>
          <cell r="I830">
            <v>5.6819106738559592E-4</v>
          </cell>
          <cell r="J830">
            <v>2.119193124389802E-3</v>
          </cell>
          <cell r="K830">
            <v>3.7593591829473299E-3</v>
          </cell>
          <cell r="L830">
            <v>3.2015137970935795E-3</v>
          </cell>
          <cell r="M830">
            <v>1.8063996497921205E-3</v>
          </cell>
          <cell r="N830">
            <v>3.7431118020911976E-4</v>
          </cell>
          <cell r="O830">
            <v>9.9058227185012016E-4</v>
          </cell>
        </row>
        <row r="831">
          <cell r="A831" t="str">
            <v>RHSA-WHNGABR</v>
          </cell>
          <cell r="B831" t="str">
            <v>VAR_fout</v>
          </cell>
          <cell r="C831" t="str">
            <v>RHSA-WHNGA</v>
          </cell>
          <cell r="D831">
            <v>6.3804507860510746</v>
          </cell>
          <cell r="E831">
            <v>5.1105588258184014</v>
          </cell>
          <cell r="F831">
            <v>6.3802551621833956</v>
          </cell>
          <cell r="G831">
            <v>9.7900292924245615</v>
          </cell>
          <cell r="H831">
            <v>7.3944257772691646</v>
          </cell>
          <cell r="I831">
            <v>8.3416968316686511</v>
          </cell>
          <cell r="J831">
            <v>5.3225311809080367</v>
          </cell>
          <cell r="K831">
            <v>1.5301409633121017</v>
          </cell>
          <cell r="L831">
            <v>0.75439916280050501</v>
          </cell>
          <cell r="M831">
            <v>0.56256352271551158</v>
          </cell>
          <cell r="N831">
            <v>0.56256065212972117</v>
          </cell>
          <cell r="O831">
            <v>0.4087865605721836</v>
          </cell>
        </row>
        <row r="832">
          <cell r="A832" t="str">
            <v>RHSA-WHNGABR</v>
          </cell>
          <cell r="B832" t="str">
            <v>VAR_fout</v>
          </cell>
          <cell r="C832" t="str">
            <v>CO2_R</v>
          </cell>
          <cell r="D832">
            <v>479.80989911104001</v>
          </cell>
          <cell r="E832">
            <v>382.275222514799</v>
          </cell>
          <cell r="F832">
            <v>473.48209361466297</v>
          </cell>
          <cell r="G832">
            <v>717.08785986070802</v>
          </cell>
          <cell r="H832">
            <v>534.67386389484705</v>
          </cell>
          <cell r="I832">
            <v>595.53379912165997</v>
          </cell>
          <cell r="J832">
            <v>377.59843849460799</v>
          </cell>
          <cell r="K832">
            <v>107.874937913503</v>
          </cell>
          <cell r="L832">
            <v>53.185140977435601</v>
          </cell>
          <cell r="M832">
            <v>39.660728351443503</v>
          </cell>
          <cell r="N832">
            <v>39.660525975145298</v>
          </cell>
          <cell r="O832">
            <v>28.819452520338999</v>
          </cell>
        </row>
        <row r="833">
          <cell r="A833" t="str">
            <v>RHSA-WHNGABR</v>
          </cell>
          <cell r="B833" t="str">
            <v>VAR_fin</v>
          </cell>
          <cell r="C833" t="str">
            <v>RNGA</v>
          </cell>
          <cell r="D833">
            <v>8.5072677147347537</v>
          </cell>
          <cell r="E833">
            <v>6.7779294772127416</v>
          </cell>
          <cell r="F833">
            <v>8.3950725818202496</v>
          </cell>
          <cell r="G833">
            <v>12.71432375639553</v>
          </cell>
          <cell r="H833">
            <v>9.4800330477809727</v>
          </cell>
          <cell r="I833">
            <v>10.559109913504619</v>
          </cell>
          <cell r="J833">
            <v>6.6950077747270953</v>
          </cell>
          <cell r="K833">
            <v>1.9126762041401288</v>
          </cell>
          <cell r="L833">
            <v>0.9429989535006309</v>
          </cell>
          <cell r="M833">
            <v>0.7032044033943895</v>
          </cell>
          <cell r="N833">
            <v>0.70320081516215149</v>
          </cell>
          <cell r="O833">
            <v>0.51098320071523007</v>
          </cell>
        </row>
        <row r="834">
          <cell r="A834" t="str">
            <v>RHSA-WHNGABR</v>
          </cell>
          <cell r="B834" t="str">
            <v>VAR_ncap</v>
          </cell>
          <cell r="C834" t="str">
            <v>-</v>
          </cell>
          <cell r="E834">
            <v>5.5132855832322498E-7</v>
          </cell>
          <cell r="F834">
            <v>1.34204342181781E-6</v>
          </cell>
          <cell r="G834">
            <v>0.23305815575067701</v>
          </cell>
          <cell r="H834">
            <v>0.229713478588638</v>
          </cell>
          <cell r="I834">
            <v>0.15172720227313</v>
          </cell>
          <cell r="J834">
            <v>6.1622275514876205E-7</v>
          </cell>
          <cell r="K834">
            <v>1.8645577326043799E-6</v>
          </cell>
          <cell r="L834">
            <v>2.8278266848538899E-2</v>
          </cell>
          <cell r="M834">
            <v>1.1582415698962701E-2</v>
          </cell>
          <cell r="N834">
            <v>9.0030839884487294E-3</v>
          </cell>
          <cell r="O834">
            <v>7.4784972694622604E-3</v>
          </cell>
        </row>
        <row r="835">
          <cell r="A835" t="str">
            <v>RHSA-WHNGABR</v>
          </cell>
          <cell r="B835" t="str">
            <v>VAR_cap</v>
          </cell>
          <cell r="C835" t="str">
            <v>-</v>
          </cell>
          <cell r="D835">
            <v>0.43610075802020798</v>
          </cell>
          <cell r="E835">
            <v>0.43610114447254922</v>
          </cell>
          <cell r="F835">
            <v>0.43610217733860934</v>
          </cell>
          <cell r="G835">
            <v>0.66915987852623471</v>
          </cell>
          <cell r="H835">
            <v>0.57586745007491702</v>
          </cell>
          <cell r="I835">
            <v>0.57016007012491721</v>
          </cell>
          <cell r="J835">
            <v>0.38144030166646214</v>
          </cell>
          <cell r="K835">
            <v>0.15172632778700651</v>
          </cell>
          <cell r="L835">
            <v>5.1593041550279606E-2</v>
          </cell>
          <cell r="M835">
            <v>3.9861678811327315E-2</v>
          </cell>
          <cell r="N835">
            <v>3.9898470630653431E-2</v>
          </cell>
          <cell r="O835">
            <v>2.8063004093472399E-2</v>
          </cell>
        </row>
        <row r="836">
          <cell r="A836" t="str">
            <v>ITOT-SWHWSTBR</v>
          </cell>
          <cell r="B836" t="str">
            <v>VAR_fout</v>
          </cell>
          <cell r="C836" t="str">
            <v>ITOT-SWH</v>
          </cell>
          <cell r="D836">
            <v>4.1173660570991517</v>
          </cell>
          <cell r="E836">
            <v>4.2663174789344653</v>
          </cell>
          <cell r="F836">
            <v>2.9611648653053373</v>
          </cell>
          <cell r="G836">
            <v>2.9280923628843771</v>
          </cell>
          <cell r="H836">
            <v>2.8950244914562431</v>
          </cell>
          <cell r="I836">
            <v>2.8804079168104648</v>
          </cell>
          <cell r="J836">
            <v>3.2860683595996357E-3</v>
          </cell>
          <cell r="K836">
            <v>2.7882126592150157E-4</v>
          </cell>
          <cell r="L836">
            <v>4.2520147274495326E-4</v>
          </cell>
          <cell r="M836">
            <v>1.103617915815081E-3</v>
          </cell>
          <cell r="N836">
            <v>4.0864227012522901E-4</v>
          </cell>
          <cell r="O836">
            <v>8.646291067598807E-5</v>
          </cell>
        </row>
        <row r="837">
          <cell r="A837" t="str">
            <v>ITOT-SWHWSTBR</v>
          </cell>
          <cell r="B837" t="str">
            <v>VAR_fout</v>
          </cell>
          <cell r="C837" t="str">
            <v>CO2_I</v>
          </cell>
          <cell r="D837">
            <v>723.65827670227497</v>
          </cell>
          <cell r="E837">
            <v>749.83761750969404</v>
          </cell>
          <cell r="F837">
            <v>520.44715814457402</v>
          </cell>
          <cell r="G837">
            <v>514.63441529482998</v>
          </cell>
          <cell r="H837">
            <v>508.82248637715799</v>
          </cell>
          <cell r="I837">
            <v>506.25351265153699</v>
          </cell>
          <cell r="J837">
            <v>0.56893123837844395</v>
          </cell>
          <cell r="K837">
            <v>4.7563627716020802E-2</v>
          </cell>
          <cell r="L837">
            <v>7.2534368880021405E-2</v>
          </cell>
          <cell r="M837">
            <v>0.18826423269786699</v>
          </cell>
          <cell r="N837">
            <v>6.9709563727245002E-2</v>
          </cell>
          <cell r="O837">
            <v>1.47495553506097E-2</v>
          </cell>
        </row>
        <row r="838">
          <cell r="A838" t="str">
            <v>ITOT-SWHWSTBR</v>
          </cell>
          <cell r="B838" t="str">
            <v>VAR_fin</v>
          </cell>
          <cell r="C838" t="str">
            <v>IWST</v>
          </cell>
          <cell r="D838">
            <v>7.7980417748089961</v>
          </cell>
          <cell r="E838">
            <v>8.08014674040618</v>
          </cell>
          <cell r="F838">
            <v>5.6082667903510144</v>
          </cell>
          <cell r="G838">
            <v>5.5456294751597977</v>
          </cell>
          <cell r="H838">
            <v>5.48300093078835</v>
          </cell>
          <cell r="I838">
            <v>5.4553180242622492</v>
          </cell>
          <cell r="J838">
            <v>6.1307245514918554E-3</v>
          </cell>
          <cell r="K838">
            <v>5.1253909176746614E-4</v>
          </cell>
          <cell r="L838">
            <v>7.8162035431057568E-4</v>
          </cell>
          <cell r="M838">
            <v>2.0287094040718381E-3</v>
          </cell>
          <cell r="N838">
            <v>7.511806436125535E-4</v>
          </cell>
          <cell r="O838">
            <v>1.589391740367427E-4</v>
          </cell>
        </row>
        <row r="839">
          <cell r="A839" t="str">
            <v>ITOT-SWHWSTBR</v>
          </cell>
          <cell r="B839" t="str">
            <v>VAR_ncap</v>
          </cell>
          <cell r="C839" t="str">
            <v>-</v>
          </cell>
          <cell r="E839">
            <v>5.5667206884551702E-6</v>
          </cell>
          <cell r="F839">
            <v>6.5933066543236698E-6</v>
          </cell>
          <cell r="G839">
            <v>9.7000234400221302E-6</v>
          </cell>
          <cell r="H839">
            <v>0.14941006299103499</v>
          </cell>
          <cell r="I839">
            <v>1.7166118125953599E-2</v>
          </cell>
          <cell r="J839">
            <v>6.5116758179295201E-6</v>
          </cell>
          <cell r="K839">
            <v>1.33006795183034E-5</v>
          </cell>
          <cell r="L839">
            <v>2.83291457523652E-5</v>
          </cell>
          <cell r="M839">
            <v>7.2400672487122003E-5</v>
          </cell>
          <cell r="N839">
            <v>6.4104722690624602E-6</v>
          </cell>
          <cell r="O839">
            <v>3.5700296426157399E-6</v>
          </cell>
        </row>
        <row r="840">
          <cell r="A840" t="str">
            <v>ITOT-SWHWSTBR</v>
          </cell>
          <cell r="B840" t="str">
            <v>VAR_cap</v>
          </cell>
          <cell r="C840" t="str">
            <v>-</v>
          </cell>
          <cell r="D840">
            <v>0.35954682816669398</v>
          </cell>
          <cell r="E840">
            <v>0.29396748447226184</v>
          </cell>
          <cell r="F840">
            <v>0.28968661447921396</v>
          </cell>
          <cell r="G840">
            <v>0.2700921257168844</v>
          </cell>
          <cell r="H840">
            <v>0.2194489166778153</v>
          </cell>
          <cell r="I840">
            <v>0.16657723406008249</v>
          </cell>
          <cell r="J840">
            <v>3.0389595139798664E-4</v>
          </cell>
          <cell r="K840">
            <v>2.6080115474301502E-5</v>
          </cell>
          <cell r="L840">
            <v>4.0018142386750132E-5</v>
          </cell>
          <cell r="M840">
            <v>1.034045269536667E-4</v>
          </cell>
          <cell r="N840">
            <v>3.8160352754893601E-5</v>
          </cell>
          <cell r="O840">
            <v>7.5813944141070948E-6</v>
          </cell>
        </row>
        <row r="841">
          <cell r="A841" t="str">
            <v>SCOM-SHSTG-ELC</v>
          </cell>
          <cell r="B841" t="str">
            <v>VAR_fout</v>
          </cell>
          <cell r="C841" t="str">
            <v>SCOM-SHAELCB</v>
          </cell>
          <cell r="D841">
            <v>3.1597210129867891E-6</v>
          </cell>
          <cell r="E841">
            <v>7.9292347744697891E-5</v>
          </cell>
          <cell r="F841">
            <v>4.1597075188791841E-2</v>
          </cell>
          <cell r="G841">
            <v>7.0317559196251295E-2</v>
          </cell>
          <cell r="H841">
            <v>1.4444143881073923</v>
          </cell>
          <cell r="I841">
            <v>1.4679515189440622</v>
          </cell>
          <cell r="J841">
            <v>1.4318226510734957</v>
          </cell>
          <cell r="K841">
            <v>0.10793378107055894</v>
          </cell>
          <cell r="L841">
            <v>7.4356159112356615E-2</v>
          </cell>
          <cell r="M841">
            <v>8.0018754497658426E-2</v>
          </cell>
          <cell r="N841">
            <v>8.3083226207699992E-2</v>
          </cell>
          <cell r="O841">
            <v>0.19135918924699624</v>
          </cell>
        </row>
        <row r="842">
          <cell r="A842" t="str">
            <v>SCOM-SHSTG-ELC</v>
          </cell>
          <cell r="B842" t="str">
            <v>VAR_fin</v>
          </cell>
          <cell r="C842" t="str">
            <v>SCOM-SHAELCB</v>
          </cell>
          <cell r="D842">
            <v>3.9031913218755105E-6</v>
          </cell>
          <cell r="E842">
            <v>1.0798962733572583E-4</v>
          </cell>
          <cell r="F842">
            <v>5.3691846800169724E-2</v>
          </cell>
          <cell r="G842">
            <v>8.7913988554343556E-2</v>
          </cell>
          <cell r="H842">
            <v>1.7508226867923442</v>
          </cell>
          <cell r="I842">
            <v>1.7270158100178319</v>
          </cell>
          <cell r="J842">
            <v>1.6363792364793168</v>
          </cell>
          <cell r="K842">
            <v>0.1199445069435625</v>
          </cell>
          <cell r="L842">
            <v>8.2632061873128548E-2</v>
          </cell>
          <cell r="M842">
            <v>8.8918080772563621E-2</v>
          </cell>
          <cell r="N842">
            <v>9.2322274961082737E-2</v>
          </cell>
          <cell r="O842">
            <v>0.21262833880559193</v>
          </cell>
        </row>
        <row r="843">
          <cell r="A843" t="str">
            <v>SCOM-SHSTG-ELC</v>
          </cell>
          <cell r="B843" t="str">
            <v>VAR_ncap</v>
          </cell>
          <cell r="C843" t="str">
            <v>-</v>
          </cell>
          <cell r="D843">
            <v>7.4272043866611404E-3</v>
          </cell>
          <cell r="E843">
            <v>4.03486402167325E-3</v>
          </cell>
          <cell r="F843">
            <v>3.01918221975679E-2</v>
          </cell>
          <cell r="G843">
            <v>5.3343005533616297E-5</v>
          </cell>
          <cell r="H843">
            <v>8.8971621107483394E-3</v>
          </cell>
          <cell r="I843">
            <v>2.0624064799675101E-2</v>
          </cell>
          <cell r="J843">
            <v>7.7371431434413804E-5</v>
          </cell>
          <cell r="K843">
            <v>3.40568543750129E-2</v>
          </cell>
          <cell r="L843">
            <v>3.1905842730797301E-3</v>
          </cell>
          <cell r="M843">
            <v>2.38973337748707E-4</v>
          </cell>
          <cell r="N843">
            <v>1.42406637497261E-2</v>
          </cell>
          <cell r="O843">
            <v>3.1442513762968498E-3</v>
          </cell>
        </row>
        <row r="844">
          <cell r="A844" t="str">
            <v>SCOM-SHSTG-ELC</v>
          </cell>
          <cell r="B844" t="str">
            <v>VAR_cap</v>
          </cell>
          <cell r="C844" t="str">
            <v>-</v>
          </cell>
          <cell r="D844">
            <v>7.4272043866611404E-3</v>
          </cell>
          <cell r="E844">
            <v>1.1399728797654662E-2</v>
          </cell>
          <cell r="F844">
            <v>4.1575514906564054E-2</v>
          </cell>
          <cell r="G844">
            <v>4.1580318388250576E-2</v>
          </cell>
          <cell r="H844">
            <v>4.2993935309029736E-2</v>
          </cell>
          <cell r="I844">
            <v>3.5859096150905836E-2</v>
          </cell>
          <cell r="J844">
            <v>2.836602142518058E-2</v>
          </cell>
          <cell r="K844">
            <v>5.4633753284627204E-2</v>
          </cell>
          <cell r="L844">
            <v>4.0304380175122632E-2</v>
          </cell>
          <cell r="M844">
            <v>2.11082501388693E-2</v>
          </cell>
          <cell r="N844">
            <v>1.9544371664422522E-2</v>
          </cell>
          <cell r="O844">
            <v>1.7438258552040634E-2</v>
          </cell>
        </row>
        <row r="845">
          <cell r="A845" t="str">
            <v>SCOM-SHNGABR</v>
          </cell>
          <cell r="B845" t="str">
            <v>VAR_fout</v>
          </cell>
          <cell r="C845" t="str">
            <v>CO2_S</v>
          </cell>
          <cell r="D845">
            <v>1440.9459889889599</v>
          </cell>
          <cell r="E845">
            <v>1508.6876460829201</v>
          </cell>
          <cell r="F845">
            <v>1464.1964414960801</v>
          </cell>
          <cell r="G845">
            <v>1397.3360757410901</v>
          </cell>
          <cell r="H845">
            <v>1394.6436850699299</v>
          </cell>
          <cell r="I845">
            <v>1419.3398102103299</v>
          </cell>
          <cell r="J845">
            <v>1277.47392143919</v>
          </cell>
          <cell r="K845">
            <v>444.87569091691802</v>
          </cell>
          <cell r="L845">
            <v>236.193198118634</v>
          </cell>
          <cell r="M845">
            <v>121.803003529677</v>
          </cell>
          <cell r="N845">
            <v>61.593809297004299</v>
          </cell>
          <cell r="O845">
            <v>17.678163192630102</v>
          </cell>
        </row>
        <row r="846">
          <cell r="A846" t="str">
            <v>SCOM-SHNGABR</v>
          </cell>
          <cell r="B846" t="str">
            <v>VAR_fout</v>
          </cell>
          <cell r="C846" t="str">
            <v>SCOM-SHNGA</v>
          </cell>
          <cell r="D846">
            <v>24.189714995476411</v>
          </cell>
          <cell r="E846">
            <v>25.326920269612991</v>
          </cell>
          <cell r="F846">
            <v>24.58002929175187</v>
          </cell>
          <cell r="G846">
            <v>23.457618594567212</v>
          </cell>
          <cell r="H846">
            <v>23.412420395960375</v>
          </cell>
          <cell r="I846">
            <v>23.827003755228553</v>
          </cell>
          <cell r="J846">
            <v>21.445446470516103</v>
          </cell>
          <cell r="K846">
            <v>7.4682994740466535</v>
          </cell>
          <cell r="L846">
            <v>3.9650661371205698</v>
          </cell>
          <cell r="M846">
            <v>2.044753907149031</v>
          </cell>
          <cell r="N846">
            <v>1.0339989866141137</v>
          </cell>
          <cell r="O846">
            <v>0.29677013055380924</v>
          </cell>
        </row>
        <row r="847">
          <cell r="A847" t="str">
            <v>SCOM-SHNGABR</v>
          </cell>
          <cell r="B847" t="str">
            <v>VAR_fin</v>
          </cell>
          <cell r="C847" t="str">
            <v>SNGA</v>
          </cell>
          <cell r="D847">
            <v>25.548687748031224</v>
          </cell>
          <cell r="E847">
            <v>26.749780958917082</v>
          </cell>
          <cell r="F847">
            <v>25.96092981376038</v>
          </cell>
          <cell r="G847">
            <v>24.775462335835016</v>
          </cell>
          <cell r="H847">
            <v>24.727724912587359</v>
          </cell>
          <cell r="I847">
            <v>25.165599471814421</v>
          </cell>
          <cell r="J847">
            <v>22.650246834028231</v>
          </cell>
          <cell r="K847">
            <v>7.8878668602290478</v>
          </cell>
          <cell r="L847">
            <v>4.1878226616779051</v>
          </cell>
          <cell r="M847">
            <v>2.1596277221574027</v>
          </cell>
          <cell r="N847">
            <v>1.0920888173227721</v>
          </cell>
          <cell r="O847">
            <v>0.3134426097984051</v>
          </cell>
        </row>
        <row r="848">
          <cell r="A848" t="str">
            <v>SCOM-SHNGABR</v>
          </cell>
          <cell r="B848" t="str">
            <v>VAR_ncap</v>
          </cell>
          <cell r="C848" t="str">
            <v>-</v>
          </cell>
          <cell r="D848">
            <v>1.15281071234954E-7</v>
          </cell>
          <cell r="E848">
            <v>7.5235960689151901E-7</v>
          </cell>
          <cell r="F848">
            <v>9.2463646940397696E-7</v>
          </cell>
          <cell r="G848">
            <v>1.27984012170069E-6</v>
          </cell>
          <cell r="H848">
            <v>1.2293014892293901</v>
          </cell>
          <cell r="I848">
            <v>0.67284605480523196</v>
          </cell>
          <cell r="J848">
            <v>4.0518760965907501E-2</v>
          </cell>
          <cell r="K848">
            <v>4.5090879797582501E-5</v>
          </cell>
          <cell r="L848">
            <v>0.65306806794129602</v>
          </cell>
          <cell r="M848">
            <v>8.6987926780543304E-2</v>
          </cell>
          <cell r="N848">
            <v>0.11994264234754901</v>
          </cell>
          <cell r="O848">
            <v>5.0682131698987401E-2</v>
          </cell>
        </row>
        <row r="849">
          <cell r="A849" t="str">
            <v>SCOM-SHNGABR</v>
          </cell>
          <cell r="B849" t="str">
            <v>VAR_cap</v>
          </cell>
          <cell r="C849" t="str">
            <v>-</v>
          </cell>
          <cell r="D849">
            <v>2.7746816131562912</v>
          </cell>
          <cell r="E849">
            <v>2.7023265370365195</v>
          </cell>
          <cell r="F849">
            <v>2.7023059157574201</v>
          </cell>
          <cell r="G849">
            <v>2.7022902000810327</v>
          </cell>
          <cell r="H849">
            <v>1.9300979728317591</v>
          </cell>
          <cell r="I849">
            <v>1.9021476027918469</v>
          </cell>
          <cell r="J849">
            <v>1.9426636968076487</v>
          </cell>
          <cell r="K849">
            <v>0.71340141714466943</v>
          </cell>
          <cell r="L849">
            <v>0.65312448821032199</v>
          </cell>
          <cell r="M849">
            <v>0.33591395771516003</v>
          </cell>
          <cell r="N849">
            <v>0.17130780087522895</v>
          </cell>
          <cell r="O849">
            <v>5.0709030032041996E-2</v>
          </cell>
        </row>
        <row r="850">
          <cell r="A850" t="str">
            <v>RHEM-SHELCHP</v>
          </cell>
          <cell r="B850" t="str">
            <v>VAR_fout</v>
          </cell>
          <cell r="C850" t="str">
            <v>RHEM-SHAELCH</v>
          </cell>
          <cell r="D850">
            <v>9.9025227525958002</v>
          </cell>
          <cell r="E850">
            <v>11.655196424112116</v>
          </cell>
          <cell r="F850">
            <v>11.655204207700724</v>
          </cell>
          <cell r="G850">
            <v>16.825627702391731</v>
          </cell>
          <cell r="H850">
            <v>23.363582977238625</v>
          </cell>
          <cell r="I850">
            <v>24.206590594014845</v>
          </cell>
          <cell r="J850">
            <v>27.851882876587705</v>
          </cell>
          <cell r="K850">
            <v>32.045054182167178</v>
          </cell>
          <cell r="L850">
            <v>32.104374172303849</v>
          </cell>
          <cell r="M850">
            <v>32.104379579638604</v>
          </cell>
          <cell r="N850">
            <v>32.104379904863912</v>
          </cell>
          <cell r="O850">
            <v>32.104383185066879</v>
          </cell>
        </row>
        <row r="851">
          <cell r="A851" t="str">
            <v>RHEM-SHELCHP</v>
          </cell>
          <cell r="B851" t="str">
            <v>VAR_fin</v>
          </cell>
          <cell r="C851" t="str">
            <v>RHEMELCHPC</v>
          </cell>
          <cell r="D851">
            <v>9.9025227525958002</v>
          </cell>
          <cell r="E851">
            <v>11.655196424112116</v>
          </cell>
          <cell r="F851">
            <v>11.655204207700724</v>
          </cell>
          <cell r="G851">
            <v>16.825627702391731</v>
          </cell>
          <cell r="H851">
            <v>23.363582977238625</v>
          </cell>
          <cell r="I851">
            <v>24.206590594014845</v>
          </cell>
          <cell r="J851">
            <v>27.851882876587705</v>
          </cell>
          <cell r="K851">
            <v>32.045054182167178</v>
          </cell>
          <cell r="L851">
            <v>32.104374172303849</v>
          </cell>
          <cell r="M851">
            <v>32.104379579638604</v>
          </cell>
          <cell r="N851">
            <v>32.104379904863912</v>
          </cell>
          <cell r="O851">
            <v>32.104383185066879</v>
          </cell>
        </row>
        <row r="852">
          <cell r="A852" t="str">
            <v>RHEM-SHELCHP</v>
          </cell>
          <cell r="B852" t="str">
            <v>VAR_fin</v>
          </cell>
          <cell r="C852" t="str">
            <v>RHEM_ELC</v>
          </cell>
          <cell r="D852">
            <v>3.0945383079187354</v>
          </cell>
          <cell r="E852">
            <v>3.5825398585408554</v>
          </cell>
          <cell r="F852">
            <v>3.4965612623102191</v>
          </cell>
          <cell r="G852">
            <v>4.8535464526129948</v>
          </cell>
          <cell r="H852">
            <v>6.5200696680665917</v>
          </cell>
          <cell r="I852">
            <v>6.5423217821661739</v>
          </cell>
          <cell r="J852">
            <v>7.3294428622599206</v>
          </cell>
          <cell r="K852">
            <v>8.2166805595300509</v>
          </cell>
          <cell r="L852">
            <v>8.2318908134112458</v>
          </cell>
          <cell r="M852">
            <v>8.2318921999073353</v>
          </cell>
          <cell r="N852">
            <v>8.2318922832984356</v>
          </cell>
          <cell r="O852">
            <v>8.2318931243761231</v>
          </cell>
        </row>
        <row r="853">
          <cell r="A853" t="str">
            <v>RHEM-SHELCHP</v>
          </cell>
          <cell r="B853" t="str">
            <v>VAR_ncap</v>
          </cell>
          <cell r="C853" t="str">
            <v>-</v>
          </cell>
          <cell r="D853">
            <v>3.4465246200279001E-7</v>
          </cell>
          <cell r="E853">
            <v>0.12376245088186801</v>
          </cell>
          <cell r="F853">
            <v>1.9800994600398399E-5</v>
          </cell>
          <cell r="G853">
            <v>0.36510888187953</v>
          </cell>
          <cell r="H853">
            <v>1.04010623811133</v>
          </cell>
          <cell r="I853">
            <v>0.37360200508588198</v>
          </cell>
          <cell r="J853">
            <v>0.57425832863001403</v>
          </cell>
          <cell r="K853">
            <v>1.3204622822365999</v>
          </cell>
          <cell r="L853">
            <v>0.39504871668804697</v>
          </cell>
          <cell r="M853">
            <v>0.55557226628809098</v>
          </cell>
          <cell r="N853">
            <v>1.21310589214526</v>
          </cell>
          <cell r="O853">
            <v>0.49841142211263401</v>
          </cell>
        </row>
        <row r="854">
          <cell r="A854" t="str">
            <v>RHEM-SHELCHP</v>
          </cell>
          <cell r="B854" t="str">
            <v>VAR_cap</v>
          </cell>
          <cell r="C854" t="str">
            <v>-</v>
          </cell>
          <cell r="D854">
            <v>0.69925229504446107</v>
          </cell>
          <cell r="E854">
            <v>0.82301471343021138</v>
          </cell>
          <cell r="F854">
            <v>0.82303437448125072</v>
          </cell>
          <cell r="G854">
            <v>1.1881431390637651</v>
          </cell>
          <cell r="H854">
            <v>1.6499835241050491</v>
          </cell>
          <cell r="I854">
            <v>1.7093601956825348</v>
          </cell>
          <cell r="J854">
            <v>1.9879664024823578</v>
          </cell>
          <cell r="K854">
            <v>2.2683222964992029</v>
          </cell>
          <cell r="L854">
            <v>2.2710878954526645</v>
          </cell>
          <cell r="M854">
            <v>2.2710829218967126</v>
          </cell>
          <cell r="N854">
            <v>2.2723733588096309</v>
          </cell>
          <cell r="O854">
            <v>2.2670892638475224</v>
          </cell>
        </row>
        <row r="855">
          <cell r="A855" t="str">
            <v>RHNM-SHSTG-ELC</v>
          </cell>
          <cell r="B855" t="str">
            <v>VAR_fout</v>
          </cell>
          <cell r="C855" t="str">
            <v>RHNM-SHAELCB</v>
          </cell>
          <cell r="E855">
            <v>1.10261035722494E-8</v>
          </cell>
          <cell r="F855">
            <v>2.4865599929191733E-2</v>
          </cell>
          <cell r="G855">
            <v>5.21264125640644E-3</v>
          </cell>
          <cell r="H855">
            <v>6.1435180620978634E-5</v>
          </cell>
          <cell r="I855">
            <v>2.808718462249355E-5</v>
          </cell>
          <cell r="J855">
            <v>4.39244069535008E-5</v>
          </cell>
          <cell r="K855">
            <v>3.4040982626244769E-5</v>
          </cell>
          <cell r="L855">
            <v>1.1672659461033649E-4</v>
          </cell>
          <cell r="M855">
            <v>2.3295920403050979E-2</v>
          </cell>
          <cell r="N855">
            <v>3.6908612629428462E-4</v>
          </cell>
          <cell r="O855">
            <v>2.9527696454844673E-4</v>
          </cell>
        </row>
        <row r="856">
          <cell r="A856" t="str">
            <v>RHNM-SHSTG-ELC</v>
          </cell>
          <cell r="B856" t="str">
            <v>VAR_fin</v>
          </cell>
          <cell r="C856" t="str">
            <v>RHNM-SHAELCB</v>
          </cell>
          <cell r="E856">
            <v>5.2425485628539197E-8</v>
          </cell>
          <cell r="F856">
            <v>2.4866496929626867E-2</v>
          </cell>
          <cell r="G856">
            <v>5.2124778262460673E-3</v>
          </cell>
          <cell r="H856">
            <v>6.14436411953902E-5</v>
          </cell>
          <cell r="I856">
            <v>2.809480470321575E-5</v>
          </cell>
          <cell r="J856">
            <v>4.3804312704565674E-5</v>
          </cell>
          <cell r="K856">
            <v>3.4187516011019256E-5</v>
          </cell>
          <cell r="L856">
            <v>1.1671401314622179E-4</v>
          </cell>
          <cell r="M856">
            <v>2.3297261369112952E-2</v>
          </cell>
          <cell r="N856">
            <v>3.6942059923245665E-4</v>
          </cell>
          <cell r="O856">
            <v>2.9549808191178594E-4</v>
          </cell>
        </row>
        <row r="857">
          <cell r="A857" t="str">
            <v>RHNM-SHSTG-ELC</v>
          </cell>
          <cell r="B857" t="str">
            <v>VAR_ncap</v>
          </cell>
          <cell r="C857" t="str">
            <v>-</v>
          </cell>
          <cell r="D857">
            <v>1.9787006150948899E-4</v>
          </cell>
          <cell r="E857">
            <v>2.7177324039094702E-3</v>
          </cell>
          <cell r="F857">
            <v>2.3764294067218701E-5</v>
          </cell>
          <cell r="G857">
            <v>2.1442018677768702E-5</v>
          </cell>
          <cell r="H857">
            <v>1.1844029176941999E-5</v>
          </cell>
          <cell r="I857">
            <v>8.8367935025673708E-6</v>
          </cell>
          <cell r="J857">
            <v>1.5421521493484901E-5</v>
          </cell>
          <cell r="K857">
            <v>1.5779301348267601E-5</v>
          </cell>
          <cell r="L857">
            <v>3.0478780072593399E-5</v>
          </cell>
          <cell r="M857">
            <v>2.7773376220048E-3</v>
          </cell>
          <cell r="N857">
            <v>5.2218269784863998E-5</v>
          </cell>
          <cell r="O857">
            <v>5.8431722966966997E-5</v>
          </cell>
        </row>
        <row r="858">
          <cell r="A858" t="str">
            <v>RHNM-SHSTG-ELC</v>
          </cell>
          <cell r="B858" t="str">
            <v>VAR_cap</v>
          </cell>
          <cell r="C858" t="str">
            <v>-</v>
          </cell>
          <cell r="D858">
            <v>1.9787006150948899E-4</v>
          </cell>
          <cell r="E858">
            <v>2.9115153181960406E-3</v>
          </cell>
          <cell r="F858">
            <v>2.9141100116956632E-3</v>
          </cell>
          <cell r="G858">
            <v>7.9495256320281016E-4</v>
          </cell>
          <cell r="H858">
            <v>2.8159401067840003E-5</v>
          </cell>
          <cell r="I858">
            <v>1.33447162826172E-5</v>
          </cell>
          <cell r="J858">
            <v>1.7628831928780498E-5</v>
          </cell>
          <cell r="K858">
            <v>1.7373980867462998E-5</v>
          </cell>
          <cell r="L858">
            <v>3.6881937120684697E-5</v>
          </cell>
          <cell r="M858">
            <v>2.7983653144482241E-3</v>
          </cell>
          <cell r="N858">
            <v>1.0970917930078986E-4</v>
          </cell>
          <cell r="O858">
            <v>1.0650224872056982E-4</v>
          </cell>
        </row>
        <row r="859">
          <cell r="A859" t="str">
            <v>D-RWOD</v>
          </cell>
          <cell r="B859" t="str">
            <v>VAR_fout</v>
          </cell>
          <cell r="C859" t="str">
            <v>RWOD</v>
          </cell>
          <cell r="D859">
            <v>13.722992790185106</v>
          </cell>
          <cell r="E859">
            <v>13.956563426280887</v>
          </cell>
          <cell r="F859">
            <v>12.063918531197135</v>
          </cell>
          <cell r="G859">
            <v>10.187549932401438</v>
          </cell>
          <cell r="H859">
            <v>9.0243005144757227</v>
          </cell>
          <cell r="I859">
            <v>7.5644960548469422</v>
          </cell>
          <cell r="J859">
            <v>6.7819867782082142</v>
          </cell>
          <cell r="K859">
            <v>6.1586613668132824</v>
          </cell>
          <cell r="L859">
            <v>5.5191937833368536</v>
          </cell>
          <cell r="M859">
            <v>5.3837736190885552</v>
          </cell>
          <cell r="N859">
            <v>5.2340554966682937</v>
          </cell>
          <cell r="O859">
            <v>4.1396844149773102</v>
          </cell>
        </row>
        <row r="860">
          <cell r="A860" t="str">
            <v>D-RWOD</v>
          </cell>
          <cell r="B860" t="str">
            <v>VAR_fin</v>
          </cell>
          <cell r="C860" t="str">
            <v>WOD</v>
          </cell>
          <cell r="D860">
            <v>13.722992790185106</v>
          </cell>
          <cell r="E860">
            <v>13.956563426280887</v>
          </cell>
          <cell r="F860">
            <v>12.063918531197135</v>
          </cell>
          <cell r="G860">
            <v>10.187549932401438</v>
          </cell>
          <cell r="H860">
            <v>9.0243005144757227</v>
          </cell>
          <cell r="I860">
            <v>7.5644960548469422</v>
          </cell>
          <cell r="J860">
            <v>6.7819867782082142</v>
          </cell>
          <cell r="K860">
            <v>6.1586613668132824</v>
          </cell>
          <cell r="L860">
            <v>5.5191937833368536</v>
          </cell>
          <cell r="M860">
            <v>5.3837736190885552</v>
          </cell>
          <cell r="N860">
            <v>5.2340554966682937</v>
          </cell>
          <cell r="O860">
            <v>4.1396844149773102</v>
          </cell>
        </row>
        <row r="861">
          <cell r="A861" t="str">
            <v>RHNS-SHLTHCHPWOD</v>
          </cell>
          <cell r="B861" t="str">
            <v>VAR_fout</v>
          </cell>
          <cell r="C861" t="str">
            <v>RHNS-SHLTHC-WOD</v>
          </cell>
          <cell r="G861">
            <v>5.0999185771802096E-4</v>
          </cell>
          <cell r="H861">
            <v>1.0465853126582418E-3</v>
          </cell>
          <cell r="I861">
            <v>3.996453444905298E-3</v>
          </cell>
          <cell r="J861">
            <v>3.7154225301948454E-3</v>
          </cell>
          <cell r="K861">
            <v>6.9845622733909042E-3</v>
          </cell>
          <cell r="L861">
            <v>2.8097216107404459E-3</v>
          </cell>
          <cell r="M861">
            <v>2.3220266601013755E-3</v>
          </cell>
          <cell r="N861">
            <v>1.0456734175242259E-3</v>
          </cell>
          <cell r="O861">
            <v>2.87853666640171E-3</v>
          </cell>
        </row>
        <row r="862">
          <cell r="A862" t="str">
            <v>RHNS-SHLTHCHPWOD</v>
          </cell>
          <cell r="B862" t="str">
            <v>VAR_fin</v>
          </cell>
          <cell r="C862" t="str">
            <v>RHNS_LTH_CHPWOD_ON</v>
          </cell>
          <cell r="G862">
            <v>5.1514329062426361E-4</v>
          </cell>
          <cell r="H862">
            <v>1.0571568814729715E-3</v>
          </cell>
          <cell r="I862">
            <v>4.0368216615205045E-3</v>
          </cell>
          <cell r="J862">
            <v>3.752952050701865E-3</v>
          </cell>
          <cell r="K862">
            <v>7.0551134074655561E-3</v>
          </cell>
          <cell r="L862">
            <v>2.8381026371115626E-3</v>
          </cell>
          <cell r="M862">
            <v>2.3454814748498755E-3</v>
          </cell>
          <cell r="N862">
            <v>1.0562357752769971E-3</v>
          </cell>
          <cell r="O862">
            <v>2.9076127943451599E-3</v>
          </cell>
        </row>
        <row r="863">
          <cell r="A863" t="str">
            <v>RHNS-SHLTHCHPWOD</v>
          </cell>
          <cell r="B863" t="str">
            <v>VAR_fin</v>
          </cell>
          <cell r="C863" t="str">
            <v>RHNSLTHCHPC</v>
          </cell>
          <cell r="G863">
            <v>5.0999185771802096E-4</v>
          </cell>
          <cell r="H863">
            <v>1.0465853126582418E-3</v>
          </cell>
          <cell r="I863">
            <v>3.996453444905298E-3</v>
          </cell>
          <cell r="J863">
            <v>3.7154225301948454E-3</v>
          </cell>
          <cell r="K863">
            <v>6.9845622733909042E-3</v>
          </cell>
          <cell r="L863">
            <v>2.8097216107404459E-3</v>
          </cell>
          <cell r="M863">
            <v>2.3220266601013755E-3</v>
          </cell>
          <cell r="N863">
            <v>1.0456734175242259E-3</v>
          </cell>
          <cell r="O863">
            <v>2.87853666640171E-3</v>
          </cell>
        </row>
        <row r="864">
          <cell r="A864" t="str">
            <v>RHNS-SHLTHCHPWOD</v>
          </cell>
          <cell r="B864" t="str">
            <v>VAR_ncap</v>
          </cell>
          <cell r="C864" t="str">
            <v>-</v>
          </cell>
          <cell r="G864">
            <v>6.3620550110580194E-5</v>
          </cell>
          <cell r="H864">
            <v>9.2236905904940393E-5</v>
          </cell>
          <cell r="I864">
            <v>3.8656431873041299E-4</v>
          </cell>
          <cell r="J864">
            <v>2.4726188333779698E-4</v>
          </cell>
          <cell r="K864">
            <v>4.9359706266780305E-4</v>
          </cell>
          <cell r="L864">
            <v>1.9812398240514199E-4</v>
          </cell>
          <cell r="M864">
            <v>1.8845431926650799E-4</v>
          </cell>
          <cell r="N864">
            <v>7.6018793118679296E-5</v>
          </cell>
          <cell r="O864">
            <v>3.0540700797638902E-4</v>
          </cell>
        </row>
        <row r="865">
          <cell r="A865" t="str">
            <v>RHNS-SHLTHCHPWOD</v>
          </cell>
          <cell r="B865" t="str">
            <v>VAR_cap</v>
          </cell>
          <cell r="C865" t="str">
            <v>-</v>
          </cell>
          <cell r="G865">
            <v>6.3620550110580194E-5</v>
          </cell>
          <cell r="H865">
            <v>1.154509344754243E-4</v>
          </cell>
          <cell r="I865">
            <v>4.3799893806226186E-4</v>
          </cell>
          <cell r="J865">
            <v>3.7618352412195502E-4</v>
          </cell>
          <cell r="K865">
            <v>6.4706491588041105E-4</v>
          </cell>
          <cell r="L865">
            <v>3.1981935449489898E-4</v>
          </cell>
          <cell r="M865">
            <v>2.87443409871092E-4</v>
          </cell>
          <cell r="N865">
            <v>1.3058924706154003E-4</v>
          </cell>
          <cell r="O865">
            <v>3.5781071718924296E-4</v>
          </cell>
        </row>
        <row r="866">
          <cell r="A866" t="str">
            <v>RHNM-SHELCBR</v>
          </cell>
          <cell r="B866" t="str">
            <v>VAR_fout</v>
          </cell>
          <cell r="C866" t="str">
            <v>RHNM-SHAELCB</v>
          </cell>
          <cell r="E866">
            <v>0.15438608362147777</v>
          </cell>
          <cell r="F866">
            <v>0.15202787199904125</v>
          </cell>
          <cell r="G866">
            <v>2.6269666625527113E-2</v>
          </cell>
          <cell r="H866">
            <v>8.3914023045085799E-4</v>
          </cell>
          <cell r="I866">
            <v>4.0476924431007464E-4</v>
          </cell>
          <cell r="J866">
            <v>5.0773350119977408E-4</v>
          </cell>
          <cell r="K866">
            <v>5.5444012130273339E-4</v>
          </cell>
          <cell r="L866">
            <v>1.0957294050431845E-3</v>
          </cell>
          <cell r="M866">
            <v>0.14813696859760633</v>
          </cell>
          <cell r="N866">
            <v>3.2540054611458888E-3</v>
          </cell>
          <cell r="O866">
            <v>3.1037859262978539E-3</v>
          </cell>
        </row>
        <row r="867">
          <cell r="A867" t="str">
            <v>RHNM-SHELCBR</v>
          </cell>
          <cell r="B867" t="str">
            <v>VAR_fin</v>
          </cell>
          <cell r="C867" t="str">
            <v>RHNM_ELC</v>
          </cell>
          <cell r="E867">
            <v>0.16251166696997643</v>
          </cell>
          <cell r="F867">
            <v>0.16002933894635923</v>
          </cell>
          <cell r="G867">
            <v>2.7652280658449605E-2</v>
          </cell>
          <cell r="H867">
            <v>8.8330550573774576E-4</v>
          </cell>
          <cell r="I867">
            <v>4.2607288874744678E-4</v>
          </cell>
          <cell r="J867">
            <v>5.3445631705239291E-4</v>
          </cell>
          <cell r="K867">
            <v>5.8362118031866645E-4</v>
          </cell>
          <cell r="L867">
            <v>1.1533993737296673E-3</v>
          </cell>
          <cell r="M867">
            <v>0.155933651155375</v>
          </cell>
          <cell r="N867">
            <v>3.4252689064693544E-3</v>
          </cell>
          <cell r="O867">
            <v>3.2671430803135324E-3</v>
          </cell>
        </row>
        <row r="868">
          <cell r="A868" t="str">
            <v>RHNM-SHELCBR</v>
          </cell>
          <cell r="B868" t="str">
            <v>VAR_ncap</v>
          </cell>
          <cell r="C868" t="str">
            <v>-</v>
          </cell>
          <cell r="E868">
            <v>1.23860398325301E-2</v>
          </cell>
          <cell r="H868">
            <v>5.7255631973339898E-5</v>
          </cell>
          <cell r="J868">
            <v>7.4397689415046006E-5</v>
          </cell>
          <cell r="L868">
            <v>9.4793102964020202E-5</v>
          </cell>
          <cell r="M868">
            <v>1.17990196035818E-2</v>
          </cell>
          <cell r="N868">
            <v>2.2056044216410099E-6</v>
          </cell>
          <cell r="O868">
            <v>3.46001908408328E-6</v>
          </cell>
        </row>
        <row r="869">
          <cell r="A869" t="str">
            <v>RHNM-SHELCBR</v>
          </cell>
          <cell r="B869" t="str">
            <v>VAR_cap</v>
          </cell>
          <cell r="C869" t="str">
            <v>-</v>
          </cell>
          <cell r="E869">
            <v>1.23860398325301E-2</v>
          </cell>
          <cell r="F869">
            <v>1.2385098384364751E-2</v>
          </cell>
          <cell r="G869">
            <v>3.3783409357361002E-3</v>
          </cell>
          <cell r="H869">
            <v>1.1974458598613003E-4</v>
          </cell>
          <cell r="I869">
            <v>5.6947271098789666E-5</v>
          </cell>
          <cell r="J869">
            <v>7.4736680898152406E-5</v>
          </cell>
          <cell r="K869">
            <v>7.4275283839433419E-5</v>
          </cell>
          <cell r="L869">
            <v>1.5683555362307869E-4</v>
          </cell>
          <cell r="M869">
            <v>1.1893505267390567E-2</v>
          </cell>
          <cell r="N869">
            <v>4.66700479423399E-4</v>
          </cell>
          <cell r="O869">
            <v>4.5263863063750055E-4</v>
          </cell>
        </row>
        <row r="870">
          <cell r="A870" t="str">
            <v>RHNS-SHSTG-NGAHP</v>
          </cell>
          <cell r="B870" t="str">
            <v>VAR_fout</v>
          </cell>
          <cell r="C870" t="str">
            <v>RHNS-SHANGAH</v>
          </cell>
          <cell r="F870">
            <v>1.0874831773812868E-4</v>
          </cell>
          <cell r="G870">
            <v>1.0766899152331155E-4</v>
          </cell>
          <cell r="H870">
            <v>1.323344050576868E-3</v>
          </cell>
          <cell r="I870">
            <v>6.4909342108876555E-2</v>
          </cell>
          <cell r="J870">
            <v>5.0256661650797944E-2</v>
          </cell>
          <cell r="K870">
            <v>6.1591256781600767E-2</v>
          </cell>
          <cell r="L870">
            <v>8.1103626159623483E-3</v>
          </cell>
          <cell r="M870">
            <v>1.0959801647384613E-4</v>
          </cell>
          <cell r="N870">
            <v>1.0808689073779977E-4</v>
          </cell>
          <cell r="O870">
            <v>8.170908451431456E-5</v>
          </cell>
        </row>
        <row r="871">
          <cell r="A871" t="str">
            <v>RHNS-SHSTG-NGAHP</v>
          </cell>
          <cell r="B871" t="str">
            <v>VAR_fin</v>
          </cell>
          <cell r="C871" t="str">
            <v>RHNS-SHANGAH</v>
          </cell>
          <cell r="F871">
            <v>1.0733948885933215E-4</v>
          </cell>
          <cell r="G871">
            <v>1.0568567887788472E-4</v>
          </cell>
          <cell r="H871">
            <v>1.3224563982616826E-3</v>
          </cell>
          <cell r="I871">
            <v>6.4913504406227479E-2</v>
          </cell>
          <cell r="J871">
            <v>5.0260429885503076E-2</v>
          </cell>
          <cell r="K871">
            <v>6.1594810940841765E-2</v>
          </cell>
          <cell r="L871">
            <v>8.1109808498093204E-3</v>
          </cell>
          <cell r="M871">
            <v>1.0963196329172963E-4</v>
          </cell>
          <cell r="N871">
            <v>1.0806894697794027E-4</v>
          </cell>
          <cell r="O871">
            <v>8.198744340603937E-5</v>
          </cell>
        </row>
        <row r="872">
          <cell r="A872" t="str">
            <v>RHNS-SHSTG-NGAHP</v>
          </cell>
          <cell r="B872" t="str">
            <v>VAR_ncap</v>
          </cell>
          <cell r="C872" t="str">
            <v>-</v>
          </cell>
          <cell r="D872">
            <v>6.0116676177240702E-6</v>
          </cell>
          <cell r="E872">
            <v>2.2808529682327999E-6</v>
          </cell>
          <cell r="F872">
            <v>3.0791008640732597E-5</v>
          </cell>
          <cell r="G872">
            <v>1.17039193757382E-5</v>
          </cell>
          <cell r="H872">
            <v>2.5861710532207099E-4</v>
          </cell>
          <cell r="I872">
            <v>9.9542139462967891E-3</v>
          </cell>
          <cell r="J872">
            <v>4.8355535427026501E-5</v>
          </cell>
          <cell r="K872">
            <v>8.3366603761991196E-5</v>
          </cell>
          <cell r="L872">
            <v>5.0550342656428597E-5</v>
          </cell>
          <cell r="M872">
            <v>2.4923598028936899E-5</v>
          </cell>
          <cell r="N872">
            <v>2.8121932944570899E-5</v>
          </cell>
          <cell r="O872">
            <v>3.5289972941641702E-5</v>
          </cell>
        </row>
        <row r="873">
          <cell r="A873" t="str">
            <v>RHNS-SHSTG-NGAHP</v>
          </cell>
          <cell r="B873" t="str">
            <v>VAR_cap</v>
          </cell>
          <cell r="C873" t="str">
            <v>-</v>
          </cell>
          <cell r="D873">
            <v>6.0116676177240702E-6</v>
          </cell>
          <cell r="E873">
            <v>4.2007684451020593E-8</v>
          </cell>
          <cell r="F873">
            <v>2.9570102451228223E-5</v>
          </cell>
          <cell r="G873">
            <v>2.9834545310345598E-5</v>
          </cell>
          <cell r="H873">
            <v>2.7955636771764451E-4</v>
          </cell>
          <cell r="I873">
            <v>1.0211905056547349E-2</v>
          </cell>
          <cell r="J873">
            <v>1.0205958012743269E-2</v>
          </cell>
          <cell r="K873">
            <v>9.9565187411551088E-3</v>
          </cell>
          <cell r="L873">
            <v>1.5280058312058941E-3</v>
          </cell>
          <cell r="M873">
            <v>4.1969983338589013E-5</v>
          </cell>
          <cell r="N873">
            <v>4.18751336986142E-5</v>
          </cell>
          <cell r="O873">
            <v>5.1872277317101805E-5</v>
          </cell>
        </row>
        <row r="874">
          <cell r="A874" t="str">
            <v>RHNS-SHLTHDH</v>
          </cell>
          <cell r="B874" t="str">
            <v>VAR_fout</v>
          </cell>
          <cell r="C874" t="str">
            <v>RHNS-SHLTHD</v>
          </cell>
          <cell r="E874">
            <v>5.390842104319267E-2</v>
          </cell>
          <cell r="F874">
            <v>6.9885385747986764E-2</v>
          </cell>
          <cell r="G874">
            <v>0.11238917103825451</v>
          </cell>
          <cell r="H874">
            <v>0.17507718705075126</v>
          </cell>
          <cell r="I874">
            <v>0.24919474354634322</v>
          </cell>
          <cell r="J874">
            <v>0.34073348599337328</v>
          </cell>
          <cell r="K874">
            <v>0.45178930272753126</v>
          </cell>
          <cell r="L874">
            <v>0.47483618683559919</v>
          </cell>
          <cell r="M874">
            <v>0.49905871508366229</v>
          </cell>
          <cell r="N874">
            <v>0.52451742489764752</v>
          </cell>
          <cell r="O874">
            <v>0.55127759747348737</v>
          </cell>
        </row>
        <row r="875">
          <cell r="A875" t="str">
            <v>RHNS-SHLTHDH</v>
          </cell>
          <cell r="B875" t="str">
            <v>VAR_fin</v>
          </cell>
          <cell r="C875" t="str">
            <v>RHNS_LTH_DH</v>
          </cell>
          <cell r="E875">
            <v>5.4452950548679477E-2</v>
          </cell>
          <cell r="F875">
            <v>7.0591298735340091E-2</v>
          </cell>
          <cell r="G875">
            <v>0.11352441519015605</v>
          </cell>
          <cell r="H875">
            <v>0.17684564348560725</v>
          </cell>
          <cell r="I875">
            <v>0.25171186216802338</v>
          </cell>
          <cell r="J875">
            <v>0.34417523837714459</v>
          </cell>
          <cell r="K875">
            <v>0.4563528310379103</v>
          </cell>
          <cell r="L875">
            <v>0.47963251195515055</v>
          </cell>
          <cell r="M875">
            <v>0.50409971220571992</v>
          </cell>
          <cell r="N875">
            <v>0.52981558070469414</v>
          </cell>
          <cell r="O875">
            <v>0.55684605805402743</v>
          </cell>
        </row>
        <row r="876">
          <cell r="A876" t="str">
            <v>RHNS-SHLTHDH</v>
          </cell>
          <cell r="B876" t="str">
            <v>VAR_fin</v>
          </cell>
          <cell r="C876" t="str">
            <v>RHNSLTHDHC</v>
          </cell>
          <cell r="E876">
            <v>5.390842104319267E-2</v>
          </cell>
          <cell r="F876">
            <v>6.9885385747986764E-2</v>
          </cell>
          <cell r="G876">
            <v>0.11238917103825451</v>
          </cell>
          <cell r="H876">
            <v>0.17507718705075126</v>
          </cell>
          <cell r="I876">
            <v>0.24919474354634322</v>
          </cell>
          <cell r="J876">
            <v>0.34073348599337328</v>
          </cell>
          <cell r="K876">
            <v>0.45178930272753126</v>
          </cell>
          <cell r="L876">
            <v>0.47483618683559919</v>
          </cell>
          <cell r="M876">
            <v>0.49905871508366229</v>
          </cell>
          <cell r="N876">
            <v>0.52451742489764752</v>
          </cell>
          <cell r="O876">
            <v>0.55127759747348737</v>
          </cell>
        </row>
        <row r="877">
          <cell r="A877" t="str">
            <v>RHNS-SHLTHDH</v>
          </cell>
          <cell r="B877" t="str">
            <v>VAR_ncap</v>
          </cell>
          <cell r="C877" t="str">
            <v>-</v>
          </cell>
          <cell r="E877">
            <v>4.6121651947244801E-3</v>
          </cell>
          <cell r="F877">
            <v>1.0268018021699599E-3</v>
          </cell>
          <cell r="G877">
            <v>2.5641565588731502E-3</v>
          </cell>
          <cell r="H877">
            <v>5.9397315634005902E-3</v>
          </cell>
          <cell r="I877">
            <v>5.6020922109074004E-3</v>
          </cell>
          <cell r="J877">
            <v>5.6570777282470104E-3</v>
          </cell>
          <cell r="K877">
            <v>1.00064026835847E-2</v>
          </cell>
          <cell r="L877">
            <v>1.4797079707295E-6</v>
          </cell>
          <cell r="M877">
            <v>9.9138071520124093E-4</v>
          </cell>
          <cell r="N877">
            <v>1.8243257428633599E-3</v>
          </cell>
          <cell r="O877">
            <v>2.0053134440813202E-3</v>
          </cell>
        </row>
        <row r="878">
          <cell r="A878" t="str">
            <v>RHNS-SHLTHDH</v>
          </cell>
          <cell r="B878" t="str">
            <v>VAR_cap</v>
          </cell>
          <cell r="C878" t="str">
            <v>-</v>
          </cell>
          <cell r="E878">
            <v>4.6121651947244801E-3</v>
          </cell>
          <cell r="F878">
            <v>5.6389669968944399E-3</v>
          </cell>
          <cell r="G878">
            <v>8.2031235557675896E-3</v>
          </cell>
          <cell r="H878">
            <v>1.4142855119168201E-2</v>
          </cell>
          <cell r="I878">
            <v>1.9744947330075601E-2</v>
          </cell>
          <cell r="J878">
            <v>2.5402025058322598E-2</v>
          </cell>
          <cell r="K878">
            <v>3.5408427741907299E-2</v>
          </cell>
          <cell r="L878">
            <v>3.5409907449878E-2</v>
          </cell>
          <cell r="M878">
            <v>3.6401288165079197E-2</v>
          </cell>
          <cell r="N878">
            <v>3.8225613907942602E-2</v>
          </cell>
          <cell r="O878">
            <v>4.0230927352023903E-2</v>
          </cell>
        </row>
        <row r="879">
          <cell r="A879" t="str">
            <v>ITOT-SWHNGAHP</v>
          </cell>
          <cell r="B879" t="str">
            <v>VAR_fout</v>
          </cell>
          <cell r="C879" t="str">
            <v>ITOT-SWHANGAH</v>
          </cell>
          <cell r="F879">
            <v>6.2689043609235467E-3</v>
          </cell>
          <cell r="G879">
            <v>2.7277377165026003E-3</v>
          </cell>
          <cell r="H879">
            <v>2.7095575615424415E-3</v>
          </cell>
          <cell r="I879">
            <v>1.9557596157615909</v>
          </cell>
          <cell r="J879">
            <v>1.9926682632229369</v>
          </cell>
          <cell r="K879">
            <v>4.4058477129228675E-2</v>
          </cell>
          <cell r="L879">
            <v>4.405197421414455E-2</v>
          </cell>
          <cell r="M879">
            <v>4.4038442466272136E-2</v>
          </cell>
          <cell r="N879">
            <v>4.4027883770833963E-2</v>
          </cell>
          <cell r="O879">
            <v>4.4018285261402383E-2</v>
          </cell>
        </row>
        <row r="880">
          <cell r="A880" t="str">
            <v>ITOT-SWHNGAHP</v>
          </cell>
          <cell r="B880" t="str">
            <v>VAR_fout</v>
          </cell>
          <cell r="C880" t="str">
            <v>CO2_I</v>
          </cell>
          <cell r="F880">
            <v>0.18752609290480299</v>
          </cell>
          <cell r="G880">
            <v>8.0033090021908601E-2</v>
          </cell>
          <cell r="H880">
            <v>7.8004881507759805E-2</v>
          </cell>
          <cell r="I880">
            <v>55.2648331431241</v>
          </cell>
          <cell r="J880">
            <v>55.287420812739001</v>
          </cell>
          <cell r="K880">
            <v>1.2006636976652101</v>
          </cell>
          <cell r="L880">
            <v>1.2004864828684401</v>
          </cell>
          <cell r="M880">
            <v>1.20011772117954</v>
          </cell>
          <cell r="N880">
            <v>1.1998299799062799</v>
          </cell>
          <cell r="O880">
            <v>1.1995684052315001</v>
          </cell>
        </row>
        <row r="881">
          <cell r="A881" t="str">
            <v>ITOT-SWHNGAHP</v>
          </cell>
          <cell r="B881" t="str">
            <v>VAR_fin</v>
          </cell>
          <cell r="C881" t="str">
            <v>ITOTELCHPC</v>
          </cell>
          <cell r="F881">
            <v>6.2689043609235467E-3</v>
          </cell>
          <cell r="G881">
            <v>2.7277377165026003E-3</v>
          </cell>
          <cell r="H881">
            <v>2.7095575615424415E-3</v>
          </cell>
          <cell r="I881">
            <v>1.9557596157615909</v>
          </cell>
          <cell r="J881">
            <v>1.9926682632229369</v>
          </cell>
          <cell r="K881">
            <v>4.4058477129228675E-2</v>
          </cell>
          <cell r="L881">
            <v>4.405197421414455E-2</v>
          </cell>
          <cell r="M881">
            <v>4.4038442466272136E-2</v>
          </cell>
          <cell r="N881">
            <v>4.4027883770833963E-2</v>
          </cell>
          <cell r="O881">
            <v>4.4018285261402383E-2</v>
          </cell>
        </row>
        <row r="882">
          <cell r="A882" t="str">
            <v>ITOT-SWHNGAHP</v>
          </cell>
          <cell r="B882" t="str">
            <v>VAR_fin</v>
          </cell>
          <cell r="C882" t="str">
            <v>INGA</v>
          </cell>
          <cell r="F882">
            <v>3.3249307252624753E-3</v>
          </cell>
          <cell r="G882">
            <v>1.4190264188281665E-3</v>
          </cell>
          <cell r="H882">
            <v>1.3830652749602819E-3</v>
          </cell>
          <cell r="I882">
            <v>0.97987292806957615</v>
          </cell>
          <cell r="J882">
            <v>0.98027341866558482</v>
          </cell>
          <cell r="K882">
            <v>2.1288363433780325E-2</v>
          </cell>
          <cell r="L882">
            <v>2.1285221327454574E-2</v>
          </cell>
          <cell r="M882">
            <v>2.1278682999637269E-2</v>
          </cell>
          <cell r="N882">
            <v>2.1273581204012001E-2</v>
          </cell>
          <cell r="O882">
            <v>2.1268943355168476E-2</v>
          </cell>
        </row>
        <row r="883">
          <cell r="A883" t="str">
            <v>ITOT-SWHNGAHP</v>
          </cell>
          <cell r="B883" t="str">
            <v>VAR_ncap</v>
          </cell>
          <cell r="C883" t="str">
            <v>-</v>
          </cell>
          <cell r="E883">
            <v>3.9349936185063898E-4</v>
          </cell>
          <cell r="F883">
            <v>3.2644302760976499E-6</v>
          </cell>
          <cell r="G883">
            <v>5.6423029554770403E-7</v>
          </cell>
          <cell r="H883">
            <v>1.3787273719946801E-4</v>
          </cell>
          <cell r="I883">
            <v>0.10661922750796</v>
          </cell>
          <cell r="J883">
            <v>2.37895913551335E-3</v>
          </cell>
          <cell r="K883">
            <v>3.41228571254223E-6</v>
          </cell>
          <cell r="L883">
            <v>1.08481693054894E-4</v>
          </cell>
          <cell r="M883">
            <v>2.5338674427394401E-3</v>
          </cell>
          <cell r="N883">
            <v>3.6921685574590297E-5</v>
          </cell>
          <cell r="O883">
            <v>3.9671759534926001E-4</v>
          </cell>
        </row>
        <row r="884">
          <cell r="A884" t="str">
            <v>ITOT-SWHNGAHP</v>
          </cell>
          <cell r="B884" t="str">
            <v>VAR_cap</v>
          </cell>
          <cell r="C884" t="str">
            <v>-</v>
          </cell>
          <cell r="E884">
            <v>3.9349936185063898E-4</v>
          </cell>
          <cell r="F884">
            <v>3.9652974844002622E-4</v>
          </cell>
          <cell r="G884">
            <v>2.8797716591995098E-4</v>
          </cell>
          <cell r="H884">
            <v>2.8414309783392032E-4</v>
          </cell>
          <cell r="I884">
            <v>0.10675718636471292</v>
          </cell>
          <cell r="J884">
            <v>0.10913517575845094</v>
          </cell>
          <cell r="K884">
            <v>4.8524832013909919E-3</v>
          </cell>
          <cell r="L884">
            <v>2.5533170063247006E-3</v>
          </cell>
          <cell r="M884">
            <v>2.6440880071852608E-3</v>
          </cell>
          <cell r="N884">
            <v>2.6427910053096583E-3</v>
          </cell>
          <cell r="O884">
            <v>2.9644046206388584E-3</v>
          </cell>
        </row>
        <row r="885">
          <cell r="A885" t="str">
            <v>RHSA-WHLFOBR</v>
          </cell>
          <cell r="B885" t="str">
            <v>VAR_fout</v>
          </cell>
          <cell r="C885" t="str">
            <v>CO2_R</v>
          </cell>
          <cell r="D885">
            <v>726.71243476007305</v>
          </cell>
          <cell r="E885">
            <v>616.05636284394495</v>
          </cell>
          <cell r="F885">
            <v>391.59958651452598</v>
          </cell>
          <cell r="G885">
            <v>104.142033978189</v>
          </cell>
          <cell r="H885">
            <v>36.423599516948897</v>
          </cell>
          <cell r="I885">
            <v>0.106722811187098</v>
          </cell>
          <cell r="J885">
            <v>8.1155009550910095E-2</v>
          </cell>
          <cell r="K885">
            <v>4.2008070379207001E-2</v>
          </cell>
          <cell r="L885">
            <v>2.7823589385141598E-2</v>
          </cell>
          <cell r="M885">
            <v>4.6454557097100502E-2</v>
          </cell>
          <cell r="N885">
            <v>4.0268340125378103E-2</v>
          </cell>
          <cell r="O885">
            <v>8.72278591326653E-2</v>
          </cell>
        </row>
        <row r="886">
          <cell r="A886" t="str">
            <v>RHSA-WHLFOBR</v>
          </cell>
          <cell r="B886" t="str">
            <v>VAR_fout</v>
          </cell>
          <cell r="C886" t="str">
            <v>RHSA-WHLFO</v>
          </cell>
          <cell r="D886">
            <v>6.9844591762331758</v>
          </cell>
          <cell r="E886">
            <v>5.9731833009801285</v>
          </cell>
          <cell r="F886">
            <v>3.8466999184135489</v>
          </cell>
          <cell r="G886">
            <v>1.0450707276757445</v>
          </cell>
          <cell r="H886">
            <v>0.36937376545413264</v>
          </cell>
          <cell r="I886">
            <v>1.0935950660143304E-3</v>
          </cell>
          <cell r="J886">
            <v>8.3160026464848742E-4</v>
          </cell>
          <cell r="K886">
            <v>4.3045922411981381E-4</v>
          </cell>
          <cell r="L886">
            <v>2.8510999412352522E-4</v>
          </cell>
          <cell r="M886">
            <v>4.7602264099103758E-4</v>
          </cell>
          <cell r="N886">
            <v>4.1263210355748324E-4</v>
          </cell>
          <cell r="O886">
            <v>8.9382911961757047E-4</v>
          </cell>
        </row>
        <row r="887">
          <cell r="A887" t="str">
            <v>RHSA-WHLFOBR</v>
          </cell>
          <cell r="B887" t="str">
            <v>VAR_fin</v>
          </cell>
          <cell r="C887" t="str">
            <v>RLFO</v>
          </cell>
          <cell r="D887">
            <v>9.8604129546821415</v>
          </cell>
          <cell r="E887">
            <v>8.3589737156573296</v>
          </cell>
          <cell r="F887">
            <v>5.3134272254345394</v>
          </cell>
          <cell r="G887">
            <v>1.413053378265795</v>
          </cell>
          <cell r="H887">
            <v>0.49421437607800406</v>
          </cell>
          <cell r="I887">
            <v>1.4480707081017355E-3</v>
          </cell>
          <cell r="J887">
            <v>1.1011534538793767E-3</v>
          </cell>
          <cell r="K887">
            <v>5.6998738642071941E-4</v>
          </cell>
          <cell r="L887">
            <v>3.7752495773597826E-4</v>
          </cell>
          <cell r="M887">
            <v>6.3031963496744262E-4</v>
          </cell>
          <cell r="N887">
            <v>5.4638181988301226E-4</v>
          </cell>
          <cell r="O887">
            <v>1.1835530411487833E-3</v>
          </cell>
        </row>
        <row r="888">
          <cell r="A888" t="str">
            <v>RHSA-WHLFOBR</v>
          </cell>
          <cell r="B888" t="str">
            <v>VAR_ncap</v>
          </cell>
          <cell r="C888" t="str">
            <v>-</v>
          </cell>
          <cell r="E888">
            <v>1.42023135885806E-7</v>
          </cell>
          <cell r="F888">
            <v>1.0119078527971E-7</v>
          </cell>
          <cell r="G888">
            <v>1.97199018729141E-7</v>
          </cell>
          <cell r="H888">
            <v>3.3976517256449601E-5</v>
          </cell>
          <cell r="I888">
            <v>5.2023019611858598E-5</v>
          </cell>
          <cell r="J888">
            <v>5.6278684744402798E-7</v>
          </cell>
          <cell r="L888">
            <v>2.37374411571734E-5</v>
          </cell>
          <cell r="M888">
            <v>2.84930720708562E-5</v>
          </cell>
          <cell r="N888">
            <v>1.9615950704107802E-6</v>
          </cell>
          <cell r="O888">
            <v>6.8765711321857302E-5</v>
          </cell>
        </row>
        <row r="889">
          <cell r="A889" t="str">
            <v>RHSA-WHLFOBR</v>
          </cell>
          <cell r="B889" t="str">
            <v>VAR_cap</v>
          </cell>
          <cell r="C889" t="str">
            <v>-</v>
          </cell>
          <cell r="D889">
            <v>0.47738433216181703</v>
          </cell>
          <cell r="E889">
            <v>0.47738172346788532</v>
          </cell>
          <cell r="F889">
            <v>0.2710684399087962</v>
          </cell>
          <cell r="G889">
            <v>0.10708180560213892</v>
          </cell>
          <cell r="H889">
            <v>2.7803706950638427E-2</v>
          </cell>
          <cell r="I889">
            <v>8.5992139026495895E-5</v>
          </cell>
          <cell r="J889">
            <v>8.5481352472435343E-5</v>
          </cell>
          <cell r="K889">
            <v>4.9341220332702117E-5</v>
          </cell>
          <cell r="L889">
            <v>3.1395455690507186E-5</v>
          </cell>
          <cell r="M889">
            <v>5.2058756258436959E-5</v>
          </cell>
          <cell r="N889">
            <v>4.5939516716546424E-5</v>
          </cell>
          <cell r="O889">
            <v>9.8498882897896643E-5</v>
          </cell>
        </row>
        <row r="890">
          <cell r="A890" t="str">
            <v>D-IWST</v>
          </cell>
          <cell r="B890" t="str">
            <v>VAR_fout</v>
          </cell>
          <cell r="C890" t="str">
            <v>CO2</v>
          </cell>
          <cell r="D890">
            <v>1068.1283395570699</v>
          </cell>
          <cell r="E890">
            <v>1094.4819967216599</v>
          </cell>
          <cell r="F890">
            <v>1024.6412553080099</v>
          </cell>
          <cell r="G890">
            <v>1013.19794062091</v>
          </cell>
          <cell r="H890">
            <v>1001.75482837487</v>
          </cell>
          <cell r="I890">
            <v>996.69836191542697</v>
          </cell>
          <cell r="J890">
            <v>991.64180134147102</v>
          </cell>
          <cell r="K890">
            <v>986.58524749727098</v>
          </cell>
          <cell r="L890">
            <v>986.585185144055</v>
          </cell>
          <cell r="M890">
            <v>986.58525372729696</v>
          </cell>
          <cell r="N890">
            <v>986.58520975067199</v>
          </cell>
          <cell r="O890">
            <v>986.585297881972</v>
          </cell>
        </row>
        <row r="891">
          <cell r="A891" t="str">
            <v>D-IWST</v>
          </cell>
          <cell r="B891" t="str">
            <v>VAR_fout</v>
          </cell>
          <cell r="C891" t="str">
            <v>IWST</v>
          </cell>
          <cell r="D891">
            <v>11.510003659020178</v>
          </cell>
          <cell r="E891">
            <v>11.793987033638553</v>
          </cell>
          <cell r="F891">
            <v>11.041392837370795</v>
          </cell>
          <cell r="G891">
            <v>10.918081256690883</v>
          </cell>
          <cell r="H891">
            <v>10.794771857487818</v>
          </cell>
          <cell r="I891">
            <v>10.740284072364519</v>
          </cell>
          <cell r="J891">
            <v>10.685795273076197</v>
          </cell>
          <cell r="K891">
            <v>10.63130654630681</v>
          </cell>
          <cell r="L891">
            <v>10.631305874397151</v>
          </cell>
          <cell r="M891">
            <v>10.631306613440694</v>
          </cell>
          <cell r="N891">
            <v>10.631306139554654</v>
          </cell>
          <cell r="O891">
            <v>10.631307089245382</v>
          </cell>
        </row>
        <row r="892">
          <cell r="A892" t="str">
            <v>D-IWST</v>
          </cell>
          <cell r="B892" t="str">
            <v>VAR_fin</v>
          </cell>
          <cell r="C892" t="str">
            <v>WSTNREN</v>
          </cell>
          <cell r="D892">
            <v>11.510003659020178</v>
          </cell>
          <cell r="E892">
            <v>11.793987033638553</v>
          </cell>
          <cell r="F892">
            <v>11.041392837370795</v>
          </cell>
          <cell r="G892">
            <v>10.918081256690883</v>
          </cell>
          <cell r="H892">
            <v>10.794771857487818</v>
          </cell>
          <cell r="I892">
            <v>10.740284072364519</v>
          </cell>
          <cell r="J892">
            <v>10.685795273076197</v>
          </cell>
          <cell r="K892">
            <v>10.63130654630681</v>
          </cell>
          <cell r="L892">
            <v>10.631305874397151</v>
          </cell>
          <cell r="M892">
            <v>10.631306613440694</v>
          </cell>
          <cell r="N892">
            <v>10.631306139554654</v>
          </cell>
          <cell r="O892">
            <v>10.631307089245382</v>
          </cell>
        </row>
        <row r="893">
          <cell r="A893" t="str">
            <v>RHES-SHLFOBR</v>
          </cell>
          <cell r="B893" t="str">
            <v>VAR_fout</v>
          </cell>
          <cell r="C893" t="str">
            <v>CO2_R</v>
          </cell>
          <cell r="D893">
            <v>1783.6627044803699</v>
          </cell>
          <cell r="E893">
            <v>1640.9694694234499</v>
          </cell>
          <cell r="F893">
            <v>1767.43221091992</v>
          </cell>
          <cell r="G893">
            <v>1626.08744702991</v>
          </cell>
          <cell r="H893">
            <v>674.18243915155995</v>
          </cell>
          <cell r="I893">
            <v>216.44240241678</v>
          </cell>
          <cell r="J893">
            <v>216.43812753402099</v>
          </cell>
          <cell r="K893">
            <v>216.43803874769199</v>
          </cell>
          <cell r="L893">
            <v>216.43778118081499</v>
          </cell>
          <cell r="M893">
            <v>148.11482044484501</v>
          </cell>
          <cell r="N893">
            <v>148.11418923918001</v>
          </cell>
          <cell r="O893">
            <v>49.859376420532897</v>
          </cell>
        </row>
        <row r="894">
          <cell r="A894" t="str">
            <v>RHES-SHLFOBR</v>
          </cell>
          <cell r="B894" t="str">
            <v>VAR_fout</v>
          </cell>
          <cell r="C894" t="str">
            <v>RHES-SHLFO</v>
          </cell>
          <cell r="D894">
            <v>21.680658155997275</v>
          </cell>
          <cell r="E894">
            <v>19.94620284520817</v>
          </cell>
          <cell r="F894">
            <v>21.483374341236029</v>
          </cell>
          <cell r="G894">
            <v>19.765309877398842</v>
          </cell>
          <cell r="H894">
            <v>8.1947774998634824</v>
          </cell>
          <cell r="I894">
            <v>2.6308862799416364</v>
          </cell>
          <cell r="J894">
            <v>2.6308343181713316</v>
          </cell>
          <cell r="K894">
            <v>2.6308332389616562</v>
          </cell>
          <cell r="L894">
            <v>2.6308301082019043</v>
          </cell>
          <cell r="M894">
            <v>1.8003554045478145</v>
          </cell>
          <cell r="N894">
            <v>1.800347732158738</v>
          </cell>
          <cell r="O894">
            <v>0.60604737281855403</v>
          </cell>
        </row>
        <row r="895">
          <cell r="A895" t="str">
            <v>RHES-SHLFOBR</v>
          </cell>
          <cell r="B895" t="str">
            <v>VAR_fin</v>
          </cell>
          <cell r="C895" t="str">
            <v>RLFO</v>
          </cell>
          <cell r="D895">
            <v>24.201664918322503</v>
          </cell>
          <cell r="E895">
            <v>22.265528757441622</v>
          </cell>
          <cell r="F895">
            <v>23.981441125100655</v>
          </cell>
          <cell r="G895">
            <v>22.063601723607992</v>
          </cell>
          <cell r="H895">
            <v>9.1476586044987656</v>
          </cell>
          <cell r="I895">
            <v>2.93680328923717</v>
          </cell>
          <cell r="J895">
            <v>2.9367452854005553</v>
          </cell>
          <cell r="K895">
            <v>2.9367440807013812</v>
          </cell>
          <cell r="L895">
            <v>2.9367405858997975</v>
          </cell>
          <cell r="M895">
            <v>2.0096990562394179</v>
          </cell>
          <cell r="N895">
            <v>2.0096904917120777</v>
          </cell>
          <cell r="O895">
            <v>0.67651799756489628</v>
          </cell>
        </row>
        <row r="896">
          <cell r="A896" t="str">
            <v>RHES-SHLFOBR</v>
          </cell>
          <cell r="B896" t="str">
            <v>VAR_ncap</v>
          </cell>
          <cell r="C896" t="str">
            <v>-</v>
          </cell>
          <cell r="E896">
            <v>8.1183270245568596E-8</v>
          </cell>
          <cell r="F896">
            <v>6.1546043612100204E-8</v>
          </cell>
          <cell r="G896">
            <v>1.5289837600199501E-7</v>
          </cell>
          <cell r="H896">
            <v>0.212934147091521</v>
          </cell>
          <cell r="I896">
            <v>2.6895202204969999E-6</v>
          </cell>
          <cell r="J896">
            <v>4.8273900969228697E-6</v>
          </cell>
          <cell r="K896">
            <v>0.21557711173298499</v>
          </cell>
          <cell r="L896">
            <v>1.6011232536720601E-6</v>
          </cell>
          <cell r="M896">
            <v>9.0796251632918602E-7</v>
          </cell>
          <cell r="N896">
            <v>0.10858312025361901</v>
          </cell>
          <cell r="O896">
            <v>4.4790379598147601E-7</v>
          </cell>
        </row>
        <row r="897">
          <cell r="A897" t="str">
            <v>RHES-SHLFOBR</v>
          </cell>
          <cell r="B897" t="str">
            <v>VAR_cap</v>
          </cell>
          <cell r="C897" t="str">
            <v>-</v>
          </cell>
          <cell r="D897">
            <v>1.7515307393373001</v>
          </cell>
          <cell r="E897">
            <v>1.7515303707783212</v>
          </cell>
          <cell r="F897">
            <v>1.7515299582053749</v>
          </cell>
          <cell r="G897">
            <v>1.7515295771503576</v>
          </cell>
          <cell r="H897">
            <v>0.66716624669381985</v>
          </cell>
          <cell r="I897">
            <v>0.21293673888311043</v>
          </cell>
          <cell r="J897">
            <v>0.21294126581912107</v>
          </cell>
          <cell r="K897">
            <v>0.21558440865664846</v>
          </cell>
          <cell r="L897">
            <v>0.21558293774447335</v>
          </cell>
          <cell r="M897">
            <v>0.21557817284647091</v>
          </cell>
          <cell r="N897">
            <v>0.14676798577500452</v>
          </cell>
          <cell r="O897">
            <v>0.1085837709657642</v>
          </cell>
        </row>
        <row r="898">
          <cell r="A898" t="str">
            <v>ITOT-SWHSTG</v>
          </cell>
          <cell r="B898" t="str">
            <v>VAR_fout</v>
          </cell>
          <cell r="C898" t="str">
            <v>ITOT-SWH</v>
          </cell>
          <cell r="D898">
            <v>3.9666859066286289E-6</v>
          </cell>
          <cell r="E898">
            <v>2.0327760412214901E-4</v>
          </cell>
          <cell r="F898">
            <v>2.3431392885490845E-3</v>
          </cell>
          <cell r="G898">
            <v>6.625085625748821E-4</v>
          </cell>
          <cell r="H898">
            <v>1.2209372817531794E-3</v>
          </cell>
          <cell r="I898">
            <v>1.090793267268691E-2</v>
          </cell>
          <cell r="J898">
            <v>0.37004440033185493</v>
          </cell>
          <cell r="K898">
            <v>0.85140131140491693</v>
          </cell>
          <cell r="L898">
            <v>2.1595607593633463</v>
          </cell>
          <cell r="M898">
            <v>1.9484237637293187</v>
          </cell>
          <cell r="N898">
            <v>1.8428730420042398</v>
          </cell>
          <cell r="O898">
            <v>1.8081069329608745</v>
          </cell>
        </row>
        <row r="899">
          <cell r="A899" t="str">
            <v>ITOT-SWHSTG</v>
          </cell>
          <cell r="B899" t="str">
            <v>VAR_fout</v>
          </cell>
          <cell r="C899" t="str">
            <v>AUX_ITOT-STG_OUT</v>
          </cell>
          <cell r="D899">
            <v>3.9666859066286221E-6</v>
          </cell>
          <cell r="E899">
            <v>2.0311158698846759E-4</v>
          </cell>
          <cell r="F899">
            <v>2.3401505904769517E-3</v>
          </cell>
          <cell r="G899">
            <v>6.6250856257488307E-4</v>
          </cell>
          <cell r="H899">
            <v>1.2195806847734548E-3</v>
          </cell>
          <cell r="I899">
            <v>1.0907932672686927E-2</v>
          </cell>
          <cell r="J899">
            <v>0.3696830288471557</v>
          </cell>
          <cell r="K899">
            <v>0.85140131140491715</v>
          </cell>
          <cell r="L899">
            <v>2.1595607593633472</v>
          </cell>
          <cell r="M899">
            <v>1.9484237637293191</v>
          </cell>
          <cell r="N899">
            <v>1.8428730420042398</v>
          </cell>
          <cell r="O899">
            <v>1.808106932960875</v>
          </cell>
        </row>
        <row r="900">
          <cell r="A900" t="str">
            <v>ITOT-SWHSTG</v>
          </cell>
          <cell r="B900" t="str">
            <v>VAR_fin</v>
          </cell>
          <cell r="C900" t="str">
            <v>AUX_ITOT-STG_IN</v>
          </cell>
          <cell r="D900">
            <v>4.6661844665384272E-6</v>
          </cell>
          <cell r="E900">
            <v>2.4729635895724521E-4</v>
          </cell>
          <cell r="F900">
            <v>2.7894515358383738E-3</v>
          </cell>
          <cell r="G900">
            <v>7.6150409478310691E-4</v>
          </cell>
          <cell r="H900">
            <v>1.3565969680898397E-3</v>
          </cell>
          <cell r="I900">
            <v>1.1728959864200455E-2</v>
          </cell>
          <cell r="J900">
            <v>0.38546291709372493</v>
          </cell>
          <cell r="K900">
            <v>0.86000132470511736</v>
          </cell>
          <cell r="L900">
            <v>2.181374504228569</v>
          </cell>
          <cell r="M900">
            <v>1.9681048116812141</v>
          </cell>
          <cell r="N900">
            <v>1.861487921048963</v>
          </cell>
          <cell r="O900">
            <v>1.8263706393486152</v>
          </cell>
        </row>
        <row r="901">
          <cell r="A901" t="str">
            <v>ITOT-SWHSTG</v>
          </cell>
          <cell r="B901" t="str">
            <v>VAR_fin</v>
          </cell>
          <cell r="C901" t="str">
            <v>ITOT-SWH</v>
          </cell>
          <cell r="D901">
            <v>4.6661844665384272E-6</v>
          </cell>
          <cell r="E901">
            <v>2.4729635895724521E-4</v>
          </cell>
          <cell r="F901">
            <v>2.7894515358383738E-3</v>
          </cell>
          <cell r="G901">
            <v>7.6150409478310691E-4</v>
          </cell>
          <cell r="H901">
            <v>1.3565969680898397E-3</v>
          </cell>
          <cell r="I901">
            <v>1.1728959864200455E-2</v>
          </cell>
          <cell r="J901">
            <v>0.38546291709372493</v>
          </cell>
          <cell r="K901">
            <v>0.86000132470511736</v>
          </cell>
          <cell r="L901">
            <v>2.181374504228569</v>
          </cell>
          <cell r="M901">
            <v>1.9681048116812141</v>
          </cell>
          <cell r="N901">
            <v>1.861487921048963</v>
          </cell>
          <cell r="O901">
            <v>1.8263706393486152</v>
          </cell>
        </row>
        <row r="902">
          <cell r="A902" t="str">
            <v>ITOT-SWHSTG</v>
          </cell>
          <cell r="B902" t="str">
            <v>VAR_ncap</v>
          </cell>
          <cell r="C902" t="str">
            <v>-</v>
          </cell>
          <cell r="D902">
            <v>5.5663446190485602E-4</v>
          </cell>
          <cell r="E902">
            <v>3.2826450890385998E-6</v>
          </cell>
          <cell r="F902">
            <v>4.2875373864458399E-6</v>
          </cell>
          <cell r="G902">
            <v>2.2801826828000102E-6</v>
          </cell>
          <cell r="H902">
            <v>8.0611164557076198E-4</v>
          </cell>
          <cell r="I902">
            <v>2.5426680989166402E-3</v>
          </cell>
          <cell r="J902">
            <v>0.14638186257194699</v>
          </cell>
          <cell r="K902">
            <v>0.14654088014663899</v>
          </cell>
          <cell r="L902">
            <v>0.624879367118649</v>
          </cell>
          <cell r="M902">
            <v>4.4957041272229801E-4</v>
          </cell>
          <cell r="N902">
            <v>2.4114005073323001E-2</v>
          </cell>
          <cell r="O902">
            <v>0.40617603785647399</v>
          </cell>
        </row>
        <row r="903">
          <cell r="A903" t="str">
            <v>ITOT-SWHSTG</v>
          </cell>
          <cell r="B903" t="str">
            <v>VAR_cap</v>
          </cell>
          <cell r="C903" t="str">
            <v>-</v>
          </cell>
          <cell r="D903">
            <v>5.5663446190485602E-4</v>
          </cell>
          <cell r="E903">
            <v>5.5955589531608038E-4</v>
          </cell>
          <cell r="F903">
            <v>5.6307642649808406E-4</v>
          </cell>
          <cell r="G903">
            <v>5.6357854594671841E-4</v>
          </cell>
          <cell r="H903">
            <v>9.5324975472219813E-4</v>
          </cell>
          <cell r="I903">
            <v>3.3489237617921495E-3</v>
          </cell>
          <cell r="J903">
            <v>0.1497270139394124</v>
          </cell>
          <cell r="K903">
            <v>0.295451760088079</v>
          </cell>
          <cell r="L903">
            <v>0.89877104241758488</v>
          </cell>
          <cell r="M903">
            <v>0.7718384098612544</v>
          </cell>
          <cell r="N903">
            <v>0.47726211167877053</v>
          </cell>
          <cell r="O903">
            <v>0.43071790754068839</v>
          </cell>
        </row>
        <row r="904">
          <cell r="A904" t="str">
            <v>SCOM-SHLFOBR</v>
          </cell>
          <cell r="B904" t="str">
            <v>VAR_fout</v>
          </cell>
          <cell r="C904" t="str">
            <v>CO2_S</v>
          </cell>
          <cell r="D904">
            <v>2229.9140141620101</v>
          </cell>
          <cell r="E904">
            <v>1963.2747249980901</v>
          </cell>
          <cell r="F904">
            <v>1835.5955079012399</v>
          </cell>
          <cell r="G904">
            <v>1438.4649740507</v>
          </cell>
          <cell r="H904">
            <v>1097.5306730168099</v>
          </cell>
          <cell r="I904">
            <v>778.90920074936503</v>
          </cell>
          <cell r="J904">
            <v>456.90864814283299</v>
          </cell>
          <cell r="K904">
            <v>263.99738418087998</v>
          </cell>
          <cell r="L904">
            <v>63.662824375678902</v>
          </cell>
          <cell r="M904">
            <v>64.105893244332506</v>
          </cell>
          <cell r="N904">
            <v>64.123020139409306</v>
          </cell>
          <cell r="O904">
            <v>64.131407039442493</v>
          </cell>
        </row>
        <row r="905">
          <cell r="A905" t="str">
            <v>SCOM-SHLFOBR</v>
          </cell>
          <cell r="B905" t="str">
            <v>VAR_fout</v>
          </cell>
          <cell r="C905" t="str">
            <v>SCOM-SHLFO</v>
          </cell>
          <cell r="D905">
            <v>24.843070567758563</v>
          </cell>
          <cell r="E905">
            <v>21.915802113645906</v>
          </cell>
          <cell r="F905">
            <v>20.551276898128293</v>
          </cell>
          <cell r="G905">
            <v>16.184349393009683</v>
          </cell>
          <cell r="H905">
            <v>12.410197191515476</v>
          </cell>
          <cell r="I905">
            <v>8.8512409176064324</v>
          </cell>
          <cell r="J905">
            <v>5.1921437288958234</v>
          </cell>
          <cell r="K905">
            <v>2.9999702747827257</v>
          </cell>
          <cell r="L905">
            <v>0.72344118608725883</v>
          </cell>
          <cell r="M905">
            <v>0.72847605959468698</v>
          </cell>
          <cell r="N905">
            <v>0.72867068340237773</v>
          </cell>
          <cell r="O905">
            <v>0.72876598908457257</v>
          </cell>
        </row>
        <row r="906">
          <cell r="A906" t="str">
            <v>SCOM-SHLFOBR</v>
          </cell>
          <cell r="B906" t="str">
            <v>VAR_fin</v>
          </cell>
          <cell r="C906" t="str">
            <v>SLFO</v>
          </cell>
          <cell r="D906">
            <v>30.256635198941776</v>
          </cell>
          <cell r="E906">
            <v>26.638734396174886</v>
          </cell>
          <cell r="F906">
            <v>24.906316253748116</v>
          </cell>
          <cell r="G906">
            <v>19.517842253062419</v>
          </cell>
          <cell r="H906">
            <v>14.891868019224047</v>
          </cell>
          <cell r="I906">
            <v>10.568645871768865</v>
          </cell>
          <cell r="J906">
            <v>6.1995746016666553</v>
          </cell>
          <cell r="K906">
            <v>3.5820540594420662</v>
          </cell>
          <cell r="L906">
            <v>0.86381037144747452</v>
          </cell>
          <cell r="M906">
            <v>0.86982216071007445</v>
          </cell>
          <cell r="N906">
            <v>0.87005454734612264</v>
          </cell>
          <cell r="O906">
            <v>0.87016834517560993</v>
          </cell>
        </row>
        <row r="907">
          <cell r="A907" t="str">
            <v>SCOM-SHLFOBR</v>
          </cell>
          <cell r="B907" t="str">
            <v>VAR_ncap</v>
          </cell>
          <cell r="C907" t="str">
            <v>-</v>
          </cell>
          <cell r="D907">
            <v>4.6480219112694799E-7</v>
          </cell>
          <cell r="E907">
            <v>7.1717221694275402E-7</v>
          </cell>
          <cell r="F907">
            <v>4.8654883645803999E-7</v>
          </cell>
          <cell r="G907">
            <v>7.90737085688889E-7</v>
          </cell>
          <cell r="H907">
            <v>0.46857617596891998</v>
          </cell>
          <cell r="I907">
            <v>0.21859522766893799</v>
          </cell>
          <cell r="J907">
            <v>1.51492698171948E-6</v>
          </cell>
          <cell r="K907">
            <v>1.6448087249876401E-2</v>
          </cell>
          <cell r="L907">
            <v>2.5809587732278899E-2</v>
          </cell>
          <cell r="M907">
            <v>3.35330011061813E-2</v>
          </cell>
          <cell r="N907">
            <v>2.1720076244938501E-2</v>
          </cell>
          <cell r="O907">
            <v>5.4060578944382799E-2</v>
          </cell>
        </row>
        <row r="908">
          <cell r="A908" t="str">
            <v>SCOM-SHLFOBR</v>
          </cell>
          <cell r="B908" t="str">
            <v>VAR_cap</v>
          </cell>
          <cell r="C908" t="str">
            <v>-</v>
          </cell>
          <cell r="D908">
            <v>1.9285741220273112</v>
          </cell>
          <cell r="E908">
            <v>1.9285577958787254</v>
          </cell>
          <cell r="F908">
            <v>1.9285539385051667</v>
          </cell>
          <cell r="G908">
            <v>1.9285464988626375</v>
          </cell>
          <cell r="H908">
            <v>0.96871463070075048</v>
          </cell>
          <cell r="I908">
            <v>0.68717138433609648</v>
          </cell>
          <cell r="J908">
            <v>0.43453251898957096</v>
          </cell>
          <cell r="K908">
            <v>0.23504273826807245</v>
          </cell>
          <cell r="L908">
            <v>7.5829440711927321E-2</v>
          </cell>
          <cell r="M908">
            <v>7.5784061441972125E-2</v>
          </cell>
          <cell r="N908">
            <v>7.5782899791597677E-2</v>
          </cell>
          <cell r="O908">
            <v>7.5781944571130008E-2</v>
          </cell>
        </row>
        <row r="909">
          <cell r="A909" t="str">
            <v>RHNM-SHPLTBR</v>
          </cell>
          <cell r="B909" t="str">
            <v>VAR_fout</v>
          </cell>
          <cell r="C909" t="str">
            <v>RHNM-SHPLT</v>
          </cell>
          <cell r="E909">
            <v>7.3538890121941008E-2</v>
          </cell>
          <cell r="F909">
            <v>7.6571121225055258E-2</v>
          </cell>
          <cell r="G909">
            <v>0.20610578073023339</v>
          </cell>
          <cell r="H909">
            <v>0.32367285142590257</v>
          </cell>
          <cell r="I909">
            <v>0.41953438026760986</v>
          </cell>
          <cell r="J909">
            <v>0.49763539714347427</v>
          </cell>
          <cell r="K909">
            <v>0.56987390662761361</v>
          </cell>
          <cell r="L909">
            <v>0.62316734857768741</v>
          </cell>
          <cell r="M909">
            <v>0.68384041184123812</v>
          </cell>
          <cell r="N909">
            <v>0.68389889654650615</v>
          </cell>
          <cell r="O909">
            <v>0.68390135947250486</v>
          </cell>
        </row>
        <row r="910">
          <cell r="A910" t="str">
            <v>RHNM-SHPLTBR</v>
          </cell>
          <cell r="B910" t="str">
            <v>VAR_fin</v>
          </cell>
          <cell r="C910" t="str">
            <v>RPLT</v>
          </cell>
          <cell r="E910">
            <v>8.1709877913267739E-2</v>
          </cell>
          <cell r="F910">
            <v>8.507902358339467E-2</v>
          </cell>
          <cell r="G910">
            <v>0.22900642303359262</v>
          </cell>
          <cell r="H910">
            <v>0.35963650158433619</v>
          </cell>
          <cell r="I910">
            <v>0.4661493114084555</v>
          </cell>
          <cell r="J910">
            <v>0.55292821904830414</v>
          </cell>
          <cell r="K910">
            <v>0.63319322958623725</v>
          </cell>
          <cell r="L910">
            <v>0.69240816508631942</v>
          </cell>
          <cell r="M910">
            <v>0.75982267982359852</v>
          </cell>
          <cell r="N910">
            <v>0.75988766282945142</v>
          </cell>
          <cell r="O910">
            <v>0.75989039941389425</v>
          </cell>
        </row>
        <row r="911">
          <cell r="A911" t="str">
            <v>RHNM-SHPLTBR</v>
          </cell>
          <cell r="B911" t="str">
            <v>VAR_fin</v>
          </cell>
          <cell r="C911" t="str">
            <v>RHNMPLTBRC</v>
          </cell>
          <cell r="E911">
            <v>7.3538890121941008E-2</v>
          </cell>
          <cell r="F911">
            <v>7.6571121225055258E-2</v>
          </cell>
          <cell r="G911">
            <v>0.20610578073023339</v>
          </cell>
          <cell r="H911">
            <v>0.32367285142590257</v>
          </cell>
          <cell r="I911">
            <v>0.41953438026760986</v>
          </cell>
          <cell r="J911">
            <v>0.49763539714347427</v>
          </cell>
          <cell r="K911">
            <v>0.56987390662761361</v>
          </cell>
          <cell r="L911">
            <v>0.62316734857768741</v>
          </cell>
          <cell r="M911">
            <v>0.68384041184123812</v>
          </cell>
          <cell r="N911">
            <v>0.68389889654650615</v>
          </cell>
          <cell r="O911">
            <v>0.68390135947250486</v>
          </cell>
        </row>
        <row r="912">
          <cell r="A912" t="str">
            <v>RHNM-SHPLTBR</v>
          </cell>
          <cell r="B912" t="str">
            <v>VAR_ncap</v>
          </cell>
          <cell r="C912" t="str">
            <v>-</v>
          </cell>
          <cell r="E912">
            <v>5.9118994612775196E-3</v>
          </cell>
          <cell r="F912">
            <v>1.4690899646273799E-4</v>
          </cell>
          <cell r="G912">
            <v>1.0313525798820699E-2</v>
          </cell>
          <cell r="H912">
            <v>1.1771501972261801E-2</v>
          </cell>
          <cell r="I912">
            <v>1.26367438889586E-2</v>
          </cell>
          <cell r="J912">
            <v>1.42453022111345E-2</v>
          </cell>
          <cell r="K912">
            <v>1.7559207012112801E-2</v>
          </cell>
          <cell r="L912">
            <v>1.7082316556556499E-2</v>
          </cell>
          <cell r="M912">
            <v>1.8989008581004999E-2</v>
          </cell>
          <cell r="N912">
            <v>1.96400003967401E-2</v>
          </cell>
          <cell r="O912">
            <v>1.5119420060027399E-2</v>
          </cell>
        </row>
        <row r="913">
          <cell r="A913" t="str">
            <v>RHNM-SHPLTBR</v>
          </cell>
          <cell r="B913" t="str">
            <v>VAR_cap</v>
          </cell>
          <cell r="C913" t="str">
            <v>-</v>
          </cell>
          <cell r="E913">
            <v>5.9118994612775196E-3</v>
          </cell>
          <cell r="F913">
            <v>6.0587073671983082E-3</v>
          </cell>
          <cell r="G913">
            <v>1.6371843450664454E-2</v>
          </cell>
          <cell r="H913">
            <v>2.526010864060697E-2</v>
          </cell>
          <cell r="I913">
            <v>3.2790006318334411E-2</v>
          </cell>
          <cell r="J913">
            <v>3.8653274038118537E-2</v>
          </cell>
          <cell r="K913">
            <v>4.4440822029753191E-2</v>
          </cell>
          <cell r="L913">
            <v>4.8940538156015047E-2</v>
          </cell>
          <cell r="M913">
            <v>5.3630041340044912E-2</v>
          </cell>
          <cell r="N913">
            <v>5.3405425565978701E-2</v>
          </cell>
          <cell r="O913">
            <v>5.3747811448809073E-2</v>
          </cell>
        </row>
        <row r="914">
          <cell r="A914" t="str">
            <v>D-RHES_NKEV_GAS_ELC_CHP</v>
          </cell>
          <cell r="B914" t="str">
            <v>VAR_fout</v>
          </cell>
          <cell r="C914" t="str">
            <v>RHES_ELC</v>
          </cell>
          <cell r="D914">
            <v>7.0350118881393501E-3</v>
          </cell>
          <cell r="E914">
            <v>9.211478697109559E-4</v>
          </cell>
          <cell r="F914">
            <v>3.1211966351718111E-3</v>
          </cell>
          <cell r="G914">
            <v>2.3395700779930218E-3</v>
          </cell>
          <cell r="H914">
            <v>2.2609483163044766E-3</v>
          </cell>
          <cell r="I914">
            <v>8.7706534531449087E-4</v>
          </cell>
          <cell r="L914">
            <v>1.1496168110194647E-3</v>
          </cell>
          <cell r="M914">
            <v>1.4265006924050886E-3</v>
          </cell>
          <cell r="N914">
            <v>2.0944198941049877E-3</v>
          </cell>
          <cell r="O914">
            <v>2.4444572091388631E-3</v>
          </cell>
        </row>
        <row r="915">
          <cell r="A915" t="str">
            <v>D-RHES_NKEV_GAS_ELC_CHP</v>
          </cell>
          <cell r="B915" t="str">
            <v>VAR_fout</v>
          </cell>
          <cell r="C915" t="str">
            <v>ELC5</v>
          </cell>
          <cell r="D915">
            <v>6.9601965338538796E-3</v>
          </cell>
          <cell r="E915">
            <v>9.2122610194031245E-4</v>
          </cell>
          <cell r="F915">
            <v>3.1223755130797793E-3</v>
          </cell>
          <cell r="G915">
            <v>2.3404199210343857E-3</v>
          </cell>
          <cell r="H915">
            <v>2.2619284996177242E-3</v>
          </cell>
          <cell r="I915">
            <v>8.7733446736673224E-4</v>
          </cell>
          <cell r="L915">
            <v>1.1488210902418545E-3</v>
          </cell>
          <cell r="M915">
            <v>1.4136281544054993E-3</v>
          </cell>
          <cell r="N915">
            <v>2.0697295736882694E-3</v>
          </cell>
          <cell r="O915">
            <v>2.4324082215509695E-3</v>
          </cell>
        </row>
        <row r="916">
          <cell r="A916" t="str">
            <v>D-RHES_NKEV_GAS_ELC_CHP</v>
          </cell>
          <cell r="B916" t="str">
            <v>VAR_fin</v>
          </cell>
          <cell r="C916" t="str">
            <v>RHES_NKEV_GAS_ELC_CHP</v>
          </cell>
          <cell r="D916">
            <v>1.3995208421993234E-2</v>
          </cell>
          <cell r="E916">
            <v>1.8423739716512684E-3</v>
          </cell>
          <cell r="F916">
            <v>6.2418454532440978E-3</v>
          </cell>
          <cell r="G916">
            <v>4.6788495337652686E-3</v>
          </cell>
          <cell r="H916">
            <v>4.5211333534161497E-3</v>
          </cell>
          <cell r="I916">
            <v>1.750907196014532E-3</v>
          </cell>
          <cell r="L916">
            <v>2.2984379012613207E-3</v>
          </cell>
          <cell r="M916">
            <v>2.8401288468105908E-3</v>
          </cell>
          <cell r="N916">
            <v>4.1641494677932623E-3</v>
          </cell>
          <cell r="O916">
            <v>4.8768654306898338E-3</v>
          </cell>
        </row>
        <row r="917">
          <cell r="A917" t="str">
            <v>SCOM-SHSTG-SOL</v>
          </cell>
          <cell r="B917" t="str">
            <v>VAR_fout</v>
          </cell>
          <cell r="C917" t="str">
            <v>SCOM-SHASOL</v>
          </cell>
          <cell r="D917">
            <v>1.1275036226217311E-5</v>
          </cell>
          <cell r="E917">
            <v>1.1117244325550116E-5</v>
          </cell>
          <cell r="F917">
            <v>3.3371098592446255E-3</v>
          </cell>
          <cell r="G917">
            <v>3.1907994941889561E-3</v>
          </cell>
          <cell r="H917">
            <v>1.9290456689788633E-2</v>
          </cell>
          <cell r="I917">
            <v>0.11902630894854999</v>
          </cell>
          <cell r="J917">
            <v>3.3475253428766529</v>
          </cell>
          <cell r="K917">
            <v>0.13743038823247711</v>
          </cell>
          <cell r="L917">
            <v>8.259847091457731E-3</v>
          </cell>
          <cell r="M917">
            <v>0.28343525346161669</v>
          </cell>
          <cell r="N917">
            <v>0.22374897844961755</v>
          </cell>
          <cell r="O917">
            <v>3.181981202954721</v>
          </cell>
        </row>
        <row r="918">
          <cell r="A918" t="str">
            <v>SCOM-SHSTG-SOL</v>
          </cell>
          <cell r="B918" t="str">
            <v>VAR_fin</v>
          </cell>
          <cell r="C918" t="str">
            <v>SCOM-SHASOL</v>
          </cell>
          <cell r="D918">
            <v>9.8744287190734923E-6</v>
          </cell>
          <cell r="E918">
            <v>1.0314489128538802E-5</v>
          </cell>
          <cell r="F918">
            <v>4.3089169521320532E-3</v>
          </cell>
          <cell r="G918">
            <v>3.990833919892741E-3</v>
          </cell>
          <cell r="H918">
            <v>2.339594754099918E-2</v>
          </cell>
          <cell r="I918">
            <v>0.14005580669055095</v>
          </cell>
          <cell r="J918">
            <v>3.8257662974129296</v>
          </cell>
          <cell r="K918">
            <v>0.15272254933693102</v>
          </cell>
          <cell r="L918">
            <v>9.1993320063260553E-3</v>
          </cell>
          <cell r="M918">
            <v>0.31496592872271933</v>
          </cell>
          <cell r="N918">
            <v>0.24864774616465538</v>
          </cell>
          <cell r="O918">
            <v>3.5355703733672863</v>
          </cell>
        </row>
        <row r="919">
          <cell r="A919" t="str">
            <v>SCOM-SHSTG-SOL</v>
          </cell>
          <cell r="B919" t="str">
            <v>VAR_ncap</v>
          </cell>
          <cell r="C919" t="str">
            <v>-</v>
          </cell>
          <cell r="D919">
            <v>7.1957608914785202E-3</v>
          </cell>
          <cell r="E919">
            <v>1.6296096031865E-2</v>
          </cell>
          <cell r="F919">
            <v>2.2992443490545201E-5</v>
          </cell>
          <cell r="G919">
            <v>2.42063284466905E-6</v>
          </cell>
          <cell r="H919">
            <v>4.5507787594445397E-2</v>
          </cell>
          <cell r="I919">
            <v>7.0414814194403305E-2</v>
          </cell>
          <cell r="J919">
            <v>4.4472082036229399E-3</v>
          </cell>
          <cell r="K919">
            <v>4.5511057562796199E-2</v>
          </cell>
          <cell r="L919">
            <v>6.0188095337199501E-2</v>
          </cell>
          <cell r="M919">
            <v>1.46702512961823E-2</v>
          </cell>
          <cell r="N919">
            <v>5.6536743573454701E-2</v>
          </cell>
          <cell r="O919">
            <v>4.9154422629787697E-2</v>
          </cell>
        </row>
        <row r="920">
          <cell r="A920" t="str">
            <v>SCOM-SHSTG-SOL</v>
          </cell>
          <cell r="B920" t="str">
            <v>VAR_cap</v>
          </cell>
          <cell r="C920" t="str">
            <v>-</v>
          </cell>
          <cell r="D920">
            <v>7.1957608914785202E-3</v>
          </cell>
          <cell r="E920">
            <v>2.3491856923343501E-2</v>
          </cell>
          <cell r="F920">
            <v>2.3514849366834002E-2</v>
          </cell>
          <cell r="G920">
            <v>2.3517269999678701E-2</v>
          </cell>
          <cell r="H920">
            <v>5.5748513582207698E-2</v>
          </cell>
          <cell r="I920">
            <v>0.11592939024662401</v>
          </cell>
          <cell r="J920">
            <v>0.120369809992472</v>
          </cell>
          <cell r="K920">
            <v>0.120373079960822</v>
          </cell>
          <cell r="L920">
            <v>0.120376649692742</v>
          </cell>
          <cell r="M920">
            <v>0.120369404196178</v>
          </cell>
          <cell r="N920">
            <v>0.120375646034368</v>
          </cell>
          <cell r="O920">
            <v>0.120361417499425</v>
          </cell>
        </row>
        <row r="921">
          <cell r="A921" t="str">
            <v>RHNM-SHELCBRA</v>
          </cell>
          <cell r="B921" t="str">
            <v>VAR_fout</v>
          </cell>
          <cell r="C921" t="str">
            <v>RHNM-SHELCB</v>
          </cell>
          <cell r="E921">
            <v>0.15438636090015678</v>
          </cell>
          <cell r="F921">
            <v>0.15202697499860623</v>
          </cell>
          <cell r="G921">
            <v>2.6269830055687501E-2</v>
          </cell>
          <cell r="H921">
            <v>8.391343907350222E-4</v>
          </cell>
          <cell r="I921">
            <v>4.0477951586412585E-4</v>
          </cell>
          <cell r="J921">
            <v>5.0781001113484644E-4</v>
          </cell>
          <cell r="K921">
            <v>5.5431988763554715E-4</v>
          </cell>
          <cell r="L921">
            <v>1.0957560344843774E-3</v>
          </cell>
          <cell r="M921">
            <v>0.14813562763154423</v>
          </cell>
          <cell r="N921">
            <v>3.2536811752687388E-3</v>
          </cell>
          <cell r="O921">
            <v>3.1035678406480969E-3</v>
          </cell>
        </row>
        <row r="922">
          <cell r="A922" t="str">
            <v>RHNM-SHELCBRA</v>
          </cell>
          <cell r="B922" t="str">
            <v>VAR_fin</v>
          </cell>
          <cell r="C922" t="str">
            <v>RHNM-SHAELCB</v>
          </cell>
          <cell r="E922">
            <v>0.15438636090015678</v>
          </cell>
          <cell r="F922">
            <v>0.15202697499860623</v>
          </cell>
          <cell r="G922">
            <v>2.6269830055687501E-2</v>
          </cell>
          <cell r="H922">
            <v>8.391343907350222E-4</v>
          </cell>
          <cell r="I922">
            <v>4.0477951586412585E-4</v>
          </cell>
          <cell r="J922">
            <v>5.0781001113484644E-4</v>
          </cell>
          <cell r="K922">
            <v>5.5431988763554715E-4</v>
          </cell>
          <cell r="L922">
            <v>1.0957560344843774E-3</v>
          </cell>
          <cell r="M922">
            <v>0.14813562763154423</v>
          </cell>
          <cell r="N922">
            <v>3.2536811752687388E-3</v>
          </cell>
          <cell r="O922">
            <v>3.1035678406480969E-3</v>
          </cell>
        </row>
        <row r="923">
          <cell r="A923" t="str">
            <v>RHNM-SHELCBRA</v>
          </cell>
          <cell r="B923" t="str">
            <v>VAR_ncap</v>
          </cell>
          <cell r="C923" t="str">
            <v>-</v>
          </cell>
          <cell r="E923">
            <v>1.23860398325301E-2</v>
          </cell>
          <cell r="H923">
            <v>7.5509817789604804E-5</v>
          </cell>
          <cell r="J923">
            <v>7.4554923550906302E-5</v>
          </cell>
          <cell r="L923">
            <v>1.36932463958682E-4</v>
          </cell>
          <cell r="M923">
            <v>1.17711855420013E-2</v>
          </cell>
          <cell r="N923">
            <v>6.2878301097062203E-5</v>
          </cell>
          <cell r="O923">
            <v>1.16081954820435E-4</v>
          </cell>
        </row>
        <row r="924">
          <cell r="A924" t="str">
            <v>RHNM-SHELCBRA</v>
          </cell>
          <cell r="B924" t="str">
            <v>VAR_cap</v>
          </cell>
          <cell r="C924" t="str">
            <v>-</v>
          </cell>
          <cell r="E924">
            <v>1.23860398325301E-2</v>
          </cell>
          <cell r="F924">
            <v>1.2385323313678399E-2</v>
          </cell>
          <cell r="G924">
            <v>3.3783149290700209E-3</v>
          </cell>
          <cell r="H924">
            <v>1.1978926508047962E-4</v>
          </cell>
          <cell r="I924">
            <v>5.7025269892097702E-5</v>
          </cell>
          <cell r="J924">
            <v>7.4786812417792299E-5</v>
          </cell>
          <cell r="K924">
            <v>7.4313978101513619E-5</v>
          </cell>
          <cell r="L924">
            <v>1.5680386625135061E-4</v>
          </cell>
          <cell r="M924">
            <v>1.1893550772311615E-2</v>
          </cell>
          <cell r="N924">
            <v>4.6671085913009905E-4</v>
          </cell>
          <cell r="O924">
            <v>4.5266485757839911E-4</v>
          </cell>
        </row>
        <row r="925">
          <cell r="A925" t="str">
            <v>RHNM-SHSTG-SOL</v>
          </cell>
          <cell r="B925" t="str">
            <v>VAR_fout</v>
          </cell>
          <cell r="C925" t="str">
            <v>RHNM-SHASOL</v>
          </cell>
          <cell r="E925">
            <v>8.8350794742912559E-6</v>
          </cell>
          <cell r="F925">
            <v>4.6082961897681452E-3</v>
          </cell>
          <cell r="G925">
            <v>6.1283932719553569E-3</v>
          </cell>
          <cell r="H925">
            <v>3.6421340144084922E-3</v>
          </cell>
          <cell r="I925">
            <v>1.1089477172878286E-3</v>
          </cell>
          <cell r="J925">
            <v>5.6528225611364219E-4</v>
          </cell>
          <cell r="K925">
            <v>2.7642610981725753E-4</v>
          </cell>
          <cell r="L925">
            <v>3.4827709802275384E-4</v>
          </cell>
          <cell r="M925">
            <v>9.0485115618967841E-4</v>
          </cell>
          <cell r="N925">
            <v>3.8396333273087071E-4</v>
          </cell>
          <cell r="O925">
            <v>4.6113575699381404E-4</v>
          </cell>
        </row>
        <row r="926">
          <cell r="A926" t="str">
            <v>RHNM-SHSTG-SOL</v>
          </cell>
          <cell r="B926" t="str">
            <v>VAR_fin</v>
          </cell>
          <cell r="C926" t="str">
            <v>RHNM-SHASOL</v>
          </cell>
          <cell r="E926">
            <v>4.8290160301494236E-7</v>
          </cell>
          <cell r="F926">
            <v>4.5998901798547697E-3</v>
          </cell>
          <cell r="G926">
            <v>6.1207309512121095E-3</v>
          </cell>
          <cell r="H926">
            <v>3.6370848943034525E-3</v>
          </cell>
          <cell r="I926">
            <v>1.1047142192789614E-3</v>
          </cell>
          <cell r="J926">
            <v>5.5650371803483815E-4</v>
          </cell>
          <cell r="K926">
            <v>2.6534960531372044E-4</v>
          </cell>
          <cell r="L926">
            <v>3.4377655101389988E-4</v>
          </cell>
          <cell r="M926">
            <v>8.9216049915490613E-4</v>
          </cell>
          <cell r="N926">
            <v>3.7748726378027629E-4</v>
          </cell>
          <cell r="O926">
            <v>4.4984924874013656E-4</v>
          </cell>
        </row>
        <row r="927">
          <cell r="A927" t="str">
            <v>RHNM-SHSTG-SOL</v>
          </cell>
          <cell r="B927" t="str">
            <v>VAR_ncap</v>
          </cell>
          <cell r="C927" t="str">
            <v>-</v>
          </cell>
          <cell r="D927">
            <v>7.4432090701008704E-7</v>
          </cell>
          <cell r="E927">
            <v>7.1382509527400404E-4</v>
          </cell>
          <cell r="F927">
            <v>1.94288143022094E-5</v>
          </cell>
          <cell r="G927">
            <v>2.23314973976163E-4</v>
          </cell>
          <cell r="H927">
            <v>3.7757809655271601E-6</v>
          </cell>
          <cell r="I927">
            <v>1.8176870240012601E-6</v>
          </cell>
          <cell r="J927">
            <v>1.03695396651635E-4</v>
          </cell>
          <cell r="K927">
            <v>7.6020329234276698E-6</v>
          </cell>
          <cell r="L927">
            <v>7.9060560674649099E-7</v>
          </cell>
          <cell r="M927">
            <v>1.50767373389975E-4</v>
          </cell>
          <cell r="N927">
            <v>4.9553429185482504E-6</v>
          </cell>
          <cell r="O927">
            <v>2.3940607824135803E-7</v>
          </cell>
        </row>
        <row r="928">
          <cell r="A928" t="str">
            <v>RHNM-SHSTG-SOL</v>
          </cell>
          <cell r="B928" t="str">
            <v>VAR_cap</v>
          </cell>
          <cell r="C928" t="str">
            <v>-</v>
          </cell>
          <cell r="D928">
            <v>7.4432090701008704E-7</v>
          </cell>
          <cell r="E928">
            <v>7.1456941618101399E-4</v>
          </cell>
          <cell r="F928">
            <v>7.3399823048322401E-4</v>
          </cell>
          <cell r="G928">
            <v>9.5731320445938595E-4</v>
          </cell>
          <cell r="H928">
            <v>6.1243645836661902E-4</v>
          </cell>
          <cell r="I928">
            <v>1.9050346102255099E-4</v>
          </cell>
          <cell r="J928">
            <v>1.09288864641163E-4</v>
          </cell>
          <cell r="K928">
            <v>1.13115116599064E-4</v>
          </cell>
          <cell r="L928">
            <v>9.8628164191640906E-5</v>
          </cell>
          <cell r="M928">
            <v>1.5916001192014899E-4</v>
          </cell>
          <cell r="N928">
            <v>1.5760917580635999E-4</v>
          </cell>
          <cell r="O928">
            <v>1.55962122386765E-4</v>
          </cell>
        </row>
        <row r="929">
          <cell r="A929" t="str">
            <v>RHNS-SHELCHP</v>
          </cell>
          <cell r="B929" t="str">
            <v>VAR_fout</v>
          </cell>
          <cell r="C929" t="str">
            <v>RHNS-SHAELCH</v>
          </cell>
          <cell r="E929">
            <v>0.24174162145717315</v>
          </cell>
          <cell r="F929">
            <v>0.74032900535130941</v>
          </cell>
          <cell r="G929">
            <v>1.6121142873612331</v>
          </cell>
          <cell r="H929">
            <v>2.1437651655398775</v>
          </cell>
          <cell r="I929">
            <v>2.1437691842765867</v>
          </cell>
          <cell r="J929">
            <v>2.8386139565836834</v>
          </cell>
          <cell r="K929">
            <v>3.4973789665912123</v>
          </cell>
          <cell r="L929">
            <v>4.1936921889808447</v>
          </cell>
          <cell r="M929">
            <v>4.2690165552248072</v>
          </cell>
          <cell r="N929">
            <v>4.2690521110782331</v>
          </cell>
          <cell r="O929">
            <v>4.2690750982551142</v>
          </cell>
        </row>
        <row r="930">
          <cell r="A930" t="str">
            <v>RHNS-SHELCHP</v>
          </cell>
          <cell r="B930" t="str">
            <v>VAR_fin</v>
          </cell>
          <cell r="C930" t="str">
            <v>RHNS_ELC</v>
          </cell>
          <cell r="E930">
            <v>7.4305826267573774E-2</v>
          </cell>
          <cell r="F930">
            <v>0.22209870160539269</v>
          </cell>
          <cell r="G930">
            <v>0.46503296750804729</v>
          </cell>
          <cell r="H930">
            <v>0.59826004619717454</v>
          </cell>
          <cell r="I930">
            <v>0.57939707683150987</v>
          </cell>
          <cell r="J930">
            <v>0.74700367278517943</v>
          </cell>
          <cell r="K930">
            <v>0.89676383758749056</v>
          </cell>
          <cell r="L930">
            <v>1.0753056894822672</v>
          </cell>
          <cell r="M930">
            <v>1.0946196295448223</v>
          </cell>
          <cell r="N930">
            <v>1.0946287464303157</v>
          </cell>
          <cell r="O930">
            <v>1.0946346405782348</v>
          </cell>
        </row>
        <row r="931">
          <cell r="A931" t="str">
            <v>RHNS-SHELCHP</v>
          </cell>
          <cell r="B931" t="str">
            <v>VAR_fin</v>
          </cell>
          <cell r="C931" t="str">
            <v>RHNSELCHPC</v>
          </cell>
          <cell r="E931">
            <v>0.24174162145717315</v>
          </cell>
          <cell r="F931">
            <v>0.74032900535130941</v>
          </cell>
          <cell r="G931">
            <v>1.6121142873612331</v>
          </cell>
          <cell r="H931">
            <v>2.1437651655398775</v>
          </cell>
          <cell r="I931">
            <v>2.1437691842765867</v>
          </cell>
          <cell r="J931">
            <v>2.8386139565836834</v>
          </cell>
          <cell r="K931">
            <v>3.4973789665912123</v>
          </cell>
          <cell r="L931">
            <v>4.1936921889808447</v>
          </cell>
          <cell r="M931">
            <v>4.2690165552248072</v>
          </cell>
          <cell r="N931">
            <v>4.2690521110782331</v>
          </cell>
          <cell r="O931">
            <v>4.2690750982551142</v>
          </cell>
        </row>
        <row r="932">
          <cell r="A932" t="str">
            <v>RHNS-SHELCHP</v>
          </cell>
          <cell r="B932" t="str">
            <v>VAR_ncap</v>
          </cell>
          <cell r="C932" t="str">
            <v>-</v>
          </cell>
          <cell r="E932">
            <v>1.76717732417759E-2</v>
          </cell>
          <cell r="F932">
            <v>3.6430517041771401E-2</v>
          </cell>
          <cell r="G932">
            <v>6.4043421845484297E-2</v>
          </cell>
          <cell r="H932">
            <v>4.6794531688358398E-2</v>
          </cell>
          <cell r="I932">
            <v>4.98795362728226E-2</v>
          </cell>
          <cell r="J932">
            <v>0.1101263696499</v>
          </cell>
          <cell r="K932">
            <v>9.5388915531161994E-2</v>
          </cell>
          <cell r="L932">
            <v>0.106930115613491</v>
          </cell>
          <cell r="M932">
            <v>0.10869733238038699</v>
          </cell>
          <cell r="N932">
            <v>0.112388506748183</v>
          </cell>
          <cell r="O932">
            <v>8.9960611587227096E-2</v>
          </cell>
        </row>
        <row r="933">
          <cell r="A933" t="str">
            <v>RHNS-SHELCHP</v>
          </cell>
          <cell r="B933" t="str">
            <v>VAR_cap</v>
          </cell>
          <cell r="C933" t="str">
            <v>-</v>
          </cell>
          <cell r="E933">
            <v>1.76717732417759E-2</v>
          </cell>
          <cell r="F933">
            <v>5.4102231416506136E-2</v>
          </cell>
          <cell r="G933">
            <v>0.11814545649920262</v>
          </cell>
          <cell r="H933">
            <v>0.15632203056103364</v>
          </cell>
          <cell r="I933">
            <v>0.15618335143854301</v>
          </cell>
          <cell r="J933">
            <v>0.2068002582685004</v>
          </cell>
          <cell r="K933">
            <v>0.25539454094339581</v>
          </cell>
          <cell r="L933">
            <v>0.305518094512227</v>
          </cell>
          <cell r="M933">
            <v>0.3110160576016982</v>
          </cell>
          <cell r="N933">
            <v>0.31101265595646405</v>
          </cell>
          <cell r="O933">
            <v>0.3110461569516606</v>
          </cell>
        </row>
        <row r="934">
          <cell r="A934" t="str">
            <v>SCOM-SHBIOBR</v>
          </cell>
          <cell r="B934" t="str">
            <v>VAR_fout</v>
          </cell>
          <cell r="C934" t="str">
            <v>SCOM-SHBIO</v>
          </cell>
          <cell r="D934">
            <v>1.2230667913964</v>
          </cell>
          <cell r="E934">
            <v>1.340766540852586</v>
          </cell>
          <cell r="F934">
            <v>1.3568850157383832</v>
          </cell>
          <cell r="G934">
            <v>1.3227683328987132</v>
          </cell>
          <cell r="H934">
            <v>1.9088908709973098</v>
          </cell>
          <cell r="I934">
            <v>3.4740975577531157</v>
          </cell>
          <cell r="J934">
            <v>5.408217717982903</v>
          </cell>
          <cell r="K934">
            <v>9.435461327083047</v>
          </cell>
          <cell r="L934">
            <v>11.363451339549821</v>
          </cell>
          <cell r="M934">
            <v>14.633757585717001</v>
          </cell>
          <cell r="N934">
            <v>15.142319460170146</v>
          </cell>
          <cell r="O934">
            <v>15.142558373709306</v>
          </cell>
        </row>
        <row r="935">
          <cell r="A935" t="str">
            <v>SCOM-SHBIOBR</v>
          </cell>
          <cell r="B935" t="str">
            <v>VAR_fin</v>
          </cell>
          <cell r="C935" t="str">
            <v>SBIO</v>
          </cell>
          <cell r="D935">
            <v>1.4022779080444845</v>
          </cell>
          <cell r="E935">
            <v>1.5372237340662529</v>
          </cell>
          <cell r="F935">
            <v>1.5557039850245158</v>
          </cell>
          <cell r="G935">
            <v>1.5165883202232455</v>
          </cell>
          <cell r="H935">
            <v>2.1885930646609815</v>
          </cell>
          <cell r="I935">
            <v>3.9831432673161147</v>
          </cell>
          <cell r="J935">
            <v>6.2006623687031688</v>
          </cell>
          <cell r="K935">
            <v>10.818001980145663</v>
          </cell>
          <cell r="L935">
            <v>13.02849270757833</v>
          </cell>
          <cell r="M935">
            <v>16.777983932259815</v>
          </cell>
          <cell r="N935">
            <v>17.361063357223262</v>
          </cell>
          <cell r="O935">
            <v>17.361337277813949</v>
          </cell>
        </row>
        <row r="936">
          <cell r="A936" t="str">
            <v>SCOM-SHBIOBR</v>
          </cell>
          <cell r="B936" t="str">
            <v>VAR_ncap</v>
          </cell>
          <cell r="C936" t="str">
            <v>-</v>
          </cell>
          <cell r="D936">
            <v>7.3644356202388898E-7</v>
          </cell>
          <cell r="E936">
            <v>3.6869285285111301E-6</v>
          </cell>
          <cell r="F936">
            <v>2.0072527948228801E-6</v>
          </cell>
          <cell r="G936">
            <v>1.1315600055614401E-6</v>
          </cell>
          <cell r="H936">
            <v>0.122682352199491</v>
          </cell>
          <cell r="I936">
            <v>0.22072033647393799</v>
          </cell>
          <cell r="J936">
            <v>7.6688429481072198E-2</v>
          </cell>
          <cell r="K936">
            <v>0.52977164426501</v>
          </cell>
          <cell r="L936">
            <v>0.27830960454460402</v>
          </cell>
          <cell r="M936">
            <v>0.38212991295316201</v>
          </cell>
          <cell r="N936">
            <v>0.59230358069945499</v>
          </cell>
          <cell r="O936">
            <v>0.29287496403752999</v>
          </cell>
        </row>
        <row r="937">
          <cell r="A937" t="str">
            <v>SCOM-SHBIOBR</v>
          </cell>
          <cell r="B937" t="str">
            <v>VAR_cap</v>
          </cell>
          <cell r="C937" t="str">
            <v>-</v>
          </cell>
          <cell r="D937">
            <v>0.10534166191223802</v>
          </cell>
          <cell r="E937">
            <v>0.10534503431243607</v>
          </cell>
          <cell r="F937">
            <v>0.10534636045113362</v>
          </cell>
          <cell r="G937">
            <v>0.10534391463954965</v>
          </cell>
          <cell r="H937">
            <v>0.1500024971390885</v>
          </cell>
          <cell r="I937">
            <v>0.34340287917075463</v>
          </cell>
          <cell r="J937">
            <v>0.42008967040732276</v>
          </cell>
          <cell r="K937">
            <v>0.82717793863714206</v>
          </cell>
          <cell r="L937">
            <v>0.90852063839654451</v>
          </cell>
          <cell r="M937">
            <v>1.1902085096550115</v>
          </cell>
          <cell r="N937">
            <v>1.2583453167665175</v>
          </cell>
          <cell r="O937">
            <v>1.2673055340400172</v>
          </cell>
        </row>
        <row r="938">
          <cell r="A938" t="str">
            <v>RHES-SHDEM</v>
          </cell>
          <cell r="B938" t="str">
            <v>VAR_fout</v>
          </cell>
          <cell r="C938" t="str">
            <v>RHES-SHD</v>
          </cell>
          <cell r="D938">
            <v>62.024837503894084</v>
          </cell>
          <cell r="E938">
            <v>67.866381410603879</v>
          </cell>
          <cell r="F938">
            <v>67.456507908702321</v>
          </cell>
          <cell r="G938">
            <v>65.34780028529029</v>
          </cell>
          <cell r="H938">
            <v>63.380042938307113</v>
          </cell>
          <cell r="I938">
            <v>61.449396495974291</v>
          </cell>
          <cell r="J938">
            <v>58.734506295310204</v>
          </cell>
          <cell r="K938">
            <v>56.922019181367041</v>
          </cell>
          <cell r="L938">
            <v>53.95611854754641</v>
          </cell>
          <cell r="M938">
            <v>51.589362118406228</v>
          </cell>
          <cell r="N938">
            <v>51.60538614764009</v>
          </cell>
          <cell r="O938">
            <v>45.506498024766202</v>
          </cell>
        </row>
        <row r="939">
          <cell r="A939" t="str">
            <v>RHES-SHDEM</v>
          </cell>
          <cell r="B939" t="str">
            <v>VAR_fin</v>
          </cell>
          <cell r="C939" t="str">
            <v>RHES-SHPLT</v>
          </cell>
          <cell r="D939">
            <v>1.2850440163821699</v>
          </cell>
          <cell r="E939">
            <v>1.4868475000791583</v>
          </cell>
          <cell r="F939">
            <v>1.4804170001629577</v>
          </cell>
          <cell r="G939">
            <v>1.4855534413828597</v>
          </cell>
          <cell r="H939">
            <v>1.4840736682970948</v>
          </cell>
          <cell r="I939">
            <v>1.4853090170760364</v>
          </cell>
          <cell r="J939">
            <v>1.4810240054605852</v>
          </cell>
          <cell r="K939">
            <v>1.4845200126088109</v>
          </cell>
          <cell r="L939">
            <v>1.4865042930431265</v>
          </cell>
          <cell r="M939">
            <v>1.4854333738461523</v>
          </cell>
          <cell r="N939">
            <v>1.4855642314278539</v>
          </cell>
          <cell r="O939">
            <v>1.4692053333638928</v>
          </cell>
        </row>
        <row r="940">
          <cell r="A940" t="str">
            <v>RHES-SHDEM</v>
          </cell>
          <cell r="B940" t="str">
            <v>VAR_fin</v>
          </cell>
          <cell r="C940" t="str">
            <v>RHES-SHLTHC-NGA</v>
          </cell>
          <cell r="D940">
            <v>5.8758550089089256E-2</v>
          </cell>
          <cell r="E940">
            <v>2.6719780709198753E-4</v>
          </cell>
          <cell r="F940">
            <v>1.423352200010207E-2</v>
          </cell>
          <cell r="G940">
            <v>9.2801922358184512E-3</v>
          </cell>
          <cell r="H940">
            <v>1.0287692636414532E-2</v>
          </cell>
          <cell r="I940">
            <v>5.7924553911519227E-3</v>
          </cell>
          <cell r="K940">
            <v>9.8299856411334253E-4</v>
          </cell>
          <cell r="L940">
            <v>4.2716357541667787E-3</v>
          </cell>
          <cell r="M940">
            <v>5.3546105609875057E-3</v>
          </cell>
          <cell r="N940">
            <v>8.29487672988285E-3</v>
          </cell>
          <cell r="O940">
            <v>2.4623516019077148E-2</v>
          </cell>
        </row>
        <row r="941">
          <cell r="A941" t="str">
            <v>RHES-SHDEM</v>
          </cell>
          <cell r="B941" t="str">
            <v>VAR_fin</v>
          </cell>
          <cell r="C941" t="str">
            <v>RHES-SHSOL</v>
          </cell>
          <cell r="D941">
            <v>0.36979688541809297</v>
          </cell>
          <cell r="E941">
            <v>0.43547535073828308</v>
          </cell>
          <cell r="F941">
            <v>0.4348481826221775</v>
          </cell>
          <cell r="G941">
            <v>0.34723814713303508</v>
          </cell>
          <cell r="H941">
            <v>0.35713935694850907</v>
          </cell>
          <cell r="I941">
            <v>0.3712432493680432</v>
          </cell>
          <cell r="J941">
            <v>0.38051839852250063</v>
          </cell>
          <cell r="K941">
            <v>0.95372641125457502</v>
          </cell>
          <cell r="L941">
            <v>0.92220081283744293</v>
          </cell>
          <cell r="M941">
            <v>0.84660788039151569</v>
          </cell>
          <cell r="N941">
            <v>0.89670950458562337</v>
          </cell>
          <cell r="O941">
            <v>0.86933999770275283</v>
          </cell>
        </row>
        <row r="942">
          <cell r="A942" t="str">
            <v>RHES-SHDEM</v>
          </cell>
          <cell r="B942" t="str">
            <v>VAR_fin</v>
          </cell>
          <cell r="C942" t="str">
            <v>RHES-SHLTHC-WOD</v>
          </cell>
          <cell r="D942">
            <v>8.7205016808880355E-3</v>
          </cell>
          <cell r="E942">
            <v>1.2764181249121072E-5</v>
          </cell>
          <cell r="G942">
            <v>1.6986547447905495E-3</v>
          </cell>
          <cell r="H942">
            <v>4.3625232055358549E-3</v>
          </cell>
          <cell r="I942">
            <v>7.0340350108927183E-3</v>
          </cell>
          <cell r="J942">
            <v>3.7229055228428877E-2</v>
          </cell>
          <cell r="K942">
            <v>1.2709387528816346E-2</v>
          </cell>
          <cell r="L942">
            <v>5.010758576782251E-3</v>
          </cell>
          <cell r="M942">
            <v>5.0732495867530656E-3</v>
          </cell>
          <cell r="N942">
            <v>6.8462593873148672E-3</v>
          </cell>
          <cell r="O942">
            <v>2.3156475644942116E-2</v>
          </cell>
        </row>
        <row r="943">
          <cell r="A943" t="str">
            <v>RHES-SHDEM</v>
          </cell>
          <cell r="B943" t="str">
            <v>VAR_fin</v>
          </cell>
          <cell r="C943" t="str">
            <v>RHES-SHNGA</v>
          </cell>
          <cell r="D943">
            <v>17.531727365504437</v>
          </cell>
          <cell r="E943">
            <v>20.474611008534296</v>
          </cell>
          <cell r="F943">
            <v>18.585120667224444</v>
          </cell>
          <cell r="G943">
            <v>18.590650824994334</v>
          </cell>
          <cell r="H943">
            <v>18.276950680330966</v>
          </cell>
          <cell r="I943">
            <v>16.016053618632437</v>
          </cell>
          <cell r="J943">
            <v>10.332918895624358</v>
          </cell>
          <cell r="K943">
            <v>5.0995825115985198</v>
          </cell>
          <cell r="L943">
            <v>1.7663264599552304</v>
          </cell>
          <cell r="M943">
            <v>0.5840035245404277</v>
          </cell>
          <cell r="N943">
            <v>0.58410314179854061</v>
          </cell>
          <cell r="O943">
            <v>0.25441880663241118</v>
          </cell>
        </row>
        <row r="944">
          <cell r="A944" t="str">
            <v>RHES-SHDEM</v>
          </cell>
          <cell r="B944" t="str">
            <v>VAR_fin</v>
          </cell>
          <cell r="C944" t="str">
            <v>RHES-SHNGAH</v>
          </cell>
          <cell r="D944">
            <v>5.6070500572759762E-3</v>
          </cell>
          <cell r="E944">
            <v>2.0613773685584265E-5</v>
          </cell>
          <cell r="F944">
            <v>8.7322918404181289E-3</v>
          </cell>
          <cell r="G944">
            <v>2.8158053761570454E-3</v>
          </cell>
          <cell r="H944">
            <v>4.1330222251758899</v>
          </cell>
          <cell r="I944">
            <v>6.9571179932468086</v>
          </cell>
          <cell r="J944">
            <v>6.926165969371624</v>
          </cell>
          <cell r="K944">
            <v>2.8214506668578734</v>
          </cell>
          <cell r="L944">
            <v>0.37385389709392181</v>
          </cell>
          <cell r="M944">
            <v>3.9704407369446845E-3</v>
          </cell>
          <cell r="N944">
            <v>4.1223298445611147E-3</v>
          </cell>
          <cell r="O944">
            <v>2.1328923684258941E-2</v>
          </cell>
        </row>
        <row r="945">
          <cell r="A945" t="str">
            <v>RHES-SHDEM</v>
          </cell>
          <cell r="B945" t="str">
            <v>VAR_fin</v>
          </cell>
          <cell r="C945" t="str">
            <v>RHES-SHCOA</v>
          </cell>
          <cell r="D945">
            <v>9.6121056025815804E-2</v>
          </cell>
          <cell r="E945">
            <v>7.1969560705348448E-2</v>
          </cell>
          <cell r="F945">
            <v>8.0561816199994016E-3</v>
          </cell>
          <cell r="G945">
            <v>1.8780168409601309E-3</v>
          </cell>
          <cell r="H945">
            <v>4.0236525967258961E-3</v>
          </cell>
          <cell r="I945">
            <v>7.9822449795252225E-4</v>
          </cell>
          <cell r="K945">
            <v>1.0191130065603908E-3</v>
          </cell>
          <cell r="L945">
            <v>6.2467542010956147E-5</v>
          </cell>
          <cell r="M945">
            <v>2.1439914040366343E-4</v>
          </cell>
          <cell r="O945">
            <v>3.9298801382129499E-3</v>
          </cell>
        </row>
        <row r="946">
          <cell r="A946" t="str">
            <v>RHES-SHDEM</v>
          </cell>
          <cell r="B946" t="str">
            <v>VAR_fin</v>
          </cell>
          <cell r="C946" t="str">
            <v>RHES-SHLFO</v>
          </cell>
          <cell r="D946">
            <v>21.62913489820377</v>
          </cell>
          <cell r="E946">
            <v>19.946160579477986</v>
          </cell>
          <cell r="F946">
            <v>21.476084197795828</v>
          </cell>
          <cell r="G946">
            <v>19.763561067982096</v>
          </cell>
          <cell r="H946">
            <v>8.1914731313769238</v>
          </cell>
          <cell r="I946">
            <v>2.6290777808686641</v>
          </cell>
          <cell r="J946">
            <v>2.6150104699026118</v>
          </cell>
          <cell r="K946">
            <v>2.6282606577813725</v>
          </cell>
          <cell r="L946">
            <v>2.6304067677069032</v>
          </cell>
          <cell r="M946">
            <v>1.7988526117511188</v>
          </cell>
          <cell r="N946">
            <v>1.7989661059941457</v>
          </cell>
          <cell r="O946">
            <v>0.59488588252273422</v>
          </cell>
        </row>
        <row r="947">
          <cell r="A947" t="str">
            <v>RHES-SHDEM</v>
          </cell>
          <cell r="B947" t="str">
            <v>VAR_fin</v>
          </cell>
          <cell r="C947" t="str">
            <v>RHES-SHCON</v>
          </cell>
          <cell r="D947">
            <v>1.4198947301394043</v>
          </cell>
          <cell r="E947">
            <v>3.5002747838272921</v>
          </cell>
          <cell r="F947">
            <v>3.4996724241759019</v>
          </cell>
          <cell r="G947">
            <v>5.7028472517562516</v>
          </cell>
          <cell r="H947">
            <v>7.5235542248318135</v>
          </cell>
          <cell r="I947">
            <v>11.084314945990585</v>
          </cell>
          <cell r="J947">
            <v>11.084235362840898</v>
          </cell>
          <cell r="K947">
            <v>11.084424508777234</v>
          </cell>
          <cell r="L947">
            <v>11.083740168378505</v>
          </cell>
          <cell r="M947">
            <v>11.083860454674531</v>
          </cell>
          <cell r="N947">
            <v>11.084152786941162</v>
          </cell>
          <cell r="O947">
            <v>7.750464006540791</v>
          </cell>
        </row>
        <row r="948">
          <cell r="A948" t="str">
            <v>RHES-SHDEM</v>
          </cell>
          <cell r="B948" t="str">
            <v>VAR_fin</v>
          </cell>
          <cell r="C948" t="str">
            <v>RHES-SHWOD</v>
          </cell>
          <cell r="D948">
            <v>4.3602709343570867</v>
          </cell>
          <cell r="E948">
            <v>4.3870067073799772</v>
          </cell>
          <cell r="F948">
            <v>4.3314246675679531</v>
          </cell>
          <cell r="G948">
            <v>4.3079994305829468</v>
          </cell>
          <cell r="H948">
            <v>3.657286898999617</v>
          </cell>
          <cell r="I948">
            <v>2.7885750713968447</v>
          </cell>
          <cell r="J948">
            <v>2.4118061081547846</v>
          </cell>
          <cell r="K948">
            <v>2.1444982461432751</v>
          </cell>
          <cell r="L948">
            <v>1.9114886698781648</v>
          </cell>
          <cell r="M948">
            <v>1.8677256054809406</v>
          </cell>
          <cell r="N948">
            <v>1.8260266095886735</v>
          </cell>
          <cell r="O948">
            <v>1.4885573465956063</v>
          </cell>
        </row>
        <row r="949">
          <cell r="A949" t="str">
            <v>RHES-SHDEM</v>
          </cell>
          <cell r="B949" t="str">
            <v>VAR_fin</v>
          </cell>
          <cell r="C949" t="str">
            <v>RHES-SHLTHD</v>
          </cell>
          <cell r="D949">
            <v>1.8768059395552283</v>
          </cell>
          <cell r="E949">
            <v>3.5037561976396221</v>
          </cell>
          <cell r="F949">
            <v>3.4846712980804688</v>
          </cell>
          <cell r="G949">
            <v>1.7369018971338519</v>
          </cell>
          <cell r="H949">
            <v>1.7953788058767095</v>
          </cell>
          <cell r="I949">
            <v>2.6422240016066953</v>
          </cell>
          <cell r="J949">
            <v>1.7721639369519147</v>
          </cell>
          <cell r="K949">
            <v>2.5510735840090368</v>
          </cell>
          <cell r="L949">
            <v>2.387945719176142</v>
          </cell>
          <cell r="M949">
            <v>2.2549775657165125</v>
          </cell>
          <cell r="N949">
            <v>2.2559989846644122</v>
          </cell>
          <cell r="O949">
            <v>2.0838467618068703</v>
          </cell>
        </row>
        <row r="950">
          <cell r="A950" t="str">
            <v>RHES-SHDEM</v>
          </cell>
          <cell r="B950" t="str">
            <v>VAR_fin</v>
          </cell>
          <cell r="C950" t="str">
            <v>RHES-SHELCB</v>
          </cell>
          <cell r="D950">
            <v>4.253403522920836</v>
          </cell>
          <cell r="E950">
            <v>3.7842983202808291</v>
          </cell>
          <cell r="F950">
            <v>3.8607941975782798</v>
          </cell>
          <cell r="G950">
            <v>2.7583114009213152</v>
          </cell>
          <cell r="H950">
            <v>1.2363755456303314</v>
          </cell>
          <cell r="I950">
            <v>0.75593898724937025</v>
          </cell>
          <cell r="J950">
            <v>0.50144579519308552</v>
          </cell>
          <cell r="K950">
            <v>0.93250095092341689</v>
          </cell>
          <cell r="L950">
            <v>1.7252683360662955</v>
          </cell>
          <cell r="M950">
            <v>1.6238002637305327</v>
          </cell>
          <cell r="N950">
            <v>1.6246452074198463</v>
          </cell>
          <cell r="O950">
            <v>0.92509238930688864</v>
          </cell>
        </row>
        <row r="951">
          <cell r="A951" t="str">
            <v>RHES-SHDEM</v>
          </cell>
          <cell r="B951" t="str">
            <v>VAR_fin</v>
          </cell>
          <cell r="C951" t="str">
            <v>RHES-SHELCH</v>
          </cell>
          <cell r="D951">
            <v>9.1234396673456182</v>
          </cell>
          <cell r="E951">
            <v>10.275869367280889</v>
          </cell>
          <cell r="F951">
            <v>10.268640195453193</v>
          </cell>
          <cell r="G951">
            <v>10.638238012253495</v>
          </cell>
          <cell r="H951">
            <v>16.704072909054194</v>
          </cell>
          <cell r="I951">
            <v>16.705209910195066</v>
          </cell>
          <cell r="J951">
            <v>21.173534855293621</v>
          </cell>
          <cell r="K951">
            <v>27.206487378665667</v>
          </cell>
          <cell r="L951">
            <v>29.658744611137536</v>
          </cell>
          <cell r="M951">
            <v>30.028723790432871</v>
          </cell>
          <cell r="N951">
            <v>30.028937389262651</v>
          </cell>
          <cell r="O951">
            <v>29.990543714286684</v>
          </cell>
        </row>
        <row r="952">
          <cell r="A952" t="str">
            <v>RHES-SHDEM</v>
          </cell>
          <cell r="B952" t="str">
            <v>VAR_fin</v>
          </cell>
          <cell r="C952" t="str">
            <v>RHES-SHNST</v>
          </cell>
          <cell r="D952">
            <v>6.2710616769698999E-3</v>
          </cell>
          <cell r="E952">
            <v>1.6423714341118814E-5</v>
          </cell>
          <cell r="F952">
            <v>4.0539928042129898E-3</v>
          </cell>
          <cell r="G952">
            <v>9.5525221686732561E-4</v>
          </cell>
          <cell r="H952">
            <v>2.2261528723321366E-3</v>
          </cell>
          <cell r="I952">
            <v>8.8329234351821673E-4</v>
          </cell>
          <cell r="J952">
            <v>1.8670253464293247E-2</v>
          </cell>
          <cell r="K952">
            <v>1.0141044011058985E-3</v>
          </cell>
          <cell r="L952">
            <v>4.2909165266211092E-4</v>
          </cell>
          <cell r="M952">
            <v>1.0364751581906553E-3</v>
          </cell>
          <cell r="N952">
            <v>1.1472364696381028E-3</v>
          </cell>
          <cell r="O952">
            <v>7.3990393134384996E-3</v>
          </cell>
        </row>
        <row r="953">
          <cell r="A953" t="str">
            <v>D-RHEM_LTH_CHPNGA</v>
          </cell>
          <cell r="B953" t="str">
            <v>VAR_fout</v>
          </cell>
          <cell r="C953" t="str">
            <v>RHSA_LTH</v>
          </cell>
          <cell r="D953">
            <v>8.0062486878262732E-4</v>
          </cell>
          <cell r="E953">
            <v>6.2156132277810716E-4</v>
          </cell>
          <cell r="F953">
            <v>4.5697477938458127E-3</v>
          </cell>
          <cell r="G953">
            <v>4.1512427152206146E-4</v>
          </cell>
          <cell r="H953">
            <v>1.8360071001395561E-4</v>
          </cell>
          <cell r="I953">
            <v>3.4521441329274052E-4</v>
          </cell>
          <cell r="J953">
            <v>8.1860685744096912E-6</v>
          </cell>
          <cell r="K953">
            <v>8.1980201486209971E-6</v>
          </cell>
          <cell r="L953">
            <v>4.1868260339994205E-5</v>
          </cell>
          <cell r="M953">
            <v>3.534922893622372E-4</v>
          </cell>
          <cell r="N953">
            <v>6.4418736059491087E-5</v>
          </cell>
          <cell r="O953">
            <v>1.3061444599984329E-4</v>
          </cell>
        </row>
        <row r="954">
          <cell r="A954" t="str">
            <v>D-RHEM_LTH_CHPNGA</v>
          </cell>
          <cell r="B954" t="str">
            <v>VAR_fout</v>
          </cell>
          <cell r="C954" t="str">
            <v>RHEM_LTH_CHPNGA_ON</v>
          </cell>
          <cell r="D954">
            <v>4.5460995652789132E-2</v>
          </cell>
          <cell r="E954">
            <v>5.8833564420465688E-2</v>
          </cell>
          <cell r="F954">
            <v>0.23233312467171383</v>
          </cell>
          <cell r="G954">
            <v>0.22864012493770289</v>
          </cell>
          <cell r="H954">
            <v>0.22602907564499294</v>
          </cell>
          <cell r="I954">
            <v>9.2118231741728687E-2</v>
          </cell>
          <cell r="J954">
            <v>3.4295345569963847E-6</v>
          </cell>
          <cell r="K954">
            <v>6.0271913370494793E-6</v>
          </cell>
          <cell r="L954">
            <v>3.221139274834554E-3</v>
          </cell>
          <cell r="M954">
            <v>5.9726220470758011E-3</v>
          </cell>
          <cell r="N954">
            <v>6.4841439524176165E-3</v>
          </cell>
          <cell r="O954">
            <v>1.7271544855684121E-2</v>
          </cell>
        </row>
        <row r="955">
          <cell r="A955" t="str">
            <v>D-RHEM_LTH_CHPNGA</v>
          </cell>
          <cell r="B955" t="str">
            <v>VAR_fout</v>
          </cell>
          <cell r="C955" t="str">
            <v>LTH</v>
          </cell>
          <cell r="E955">
            <v>3.8875118792323793E-6</v>
          </cell>
          <cell r="F955">
            <v>7.2185518734265179E-5</v>
          </cell>
          <cell r="G955">
            <v>2.4212424915912763E-4</v>
          </cell>
          <cell r="H955">
            <v>3.4722603075894971E-4</v>
          </cell>
          <cell r="I955">
            <v>1.7245350396419859E-4</v>
          </cell>
          <cell r="J955">
            <v>6.6296578146964016E-6</v>
          </cell>
          <cell r="K955">
            <v>8.881301119680682E-6</v>
          </cell>
          <cell r="L955">
            <v>6.2661306017576324E-6</v>
          </cell>
          <cell r="M955">
            <v>1.5264918086267008E-5</v>
          </cell>
          <cell r="N955">
            <v>1.642214993190633E-5</v>
          </cell>
          <cell r="O955">
            <v>4.5656369816645119E-5</v>
          </cell>
        </row>
        <row r="956">
          <cell r="A956" t="str">
            <v>D-RHEM_LTH_CHPNGA</v>
          </cell>
          <cell r="B956" t="str">
            <v>VAR_fin</v>
          </cell>
          <cell r="C956" t="str">
            <v>RHEM_LTH_CHPNGA</v>
          </cell>
          <cell r="D956">
            <v>4.6261620521571789E-2</v>
          </cell>
          <cell r="E956">
            <v>5.9459430049252388E-2</v>
          </cell>
          <cell r="F956">
            <v>0.23697505798429383</v>
          </cell>
          <cell r="G956">
            <v>0.22929744791900145</v>
          </cell>
          <cell r="H956">
            <v>0.22655996053108077</v>
          </cell>
          <cell r="I956">
            <v>9.2635899658985568E-2</v>
          </cell>
          <cell r="J956">
            <v>1.8245260946102483E-5</v>
          </cell>
          <cell r="K956">
            <v>2.3106512605351143E-5</v>
          </cell>
          <cell r="L956">
            <v>3.2697993978396218E-3</v>
          </cell>
          <cell r="M956">
            <v>6.3413983919658771E-3</v>
          </cell>
          <cell r="N956">
            <v>6.5650035178632955E-3</v>
          </cell>
          <cell r="O956">
            <v>1.7447815671500604E-2</v>
          </cell>
        </row>
        <row r="957">
          <cell r="A957" t="str">
            <v>RHEM-SHLTHCHPNGA</v>
          </cell>
          <cell r="B957" t="str">
            <v>VAR_fout</v>
          </cell>
          <cell r="C957" t="str">
            <v>RHEM-SHLTHC-NGA</v>
          </cell>
          <cell r="D957">
            <v>4.3714537909348365E-2</v>
          </cell>
          <cell r="E957">
            <v>2.0219794697037404E-4</v>
          </cell>
          <cell r="F957">
            <v>0.22082053900035034</v>
          </cell>
          <cell r="G957">
            <v>0.22630040298089668</v>
          </cell>
          <cell r="H957">
            <v>0.22366937022975439</v>
          </cell>
          <cell r="I957">
            <v>9.0724658811217149E-2</v>
          </cell>
          <cell r="L957">
            <v>3.0324977999301693E-3</v>
          </cell>
          <cell r="M957">
            <v>5.891880374549365E-3</v>
          </cell>
          <cell r="N957">
            <v>6.210778319532719E-3</v>
          </cell>
          <cell r="O957">
            <v>1.6708422258667487E-2</v>
          </cell>
        </row>
        <row r="958">
          <cell r="A958" t="str">
            <v>RHEM-SHLTHCHPNGA</v>
          </cell>
          <cell r="B958" t="str">
            <v>VAR_fin</v>
          </cell>
          <cell r="C958" t="str">
            <v>RHEM_LTH_CHPNGA_ON</v>
          </cell>
          <cell r="D958">
            <v>4.4156098898331629E-2</v>
          </cell>
          <cell r="E958">
            <v>2.0424035047512533E-4</v>
          </cell>
          <cell r="F958">
            <v>0.22305104949530338</v>
          </cell>
          <cell r="G958">
            <v>0.22858626563726955</v>
          </cell>
          <cell r="H958">
            <v>0.2259286567977318</v>
          </cell>
          <cell r="I958">
            <v>9.1641069506279912E-2</v>
          </cell>
          <cell r="L958">
            <v>3.0631290908385528E-3</v>
          </cell>
          <cell r="M958">
            <v>5.9513943177266319E-3</v>
          </cell>
          <cell r="N958">
            <v>6.2735134540734512E-3</v>
          </cell>
          <cell r="O958">
            <v>1.6877194200674239E-2</v>
          </cell>
        </row>
        <row r="959">
          <cell r="A959" t="str">
            <v>RHEM-SHLTHCHPNGA</v>
          </cell>
          <cell r="B959" t="str">
            <v>VAR_fin</v>
          </cell>
          <cell r="C959" t="str">
            <v>RHEMLTHCHPC</v>
          </cell>
          <cell r="D959">
            <v>4.3714537909348365E-2</v>
          </cell>
          <cell r="E959">
            <v>2.0219794697037404E-4</v>
          </cell>
          <cell r="F959">
            <v>0.22082053900035034</v>
          </cell>
          <cell r="G959">
            <v>0.22630040298089668</v>
          </cell>
          <cell r="H959">
            <v>0.22366937022975439</v>
          </cell>
          <cell r="I959">
            <v>9.0724658811217149E-2</v>
          </cell>
          <cell r="L959">
            <v>3.0324977999301693E-3</v>
          </cell>
          <cell r="M959">
            <v>5.891880374549365E-3</v>
          </cell>
          <cell r="N959">
            <v>6.210778319532719E-3</v>
          </cell>
          <cell r="O959">
            <v>1.6708422258667487E-2</v>
          </cell>
        </row>
        <row r="960">
          <cell r="A960" t="str">
            <v>RHEM-SHLTHCHPNGA</v>
          </cell>
          <cell r="B960" t="str">
            <v>VAR_ncap</v>
          </cell>
          <cell r="C960" t="str">
            <v>-</v>
          </cell>
          <cell r="D960">
            <v>2.2393250761829301E-7</v>
          </cell>
          <cell r="E960">
            <v>1.5972624334821901E-5</v>
          </cell>
          <cell r="F960">
            <v>1.7694925907917901E-2</v>
          </cell>
          <cell r="G960">
            <v>1.04348788408957E-2</v>
          </cell>
          <cell r="H960">
            <v>8.7688757180701404E-3</v>
          </cell>
          <cell r="I960">
            <v>4.2834036207540296E-3</v>
          </cell>
          <cell r="J960">
            <v>2.0662750983668301E-7</v>
          </cell>
          <cell r="K960">
            <v>2.66587994040994E-7</v>
          </cell>
          <cell r="L960">
            <v>3.5022180693426898E-4</v>
          </cell>
          <cell r="M960">
            <v>5.1832348630837205E-4</v>
          </cell>
          <cell r="N960">
            <v>4.3612816713097901E-4</v>
          </cell>
          <cell r="O960">
            <v>1.2780948630837399E-3</v>
          </cell>
        </row>
        <row r="961">
          <cell r="A961" t="str">
            <v>RHEM-SHLTHCHPNGA</v>
          </cell>
          <cell r="B961" t="str">
            <v>VAR_cap</v>
          </cell>
          <cell r="C961" t="str">
            <v>-</v>
          </cell>
          <cell r="D961">
            <v>6.7984249310563483E-3</v>
          </cell>
          <cell r="E961">
            <v>2.4548498283229886E-5</v>
          </cell>
          <cell r="F961">
            <v>1.7711919889317689E-2</v>
          </cell>
          <cell r="G961">
            <v>1.7270113078529728E-2</v>
          </cell>
          <cell r="H961">
            <v>1.7053041508774978E-2</v>
          </cell>
          <cell r="I961">
            <v>6.987773102979801E-3</v>
          </cell>
          <cell r="J961">
            <v>-9.1609384000532201E-8</v>
          </cell>
          <cell r="K961">
            <v>-1.374140762002915E-7</v>
          </cell>
          <cell r="L961">
            <v>3.5029147658100206E-4</v>
          </cell>
          <cell r="M961">
            <v>6.5426035115083393E-4</v>
          </cell>
          <cell r="N961">
            <v>6.5731273674353994E-4</v>
          </cell>
          <cell r="O961">
            <v>1.557150005511986E-3</v>
          </cell>
        </row>
        <row r="962">
          <cell r="A962" t="str">
            <v>D-RHES_SOLELC</v>
          </cell>
          <cell r="B962" t="str">
            <v>VAR_fout</v>
          </cell>
          <cell r="C962" t="str">
            <v>RHES_ELC</v>
          </cell>
          <cell r="D962">
            <v>1.7129417268821798</v>
          </cell>
          <cell r="E962">
            <v>1.5172776029787967</v>
          </cell>
          <cell r="F962">
            <v>1.8191052512608843</v>
          </cell>
          <cell r="G962">
            <v>3.9918831144134841</v>
          </cell>
          <cell r="H962">
            <v>6.7024031266616184</v>
          </cell>
          <cell r="I962">
            <v>8.0369763627504156</v>
          </cell>
          <cell r="J962">
            <v>8.5220317501786873</v>
          </cell>
          <cell r="K962">
            <v>10.084230329847633</v>
          </cell>
          <cell r="L962">
            <v>11.067863030991303</v>
          </cell>
          <cell r="M962">
            <v>11.794078900639143</v>
          </cell>
          <cell r="N962">
            <v>12.21651645590112</v>
          </cell>
          <cell r="O962">
            <v>12.607041932870063</v>
          </cell>
        </row>
        <row r="963">
          <cell r="A963" t="str">
            <v>D-RHES_SOLELC</v>
          </cell>
          <cell r="B963" t="str">
            <v>VAR_fout</v>
          </cell>
          <cell r="C963" t="str">
            <v>ELC5</v>
          </cell>
          <cell r="D963">
            <v>0.42199736185248282</v>
          </cell>
          <cell r="E963">
            <v>1.8733880486590084</v>
          </cell>
          <cell r="F963">
            <v>2.4980600498250229</v>
          </cell>
          <cell r="G963">
            <v>14.924028188959291</v>
          </cell>
          <cell r="H963">
            <v>13.177253495504498</v>
          </cell>
          <cell r="I963">
            <v>12.857843458254893</v>
          </cell>
          <cell r="J963">
            <v>13.438501252283885</v>
          </cell>
          <cell r="K963">
            <v>12.631838798805676</v>
          </cell>
          <cell r="L963">
            <v>12.815819013927953</v>
          </cell>
          <cell r="M963">
            <v>13.278101826729984</v>
          </cell>
          <cell r="N963">
            <v>14.085200259633247</v>
          </cell>
          <cell r="O963">
            <v>14.986631382695473</v>
          </cell>
        </row>
        <row r="964">
          <cell r="A964" t="str">
            <v>D-RHES_SOLELC</v>
          </cell>
          <cell r="B964" t="str">
            <v>VAR_fin</v>
          </cell>
          <cell r="C964" t="str">
            <v>RHES_SOL_ELC</v>
          </cell>
          <cell r="D964">
            <v>2.1349390887346629</v>
          </cell>
          <cell r="E964">
            <v>3.3906651796428697</v>
          </cell>
          <cell r="F964">
            <v>4.317165301085911</v>
          </cell>
          <cell r="G964">
            <v>18.915911303372759</v>
          </cell>
          <cell r="H964">
            <v>19.879656622166102</v>
          </cell>
          <cell r="I964">
            <v>20.894819821005303</v>
          </cell>
          <cell r="J964">
            <v>21.960533002462565</v>
          </cell>
          <cell r="K964">
            <v>22.71606912865332</v>
          </cell>
          <cell r="L964">
            <v>23.883682044919272</v>
          </cell>
          <cell r="M964">
            <v>25.072180727369147</v>
          </cell>
          <cell r="N964">
            <v>26.301716715534369</v>
          </cell>
          <cell r="O964">
            <v>27.593673315565525</v>
          </cell>
        </row>
        <row r="965">
          <cell r="A965" t="str">
            <v>D-DH2</v>
          </cell>
          <cell r="B965" t="str">
            <v>VAR_fout</v>
          </cell>
          <cell r="C965" t="str">
            <v>H2</v>
          </cell>
          <cell r="G965">
            <v>3.3347136042142132E-6</v>
          </cell>
          <cell r="H965">
            <v>3.5643174988652743E-4</v>
          </cell>
          <cell r="I965">
            <v>1.1220372438463994E-3</v>
          </cell>
          <cell r="J965">
            <v>1.2802992971250185E-3</v>
          </cell>
          <cell r="K965">
            <v>1.3204219047707572E-3</v>
          </cell>
          <cell r="L965">
            <v>1.3212598046718081E-3</v>
          </cell>
          <cell r="M965">
            <v>1.3239880257425395E-3</v>
          </cell>
          <cell r="N965">
            <v>9.0452280709676046E-4</v>
          </cell>
          <cell r="O965">
            <v>1.1699586555942447E-3</v>
          </cell>
        </row>
        <row r="966">
          <cell r="A966" t="str">
            <v>D-DH2</v>
          </cell>
          <cell r="B966" t="str">
            <v>VAR_fin</v>
          </cell>
          <cell r="C966" t="str">
            <v>H2_E</v>
          </cell>
          <cell r="G966">
            <v>3.368397580014358E-6</v>
          </cell>
          <cell r="H966">
            <v>3.6003207059245206E-4</v>
          </cell>
          <cell r="I966">
            <v>1.1333709533802023E-3</v>
          </cell>
          <cell r="J966">
            <v>1.2932316132575955E-3</v>
          </cell>
          <cell r="K966">
            <v>1.3337594997684422E-3</v>
          </cell>
          <cell r="L966">
            <v>1.3346058633048558E-3</v>
          </cell>
          <cell r="M966">
            <v>1.3373616421641801E-3</v>
          </cell>
          <cell r="N966">
            <v>9.1365940110783948E-4</v>
          </cell>
          <cell r="O966">
            <v>1.1817764197921646E-3</v>
          </cell>
        </row>
        <row r="967">
          <cell r="A967" t="str">
            <v>D-DH2</v>
          </cell>
          <cell r="B967" t="str">
            <v>VAR_ncap</v>
          </cell>
          <cell r="C967" t="str">
            <v>-</v>
          </cell>
          <cell r="G967">
            <v>2.4657676018387199E-5</v>
          </cell>
          <cell r="H967">
            <v>5.5198480375375297E-5</v>
          </cell>
          <cell r="I967">
            <v>1.7669635903633401E-4</v>
          </cell>
          <cell r="J967">
            <v>2.2196788763899199E-5</v>
          </cell>
          <cell r="K967">
            <v>1.1050312470418601E-4</v>
          </cell>
          <cell r="L967">
            <v>5.1883953779932501E-6</v>
          </cell>
          <cell r="M967">
            <v>7.7130944575780794E-5</v>
          </cell>
          <cell r="N967">
            <v>1.23174606231618E-5</v>
          </cell>
          <cell r="O967">
            <v>3.9958967751698999E-4</v>
          </cell>
        </row>
        <row r="968">
          <cell r="A968" t="str">
            <v>D-DH2</v>
          </cell>
          <cell r="B968" t="str">
            <v>VAR_cap</v>
          </cell>
          <cell r="C968" t="str">
            <v>-</v>
          </cell>
          <cell r="G968">
            <v>2.4657676018387199E-5</v>
          </cell>
          <cell r="H968">
            <v>7.9856156393762499E-5</v>
          </cell>
          <cell r="I968">
            <v>2.5655251543009602E-4</v>
          </cell>
          <cell r="J968">
            <v>2.7874930419399498E-4</v>
          </cell>
          <cell r="K968">
            <v>3.8925242889818198E-4</v>
          </cell>
          <cell r="L968">
            <v>3.9444082427617501E-4</v>
          </cell>
          <cell r="M968">
            <v>4.7157176885195601E-4</v>
          </cell>
          <cell r="N968">
            <v>4.7607240860521701E-4</v>
          </cell>
          <cell r="O968">
            <v>8.5882123097372101E-4</v>
          </cell>
        </row>
        <row r="969">
          <cell r="A969" t="str">
            <v>ITOT-SWHHFOBR</v>
          </cell>
          <cell r="B969" t="str">
            <v>VAR_fout</v>
          </cell>
          <cell r="C969" t="str">
            <v>ITOT-SWH</v>
          </cell>
          <cell r="D969">
            <v>1.8458221831627193</v>
          </cell>
          <cell r="E969">
            <v>1.684314748062067</v>
          </cell>
          <cell r="F969">
            <v>1.6242706201596493E-3</v>
          </cell>
          <cell r="G969">
            <v>2.3565828794039454E-4</v>
          </cell>
          <cell r="H969">
            <v>1.5798223861429811E-4</v>
          </cell>
          <cell r="I969">
            <v>8.5967062521560779E-4</v>
          </cell>
          <cell r="J969">
            <v>6.0854654816261118E-4</v>
          </cell>
        </row>
        <row r="970">
          <cell r="A970" t="str">
            <v>ITOT-SWHHFOBR</v>
          </cell>
          <cell r="B970" t="str">
            <v>VAR_fout</v>
          </cell>
          <cell r="C970" t="str">
            <v>CO2_I</v>
          </cell>
          <cell r="D970">
            <v>210.210106272552</v>
          </cell>
          <cell r="E970">
            <v>190.990701127721</v>
          </cell>
          <cell r="F970">
            <v>0.18299967115104601</v>
          </cell>
          <cell r="G970">
            <v>2.6269544945943399E-2</v>
          </cell>
          <cell r="H970">
            <v>1.7426279700314701E-2</v>
          </cell>
          <cell r="I970">
            <v>9.3843187158039104E-2</v>
          </cell>
          <cell r="J970">
            <v>6.5748430004063593E-2</v>
          </cell>
        </row>
        <row r="971">
          <cell r="A971" t="str">
            <v>ITOT-SWHHFOBR</v>
          </cell>
          <cell r="B971" t="str">
            <v>VAR_fin</v>
          </cell>
          <cell r="C971" t="str">
            <v>IHFO</v>
          </cell>
          <cell r="D971">
            <v>2.7300013801630145</v>
          </cell>
          <cell r="E971">
            <v>2.4803987159444341</v>
          </cell>
          <cell r="F971">
            <v>2.3766191058577375E-3</v>
          </cell>
          <cell r="G971">
            <v>3.4116292137588775E-4</v>
          </cell>
          <cell r="H971">
            <v>2.263153207833083E-4</v>
          </cell>
          <cell r="I971">
            <v>1.218742690364144E-3</v>
          </cell>
          <cell r="J971">
            <v>8.5387571433848835E-4</v>
          </cell>
        </row>
        <row r="972">
          <cell r="A972" t="str">
            <v>ITOT-SWHHFOBR</v>
          </cell>
          <cell r="B972" t="str">
            <v>VAR_ncap</v>
          </cell>
          <cell r="C972" t="str">
            <v>-</v>
          </cell>
          <cell r="D972">
            <v>2.1048619781651099E-4</v>
          </cell>
          <cell r="E972">
            <v>1.2283038421435E-5</v>
          </cell>
          <cell r="F972">
            <v>9.7108646752151603E-6</v>
          </cell>
          <cell r="G972">
            <v>6.4898553207552104E-6</v>
          </cell>
          <cell r="H972">
            <v>9.7426083197270998E-6</v>
          </cell>
          <cell r="I972">
            <v>7.2534344899201898E-5</v>
          </cell>
          <cell r="J972">
            <v>9.7366398494197007E-6</v>
          </cell>
          <cell r="K972">
            <v>3.8868512688791997E-6</v>
          </cell>
          <cell r="L972">
            <v>6.0183287711067803E-6</v>
          </cell>
          <cell r="M972">
            <v>5.5476053301250802E-6</v>
          </cell>
          <cell r="N972">
            <v>3.8030137995659502E-6</v>
          </cell>
          <cell r="O972">
            <v>1.8140254666899699E-6</v>
          </cell>
        </row>
        <row r="973">
          <cell r="A973" t="str">
            <v>ITOT-SWHHFOBR</v>
          </cell>
          <cell r="B973" t="str">
            <v>VAR_cap</v>
          </cell>
          <cell r="C973" t="str">
            <v>-</v>
          </cell>
          <cell r="D973">
            <v>0.10092748619781651</v>
          </cell>
          <cell r="E973">
            <v>0.10087112148647673</v>
          </cell>
          <cell r="F973">
            <v>1.5403016541616632E-4</v>
          </cell>
          <cell r="G973">
            <v>2.2379316024917495E-5</v>
          </cell>
          <cell r="H973">
            <v>1.4941946123815664E-5</v>
          </cell>
          <cell r="I973">
            <v>8.1149007684092246E-5</v>
          </cell>
          <cell r="J973">
            <v>5.7586286431400605E-5</v>
          </cell>
          <cell r="K973">
            <v>-1.4845976914255014E-6</v>
          </cell>
          <cell r="L973">
            <v>-3.1895568668409961E-7</v>
          </cell>
          <cell r="M973">
            <v>-2.0511830684566998E-6</v>
          </cell>
          <cell r="N973">
            <v>-3.3381363764810081E-7</v>
          </cell>
          <cell r="O973">
            <v>-3.0382843407261001E-6</v>
          </cell>
        </row>
        <row r="974">
          <cell r="A974" t="str">
            <v>RHSA-WHSTG-ELCHP</v>
          </cell>
          <cell r="B974" t="str">
            <v>VAR_fout</v>
          </cell>
          <cell r="C974" t="str">
            <v>RHSA-WHAELCH</v>
          </cell>
          <cell r="D974">
            <v>7.7267196717245605E-8</v>
          </cell>
          <cell r="E974">
            <v>9.2702724815117789E-8</v>
          </cell>
          <cell r="F974">
            <v>0.8417962597750569</v>
          </cell>
          <cell r="G974">
            <v>1.2626053746373247</v>
          </cell>
          <cell r="H974">
            <v>2.2264435504963971</v>
          </cell>
          <cell r="I974">
            <v>1.7146373879138821</v>
          </cell>
          <cell r="J974">
            <v>2.4178124555937459</v>
          </cell>
          <cell r="K974">
            <v>3.2737431428126897</v>
          </cell>
          <cell r="L974">
            <v>3.3483824449503898</v>
          </cell>
          <cell r="M974">
            <v>3.1394185803207524</v>
          </cell>
          <cell r="N974">
            <v>2.9107258415902453</v>
          </cell>
          <cell r="O974">
            <v>3.2520214958312263</v>
          </cell>
        </row>
        <row r="975">
          <cell r="A975" t="str">
            <v>RHSA-WHSTG-ELCHP</v>
          </cell>
          <cell r="B975" t="str">
            <v>VAR_fin</v>
          </cell>
          <cell r="C975" t="str">
            <v>RHSA-WHAELCH</v>
          </cell>
          <cell r="D975">
            <v>2.3513026269506707E-7</v>
          </cell>
          <cell r="E975">
            <v>1.167709877741493E-7</v>
          </cell>
          <cell r="F975">
            <v>0.84183193529418487</v>
          </cell>
          <cell r="G975">
            <v>1.2626476656854764</v>
          </cell>
          <cell r="H975">
            <v>2.2265162800887337</v>
          </cell>
          <cell r="I975">
            <v>1.7146932628714997</v>
          </cell>
          <cell r="J975">
            <v>2.4178923185193226</v>
          </cell>
          <cell r="K975">
            <v>3.2738500531540575</v>
          </cell>
          <cell r="L975">
            <v>3.3484928887588312</v>
          </cell>
          <cell r="M975">
            <v>3.1395249359701571</v>
          </cell>
          <cell r="N975">
            <v>2.9108301490910495</v>
          </cell>
          <cell r="O975">
            <v>3.2521406144251372</v>
          </cell>
        </row>
        <row r="976">
          <cell r="A976" t="str">
            <v>RHSA-WHSTG-ELCHP</v>
          </cell>
          <cell r="B976" t="str">
            <v>VAR_ncap</v>
          </cell>
          <cell r="C976" t="str">
            <v>-</v>
          </cell>
          <cell r="D976">
            <v>5.02919946528996E-3</v>
          </cell>
          <cell r="E976">
            <v>5.2899476534479198E-2</v>
          </cell>
          <cell r="F976">
            <v>2.20015603807685E-2</v>
          </cell>
          <cell r="G976">
            <v>4.0041424795996997E-2</v>
          </cell>
          <cell r="H976">
            <v>9.5253036593757306E-2</v>
          </cell>
          <cell r="I976">
            <v>2.3570025180650898E-2</v>
          </cell>
          <cell r="J976">
            <v>8.5786107808620699E-2</v>
          </cell>
          <cell r="K976">
            <v>0.15517995442698501</v>
          </cell>
          <cell r="L976">
            <v>4.0468684231183299E-2</v>
          </cell>
          <cell r="M976">
            <v>7.7793584287810205E-2</v>
          </cell>
          <cell r="N976">
            <v>0.13879431435216999</v>
          </cell>
          <cell r="O976">
            <v>8.6289907901140994E-2</v>
          </cell>
        </row>
        <row r="977">
          <cell r="A977" t="str">
            <v>RHSA-WHSTG-ELCHP</v>
          </cell>
          <cell r="B977" t="str">
            <v>VAR_cap</v>
          </cell>
          <cell r="C977" t="str">
            <v>-</v>
          </cell>
          <cell r="D977">
            <v>5.0304389946930483E-3</v>
          </cell>
          <cell r="E977">
            <v>5.7912064569440633E-2</v>
          </cell>
          <cell r="F977">
            <v>7.9899858317122152E-2</v>
          </cell>
          <cell r="G977">
            <v>0.11992359974021272</v>
          </cell>
          <cell r="H977">
            <v>0.1856090102073375</v>
          </cell>
          <cell r="I977">
            <v>0.15579785882792871</v>
          </cell>
          <cell r="J977">
            <v>0.2045627556134848</v>
          </cell>
          <cell r="K977">
            <v>0.26441030328704435</v>
          </cell>
          <cell r="L977">
            <v>0.27349148320847638</v>
          </cell>
          <cell r="M977">
            <v>0.27322409552196819</v>
          </cell>
          <cell r="N977">
            <v>0.27140362606301621</v>
          </cell>
          <cell r="O977">
            <v>0.30264009684774951</v>
          </cell>
        </row>
        <row r="978">
          <cell r="A978" t="str">
            <v>ITOT-SWHSTG-ELCHP</v>
          </cell>
          <cell r="B978" t="str">
            <v>VAR_fout</v>
          </cell>
          <cell r="C978" t="str">
            <v>ITOT-SWHAELCH</v>
          </cell>
          <cell r="D978">
            <v>2.3781246697415447E-5</v>
          </cell>
          <cell r="E978">
            <v>9.2243910088631068E-6</v>
          </cell>
          <cell r="F978">
            <v>2.9935338482836049E-3</v>
          </cell>
          <cell r="G978">
            <v>4.2894422984742387E-4</v>
          </cell>
          <cell r="H978">
            <v>4.625352158199321E-4</v>
          </cell>
          <cell r="I978">
            <v>6.9192068045295166E-2</v>
          </cell>
          <cell r="J978">
            <v>6.8875127117375909E-2</v>
          </cell>
          <cell r="K978">
            <v>1.7826337298799655E-3</v>
          </cell>
          <cell r="L978">
            <v>0.45393149773310992</v>
          </cell>
          <cell r="M978">
            <v>1.0146646510622061E-2</v>
          </cell>
          <cell r="N978">
            <v>1.0148064473985039</v>
          </cell>
          <cell r="O978">
            <v>1.0466551923118144</v>
          </cell>
        </row>
        <row r="979">
          <cell r="A979" t="str">
            <v>ITOT-SWHSTG-ELCHP</v>
          </cell>
          <cell r="B979" t="str">
            <v>VAR_fin</v>
          </cell>
          <cell r="C979" t="str">
            <v>ITOT-SWHAELCH</v>
          </cell>
          <cell r="D979">
            <v>3.3820734872476136E-5</v>
          </cell>
          <cell r="E979">
            <v>7.8570449563389491E-6</v>
          </cell>
          <cell r="F979">
            <v>3.874168433881262E-3</v>
          </cell>
          <cell r="G979">
            <v>5.5040486242234241E-4</v>
          </cell>
          <cell r="H979">
            <v>5.8193859021340641E-4</v>
          </cell>
          <cell r="I979">
            <v>8.1441500278938317E-2</v>
          </cell>
          <cell r="J979">
            <v>7.8751539574283602E-2</v>
          </cell>
          <cell r="K979">
            <v>2.0178277653269019E-3</v>
          </cell>
          <cell r="L979">
            <v>0.50443005130478957</v>
          </cell>
          <cell r="M979">
            <v>1.1335303455987808E-2</v>
          </cell>
          <cell r="N979">
            <v>1.1276308123418195</v>
          </cell>
          <cell r="O979">
            <v>1.1630207247115207</v>
          </cell>
        </row>
        <row r="980">
          <cell r="A980" t="str">
            <v>ITOT-SWHSTG-ELCHP</v>
          </cell>
          <cell r="B980" t="str">
            <v>VAR_ncap</v>
          </cell>
          <cell r="C980" t="str">
            <v>-</v>
          </cell>
          <cell r="D980">
            <v>1.7216277931259402E-2</v>
          </cell>
          <cell r="E980">
            <v>8.1893235419649101E-4</v>
          </cell>
          <cell r="F980">
            <v>2.8100087593023699E-2</v>
          </cell>
          <cell r="G980">
            <v>3.0043060838591901E-2</v>
          </cell>
          <cell r="H980">
            <v>4.2636250016617999E-2</v>
          </cell>
          <cell r="I980">
            <v>3.2631885614386701E-2</v>
          </cell>
          <cell r="J980">
            <v>6.5631281309634498E-2</v>
          </cell>
          <cell r="K980">
            <v>7.6933148212046901E-2</v>
          </cell>
          <cell r="L980">
            <v>3.2423788710706503E-2</v>
          </cell>
          <cell r="M980">
            <v>6.1520405691354599E-2</v>
          </cell>
          <cell r="N980">
            <v>7.3749301165313003E-2</v>
          </cell>
          <cell r="O980">
            <v>3.5506930793895997E-2</v>
          </cell>
        </row>
        <row r="981">
          <cell r="A981" t="str">
            <v>ITOT-SWHSTG-ELCHP</v>
          </cell>
          <cell r="B981" t="str">
            <v>VAR_cap</v>
          </cell>
          <cell r="C981" t="str">
            <v>-</v>
          </cell>
          <cell r="D981">
            <v>1.7216277931259402E-2</v>
          </cell>
          <cell r="E981">
            <v>1.794827269057352E-2</v>
          </cell>
          <cell r="F981">
            <v>4.6032593023466836E-2</v>
          </cell>
          <cell r="G981">
            <v>7.6070155878883577E-2</v>
          </cell>
          <cell r="H981">
            <v>0.10551849646780535</v>
          </cell>
          <cell r="I981">
            <v>0.10542748154210506</v>
          </cell>
          <cell r="J981">
            <v>0.14084917777839129</v>
          </cell>
          <cell r="K981">
            <v>0.17504905005100879</v>
          </cell>
          <cell r="L981">
            <v>0.17107771220417459</v>
          </cell>
          <cell r="M981">
            <v>0.17063603230375096</v>
          </cell>
          <cell r="N981">
            <v>0.17071232646345594</v>
          </cell>
          <cell r="O981">
            <v>0.17053524977061285</v>
          </cell>
        </row>
        <row r="982">
          <cell r="A982" t="str">
            <v>D-RHNS_LTH_CHPWOD</v>
          </cell>
          <cell r="B982" t="str">
            <v>VAR_fout</v>
          </cell>
          <cell r="C982" t="str">
            <v>RHNS_LTH_CHPWOD_ON</v>
          </cell>
          <cell r="D982">
            <v>5.7599903720434749E-6</v>
          </cell>
          <cell r="E982">
            <v>4.9953988333186732E-6</v>
          </cell>
          <cell r="F982">
            <v>2.7961357953511211E-6</v>
          </cell>
          <cell r="G982">
            <v>6.7400594502338863E-4</v>
          </cell>
          <cell r="H982">
            <v>1.1586070441922793E-3</v>
          </cell>
          <cell r="I982">
            <v>4.4690013805785819E-3</v>
          </cell>
          <cell r="J982">
            <v>3.8500323849133891E-3</v>
          </cell>
          <cell r="K982">
            <v>7.102617708219819E-3</v>
          </cell>
          <cell r="L982">
            <v>3.0026583193798408E-3</v>
          </cell>
          <cell r="M982">
            <v>2.9529075744399651E-3</v>
          </cell>
          <cell r="N982">
            <v>1.4940019243299288E-3</v>
          </cell>
          <cell r="O982">
            <v>3.7082135222781466E-3</v>
          </cell>
        </row>
        <row r="983">
          <cell r="A983" t="str">
            <v>D-RHNS_LTH_CHPWOD</v>
          </cell>
          <cell r="B983" t="str">
            <v>VAR_fout</v>
          </cell>
          <cell r="C983" t="str">
            <v>RHSA_LTH</v>
          </cell>
          <cell r="D983">
            <v>2.7009605728676533E-6</v>
          </cell>
          <cell r="E983">
            <v>9.5451233156049038E-6</v>
          </cell>
          <cell r="F983">
            <v>7.5640378247081711E-6</v>
          </cell>
          <cell r="G983">
            <v>1.2125305986775051E-5</v>
          </cell>
          <cell r="H983">
            <v>9.7489562136157468E-6</v>
          </cell>
          <cell r="I983">
            <v>2.2967807434536809E-5</v>
          </cell>
          <cell r="J983">
            <v>1.0275067551600246E-4</v>
          </cell>
          <cell r="K983">
            <v>5.2527723272825577E-5</v>
          </cell>
          <cell r="L983">
            <v>1.9979351846982648E-4</v>
          </cell>
          <cell r="M983">
            <v>1.676166651493821E-4</v>
          </cell>
          <cell r="N983">
            <v>1.6449301967932478E-5</v>
          </cell>
          <cell r="O983">
            <v>3.597234888006095E-5</v>
          </cell>
        </row>
        <row r="984">
          <cell r="A984" t="str">
            <v>D-RHNS_LTH_CHPWOD</v>
          </cell>
          <cell r="B984" t="str">
            <v>VAR_fout</v>
          </cell>
          <cell r="C984" t="str">
            <v>LTH</v>
          </cell>
          <cell r="H984">
            <v>2.8513948210352913E-7</v>
          </cell>
          <cell r="I984">
            <v>6.8797839567090136E-6</v>
          </cell>
          <cell r="J984">
            <v>6.3067160631808716E-6</v>
          </cell>
          <cell r="K984">
            <v>1.1517947657504196E-5</v>
          </cell>
          <cell r="L984">
            <v>6.649878092845888E-6</v>
          </cell>
          <cell r="M984">
            <v>8.0215732630847648E-6</v>
          </cell>
          <cell r="N984">
            <v>3.8506658815364696E-6</v>
          </cell>
          <cell r="O984">
            <v>1.1958326661996714E-5</v>
          </cell>
        </row>
        <row r="985">
          <cell r="A985" t="str">
            <v>D-RHNS_LTH_CHPWOD</v>
          </cell>
          <cell r="B985" t="str">
            <v>VAR_fin</v>
          </cell>
          <cell r="C985" t="str">
            <v>RHNS_LTH_CHPWOD</v>
          </cell>
          <cell r="D985">
            <v>8.4609509449111304E-6</v>
          </cell>
          <cell r="E985">
            <v>1.4788296747380261E-5</v>
          </cell>
          <cell r="F985">
            <v>1.0705803971476292E-5</v>
          </cell>
          <cell r="G985">
            <v>6.8661491021848728E-4</v>
          </cell>
          <cell r="H985">
            <v>1.1695265318543908E-3</v>
          </cell>
          <cell r="I985">
            <v>4.4992438681619078E-3</v>
          </cell>
          <cell r="J985">
            <v>3.9594568611346593E-3</v>
          </cell>
          <cell r="K985">
            <v>7.1670192564246967E-3</v>
          </cell>
          <cell r="L985">
            <v>3.2095344742813525E-3</v>
          </cell>
          <cell r="M985">
            <v>3.1289035114076369E-3</v>
          </cell>
          <cell r="N985">
            <v>1.5148589817807776E-3</v>
          </cell>
          <cell r="O985">
            <v>3.7562791123182233E-3</v>
          </cell>
        </row>
        <row r="986">
          <cell r="A986" t="str">
            <v>D-SBIO</v>
          </cell>
          <cell r="B986" t="str">
            <v>VAR_fout</v>
          </cell>
          <cell r="C986" t="str">
            <v>SBIO</v>
          </cell>
          <cell r="D986">
            <v>4.0476723316821221</v>
          </cell>
          <cell r="E986">
            <v>4.5833661844583968</v>
          </cell>
          <cell r="F986">
            <v>4.5977211288781303</v>
          </cell>
          <cell r="G986">
            <v>4.54961878742286</v>
          </cell>
          <cell r="H986">
            <v>6.0999100854645265</v>
          </cell>
          <cell r="I986">
            <v>7.843753370060548</v>
          </cell>
          <cell r="J986">
            <v>14.626308956512519</v>
          </cell>
          <cell r="K986">
            <v>19.724178923346532</v>
          </cell>
          <cell r="L986">
            <v>23.754497775565788</v>
          </cell>
          <cell r="M986">
            <v>30.590853843819868</v>
          </cell>
          <cell r="N986">
            <v>31.653959410314098</v>
          </cell>
          <cell r="O986">
            <v>31.654536088461178</v>
          </cell>
        </row>
        <row r="987">
          <cell r="A987" t="str">
            <v>D-SBIO</v>
          </cell>
          <cell r="B987" t="str">
            <v>VAR_fin</v>
          </cell>
          <cell r="C987" t="str">
            <v>BIO</v>
          </cell>
          <cell r="D987">
            <v>4.0476723316821221</v>
          </cell>
          <cell r="E987">
            <v>4.5833661844583968</v>
          </cell>
          <cell r="F987">
            <v>4.5977211288781303</v>
          </cell>
          <cell r="G987">
            <v>4.54961878742286</v>
          </cell>
          <cell r="H987">
            <v>6.0999100854645265</v>
          </cell>
          <cell r="I987">
            <v>7.843753370060548</v>
          </cell>
          <cell r="J987">
            <v>14.626308956512519</v>
          </cell>
          <cell r="K987">
            <v>19.724178923346532</v>
          </cell>
          <cell r="L987">
            <v>23.754497775565788</v>
          </cell>
          <cell r="M987">
            <v>30.590853843819868</v>
          </cell>
          <cell r="N987">
            <v>31.653959410314098</v>
          </cell>
          <cell r="O987">
            <v>31.654536088461178</v>
          </cell>
        </row>
        <row r="988">
          <cell r="A988" t="str">
            <v>RHEM-SHDEM</v>
          </cell>
          <cell r="B988" t="str">
            <v>VAR_fout</v>
          </cell>
          <cell r="C988" t="str">
            <v>RHEM-SHD</v>
          </cell>
          <cell r="D988">
            <v>66.986774791699034</v>
          </cell>
          <cell r="E988">
            <v>66.832236554610816</v>
          </cell>
          <cell r="F988">
            <v>66.89351301888513</v>
          </cell>
          <cell r="G988">
            <v>65.75912460796016</v>
          </cell>
          <cell r="H988">
            <v>65.029824014067131</v>
          </cell>
          <cell r="I988">
            <v>64.496684553178937</v>
          </cell>
          <cell r="J988">
            <v>63.191765114852537</v>
          </cell>
          <cell r="K988">
            <v>62.757584661612597</v>
          </cell>
          <cell r="L988">
            <v>60.714862081499298</v>
          </cell>
          <cell r="M988">
            <v>58.670602785372012</v>
          </cell>
          <cell r="N988">
            <v>58.688826299205019</v>
          </cell>
          <cell r="O988">
            <v>49.554861160532084</v>
          </cell>
        </row>
        <row r="989">
          <cell r="A989" t="str">
            <v>RHEM-SHDEM</v>
          </cell>
          <cell r="B989" t="str">
            <v>VAR_fin</v>
          </cell>
          <cell r="C989" t="str">
            <v>RHEM-SHNST</v>
          </cell>
          <cell r="D989">
            <v>5.4086112540520995E-3</v>
          </cell>
          <cell r="E989">
            <v>1.7897111798771339E-5</v>
          </cell>
          <cell r="F989">
            <v>1.5666549865920925E-3</v>
          </cell>
          <cell r="G989">
            <v>6.5247556439100996E-4</v>
          </cell>
          <cell r="H989">
            <v>2.2585005493017756E-3</v>
          </cell>
          <cell r="I989">
            <v>2.2381919625553926E-3</v>
          </cell>
          <cell r="J989">
            <v>1.0502262949552257E-4</v>
          </cell>
          <cell r="K989">
            <v>1.9710069971873298E-4</v>
          </cell>
          <cell r="L989">
            <v>4.0536750891977677E-4</v>
          </cell>
          <cell r="M989">
            <v>1.0059020261896469E-3</v>
          </cell>
          <cell r="N989">
            <v>6.1031805315493531E-4</v>
          </cell>
          <cell r="O989">
            <v>3.8854290410844806E-3</v>
          </cell>
        </row>
        <row r="990">
          <cell r="A990" t="str">
            <v>RHEM-SHDEM</v>
          </cell>
          <cell r="B990" t="str">
            <v>VAR_fin</v>
          </cell>
          <cell r="C990" t="str">
            <v>RHEM-SHPLT</v>
          </cell>
          <cell r="D990">
            <v>1.3984021031194753</v>
          </cell>
          <cell r="E990">
            <v>1.6077538475507718</v>
          </cell>
          <cell r="F990">
            <v>1.6064642146753669</v>
          </cell>
          <cell r="G990">
            <v>1.6071650309154717</v>
          </cell>
          <cell r="H990">
            <v>1.605962965484008</v>
          </cell>
          <cell r="I990">
            <v>1.6062824099649011</v>
          </cell>
          <cell r="J990">
            <v>1.6038604179419678</v>
          </cell>
          <cell r="K990">
            <v>1.6075826329394369</v>
          </cell>
          <cell r="L990">
            <v>1.6075463304802342</v>
          </cell>
          <cell r="M990">
            <v>1.6071444547084714</v>
          </cell>
          <cell r="N990">
            <v>1.6074256234632018</v>
          </cell>
          <cell r="O990">
            <v>1.6038414030082937</v>
          </cell>
        </row>
        <row r="991">
          <cell r="A991" t="str">
            <v>RHEM-SHDEM</v>
          </cell>
          <cell r="B991" t="str">
            <v>VAR_fin</v>
          </cell>
          <cell r="C991" t="str">
            <v>RHEM-SHNGAH</v>
          </cell>
          <cell r="D991">
            <v>4.0450129069598351E-3</v>
          </cell>
          <cell r="E991">
            <v>2.2499999156751086E-5</v>
          </cell>
          <cell r="F991">
            <v>3.0361194470164871E-3</v>
          </cell>
          <cell r="G991">
            <v>2.2846359378926452E-3</v>
          </cell>
          <cell r="H991">
            <v>1.1062621663260301</v>
          </cell>
          <cell r="I991">
            <v>1.1754397670833556</v>
          </cell>
          <cell r="J991">
            <v>1.1751890650533607</v>
          </cell>
          <cell r="K991">
            <v>4.2990041829526184</v>
          </cell>
          <cell r="L991">
            <v>4.2396368063948859</v>
          </cell>
          <cell r="M991">
            <v>4.2391706151791073</v>
          </cell>
          <cell r="N991">
            <v>4.2394788940235051</v>
          </cell>
          <cell r="O991">
            <v>4.235054694768845</v>
          </cell>
        </row>
        <row r="992">
          <cell r="A992" t="str">
            <v>RHEM-SHDEM</v>
          </cell>
          <cell r="B992" t="str">
            <v>VAR_fin</v>
          </cell>
          <cell r="C992" t="str">
            <v>RHEM-SHLTHC-WOD</v>
          </cell>
          <cell r="D992">
            <v>6.4016893782373073E-3</v>
          </cell>
          <cell r="E992">
            <v>1.5056012310708762E-5</v>
          </cell>
          <cell r="G992">
            <v>1.4164329079101405E-3</v>
          </cell>
          <cell r="H992">
            <v>4.766153790742968E-3</v>
          </cell>
          <cell r="I992">
            <v>0.40391097187328834</v>
          </cell>
          <cell r="J992">
            <v>0.50951160547993624</v>
          </cell>
          <cell r="K992">
            <v>0.50180731771189513</v>
          </cell>
          <cell r="L992">
            <v>0.49989924511540601</v>
          </cell>
          <cell r="M992">
            <v>0.4912830474313149</v>
          </cell>
          <cell r="N992">
            <v>0.49520862918216291</v>
          </cell>
          <cell r="O992">
            <v>0.47708048058986768</v>
          </cell>
        </row>
        <row r="993">
          <cell r="A993" t="str">
            <v>RHEM-SHDEM</v>
          </cell>
          <cell r="B993" t="str">
            <v>VAR_fin</v>
          </cell>
          <cell r="C993" t="str">
            <v>RHEM-SHSOL</v>
          </cell>
          <cell r="D993">
            <v>0.40628759404478493</v>
          </cell>
          <cell r="E993">
            <v>0.47088571116959149</v>
          </cell>
          <cell r="F993">
            <v>0.46942342898715506</v>
          </cell>
          <cell r="G993">
            <v>0.47011448962933866</v>
          </cell>
          <cell r="H993">
            <v>0.44428456866467986</v>
          </cell>
          <cell r="I993">
            <v>0.4663286597999689</v>
          </cell>
          <cell r="J993">
            <v>0.45187990597194372</v>
          </cell>
          <cell r="K993">
            <v>1.4330380684606494</v>
          </cell>
          <cell r="L993">
            <v>1.480276823228341</v>
          </cell>
          <cell r="M993">
            <v>1.4711354604139819</v>
          </cell>
          <cell r="N993">
            <v>1.5074017578462391</v>
          </cell>
          <cell r="O993">
            <v>0.96345512741221784</v>
          </cell>
        </row>
        <row r="994">
          <cell r="A994" t="str">
            <v>RHEM-SHDEM</v>
          </cell>
          <cell r="B994" t="str">
            <v>VAR_fin</v>
          </cell>
          <cell r="C994" t="str">
            <v>RHEM-SHLTHD</v>
          </cell>
          <cell r="D994">
            <v>2.0309869013960808</v>
          </cell>
          <cell r="E994">
            <v>3.7886774851600111</v>
          </cell>
          <cell r="F994">
            <v>4.0385376875487182</v>
          </cell>
          <cell r="G994">
            <v>3.1648429268675722</v>
          </cell>
          <cell r="H994">
            <v>3.1043032747909827</v>
          </cell>
          <cell r="I994">
            <v>3.6291495826143718</v>
          </cell>
          <cell r="J994">
            <v>3.0381926588951025</v>
          </cell>
          <cell r="K994">
            <v>3.6924355725330806</v>
          </cell>
          <cell r="L994">
            <v>3.5585223161510817</v>
          </cell>
          <cell r="M994">
            <v>3.421528418897426</v>
          </cell>
          <cell r="N994">
            <v>3.4231632894434765</v>
          </cell>
          <cell r="O994">
            <v>2.3071721199070581</v>
          </cell>
        </row>
        <row r="995">
          <cell r="A995" t="str">
            <v>RHEM-SHDEM</v>
          </cell>
          <cell r="B995" t="str">
            <v>VAR_fin</v>
          </cell>
          <cell r="C995" t="str">
            <v>RHEM-SHNGA</v>
          </cell>
          <cell r="D995">
            <v>18.972166229936079</v>
          </cell>
          <cell r="E995">
            <v>18.850478621052211</v>
          </cell>
          <cell r="F995">
            <v>19.100062378093824</v>
          </cell>
          <cell r="G995">
            <v>19.100870808444579</v>
          </cell>
          <cell r="H995">
            <v>17.564817268860338</v>
          </cell>
          <cell r="I995">
            <v>16.123316810623681</v>
          </cell>
          <cell r="J995">
            <v>15.746770354104896</v>
          </cell>
          <cell r="K995">
            <v>6.8575027018664967</v>
          </cell>
          <cell r="L995">
            <v>4.1295756433635713</v>
          </cell>
          <cell r="M995">
            <v>3.8111205503492109</v>
          </cell>
          <cell r="N995">
            <v>3.8114181460498582</v>
          </cell>
          <cell r="O995">
            <v>2.9346695141507402</v>
          </cell>
        </row>
        <row r="996">
          <cell r="A996" t="str">
            <v>RHEM-SHDEM</v>
          </cell>
          <cell r="B996" t="str">
            <v>VAR_fin</v>
          </cell>
          <cell r="C996" t="str">
            <v>RHEM-SHELCB</v>
          </cell>
          <cell r="D996">
            <v>4.6106734595195622</v>
          </cell>
          <cell r="E996">
            <v>3.7230278520687485</v>
          </cell>
          <cell r="F996">
            <v>3.9929995249477428</v>
          </cell>
          <cell r="G996">
            <v>2.3424856412328254</v>
          </cell>
          <cell r="H996">
            <v>1.6123261675599956</v>
          </cell>
          <cell r="I996">
            <v>1.0178712506870478</v>
          </cell>
          <cell r="J996">
            <v>0.68436034232309817</v>
          </cell>
          <cell r="K996">
            <v>0.36499660407114182</v>
          </cell>
          <cell r="L996">
            <v>1.8982240734970277</v>
          </cell>
          <cell r="M996">
            <v>1.7927276192325377</v>
          </cell>
          <cell r="N996">
            <v>1.8259654679606028</v>
          </cell>
          <cell r="O996">
            <v>0.29931835396709772</v>
          </cell>
        </row>
        <row r="997">
          <cell r="A997" t="str">
            <v>RHEM-SHDEM</v>
          </cell>
          <cell r="B997" t="str">
            <v>VAR_fin</v>
          </cell>
          <cell r="C997" t="str">
            <v>RHEM-SHELCH</v>
          </cell>
          <cell r="D997">
            <v>9.879119217573864</v>
          </cell>
          <cell r="E997">
            <v>11.655150139076902</v>
          </cell>
          <cell r="F997">
            <v>11.653543071470928</v>
          </cell>
          <cell r="G997">
            <v>16.824768473274357</v>
          </cell>
          <cell r="H997">
            <v>23.360990098509617</v>
          </cell>
          <cell r="I997">
            <v>24.203944817219195</v>
          </cell>
          <cell r="J997">
            <v>27.818641439359247</v>
          </cell>
          <cell r="K997">
            <v>32.044556608355165</v>
          </cell>
          <cell r="L997">
            <v>32.103782724836307</v>
          </cell>
          <cell r="M997">
            <v>32.103226913485457</v>
          </cell>
          <cell r="N997">
            <v>32.103580853895394</v>
          </cell>
          <cell r="O997">
            <v>32.097546004837021</v>
          </cell>
        </row>
        <row r="998">
          <cell r="A998" t="str">
            <v>RHEM-SHDEM</v>
          </cell>
          <cell r="B998" t="str">
            <v>VAR_fin</v>
          </cell>
          <cell r="C998" t="str">
            <v>RHEM-SHLFO</v>
          </cell>
          <cell r="D998">
            <v>23.40711100581645</v>
          </cell>
          <cell r="E998">
            <v>18.539665565667619</v>
          </cell>
          <cell r="F998">
            <v>18.615779812420165</v>
          </cell>
          <cell r="G998">
            <v>16.09090376918121</v>
          </cell>
          <cell r="H998">
            <v>10.04594945774285</v>
          </cell>
          <cell r="I998">
            <v>6.6188873178874799</v>
          </cell>
          <cell r="J998">
            <v>3.256711937476894</v>
          </cell>
          <cell r="K998">
            <v>3.2681449315179645</v>
          </cell>
          <cell r="L998">
            <v>2.610946604585298</v>
          </cell>
          <cell r="M998">
            <v>1.1914746984842404</v>
          </cell>
          <cell r="N998">
            <v>1.1917470796929235</v>
          </cell>
          <cell r="O998">
            <v>6.8664955631433612E-3</v>
          </cell>
        </row>
        <row r="999">
          <cell r="A999" t="str">
            <v>RHEM-SHDEM</v>
          </cell>
          <cell r="B999" t="str">
            <v>VAR_fin</v>
          </cell>
          <cell r="C999" t="str">
            <v>RHEM-SHCON</v>
          </cell>
          <cell r="D999">
            <v>1.4735778111834061</v>
          </cell>
          <cell r="E999">
            <v>3.502618285600922</v>
          </cell>
          <cell r="F999">
            <v>3.5022349979665024</v>
          </cell>
          <cell r="G999">
            <v>3.5024796443771167</v>
          </cell>
          <cell r="H999">
            <v>3.7997880998749096</v>
          </cell>
          <cell r="I999">
            <v>7.4472451375638791</v>
          </cell>
          <cell r="J999">
            <v>7.4471445214808414</v>
          </cell>
          <cell r="K999">
            <v>7.4473740904731001</v>
          </cell>
          <cell r="L999">
            <v>7.4473010462507956</v>
          </cell>
          <cell r="M999">
            <v>7.4470487719352141</v>
          </cell>
          <cell r="N999">
            <v>7.4452423326027191</v>
          </cell>
          <cell r="O999">
            <v>3.8653928493929226</v>
          </cell>
        </row>
        <row r="1000">
          <cell r="A1000" t="str">
            <v>RHEM-SHDEM</v>
          </cell>
          <cell r="B1000" t="str">
            <v>VAR_fin</v>
          </cell>
          <cell r="C1000" t="str">
            <v>RHEM-SHWOD</v>
          </cell>
          <cell r="D1000">
            <v>4.7268052306465531</v>
          </cell>
          <cell r="E1000">
            <v>4.6939018537962109</v>
          </cell>
          <cell r="F1000">
            <v>3.6899669184333139</v>
          </cell>
          <cell r="G1000">
            <v>2.4253834032787891</v>
          </cell>
          <cell r="H1000">
            <v>2.1551482379378846</v>
          </cell>
          <cell r="I1000">
            <v>1.7098701918058172</v>
          </cell>
          <cell r="J1000">
            <v>1.4466808228931816</v>
          </cell>
          <cell r="K1000">
            <v>1.2409654927946701</v>
          </cell>
          <cell r="L1000">
            <v>1.1357161350192309</v>
          </cell>
          <cell r="M1000">
            <v>1.0877558164751588</v>
          </cell>
          <cell r="N1000">
            <v>1.031367004569254</v>
          </cell>
          <cell r="O1000">
            <v>0.74252186953612942</v>
          </cell>
        </row>
        <row r="1001">
          <cell r="A1001" t="str">
            <v>RHEM-SHDEM</v>
          </cell>
          <cell r="B1001" t="str">
            <v>VAR_fin</v>
          </cell>
          <cell r="C1001" t="str">
            <v>RHEM-SHLTHC-NGA</v>
          </cell>
          <cell r="D1001">
            <v>6.6007830162945244E-2</v>
          </cell>
          <cell r="E1001">
            <v>2.2890180555115524E-4</v>
          </cell>
          <cell r="F1001">
            <v>0.22013569380408107</v>
          </cell>
          <cell r="G1001">
            <v>0.22589005487341265</v>
          </cell>
          <cell r="H1001">
            <v>0.2231490307985062</v>
          </cell>
          <cell r="I1001">
            <v>9.2372650392005942E-2</v>
          </cell>
          <cell r="J1001">
            <v>1.2940752628505922E-2</v>
          </cell>
          <cell r="K1001">
            <v>2.1059066203546979E-4</v>
          </cell>
          <cell r="L1001">
            <v>3.1608047691481715E-3</v>
          </cell>
          <cell r="M1001">
            <v>6.2556883459202626E-3</v>
          </cell>
          <cell r="N1001">
            <v>6.3456494228555232E-3</v>
          </cell>
          <cell r="O1001">
            <v>1.8352563711863907E-2</v>
          </cell>
        </row>
        <row r="1002">
          <cell r="A1002" t="str">
            <v>ITOT-SWHH2BR</v>
          </cell>
          <cell r="B1002" t="str">
            <v>VAR_fout</v>
          </cell>
          <cell r="C1002" t="str">
            <v>ITOT-SWH</v>
          </cell>
          <cell r="G1002">
            <v>1.9257883563951819E-2</v>
          </cell>
          <cell r="H1002">
            <v>8.1313858659819065</v>
          </cell>
          <cell r="I1002">
            <v>8.1313861725434577</v>
          </cell>
          <cell r="J1002">
            <v>8.1313943851956161</v>
          </cell>
          <cell r="K1002">
            <v>13.242262563695194</v>
          </cell>
          <cell r="L1002">
            <v>13.242225333884775</v>
          </cell>
          <cell r="M1002">
            <v>13.242226982308695</v>
          </cell>
          <cell r="N1002">
            <v>13.242211170727185</v>
          </cell>
          <cell r="O1002">
            <v>13.242219061100952</v>
          </cell>
        </row>
        <row r="1003">
          <cell r="A1003" t="str">
            <v>ITOT-SWHH2BR</v>
          </cell>
          <cell r="B1003" t="str">
            <v>VAR_fin</v>
          </cell>
          <cell r="C1003" t="str">
            <v>IH2</v>
          </cell>
          <cell r="G1003">
            <v>2.392273773297757E-2</v>
          </cell>
          <cell r="H1003">
            <v>10.079003140735654</v>
          </cell>
          <cell r="I1003">
            <v>10.057044110189619</v>
          </cell>
          <cell r="J1003">
            <v>10.035190314284424</v>
          </cell>
          <cell r="K1003">
            <v>16.307209644204715</v>
          </cell>
          <cell r="L1003">
            <v>16.30009191847229</v>
          </cell>
          <cell r="M1003">
            <v>16.293028198678723</v>
          </cell>
          <cell r="N1003">
            <v>16.285949126972099</v>
          </cell>
          <cell r="O1003">
            <v>16.27890532446045</v>
          </cell>
        </row>
        <row r="1004">
          <cell r="A1004" t="str">
            <v>ITOT-SWHH2BR</v>
          </cell>
          <cell r="B1004" t="str">
            <v>VAR_ncap</v>
          </cell>
          <cell r="C1004" t="str">
            <v>-</v>
          </cell>
          <cell r="G1004">
            <v>1.71329367822736E-3</v>
          </cell>
          <cell r="H1004">
            <v>0.85056148318097902</v>
          </cell>
          <cell r="I1004">
            <v>1.257785571404E-5</v>
          </cell>
          <cell r="J1004">
            <v>1.9224993987746899E-5</v>
          </cell>
          <cell r="K1004">
            <v>1.0390397906754401</v>
          </cell>
          <cell r="L1004">
            <v>0.109527056148028</v>
          </cell>
          <cell r="M1004">
            <v>2.66774172786522E-2</v>
          </cell>
          <cell r="N1004">
            <v>0.895156117430567</v>
          </cell>
          <cell r="O1004">
            <v>0.25426084842589802</v>
          </cell>
        </row>
        <row r="1005">
          <cell r="A1005" t="str">
            <v>ITOT-SWHH2BR</v>
          </cell>
          <cell r="B1005" t="str">
            <v>VAR_cap</v>
          </cell>
          <cell r="C1005" t="str">
            <v>-</v>
          </cell>
          <cell r="G1005">
            <v>1.71329367822736E-3</v>
          </cell>
          <cell r="H1005">
            <v>0.85227321429183578</v>
          </cell>
          <cell r="I1005">
            <v>0.72966023246991596</v>
          </cell>
          <cell r="J1005">
            <v>0.7295794921026959</v>
          </cell>
          <cell r="K1005">
            <v>1.0390601328853963</v>
          </cell>
          <cell r="L1005">
            <v>1.1485722929272419</v>
          </cell>
          <cell r="M1005">
            <v>1.1752168900889113</v>
          </cell>
          <cell r="N1005">
            <v>1.1806365182252407</v>
          </cell>
          <cell r="O1005">
            <v>1.1760651322367872</v>
          </cell>
        </row>
        <row r="1006">
          <cell r="A1006" t="str">
            <v>RHNS-SHSTG-ELC</v>
          </cell>
          <cell r="B1006" t="str">
            <v>VAR_fout</v>
          </cell>
          <cell r="C1006" t="str">
            <v>RHNS-SHAELCB</v>
          </cell>
          <cell r="E1006">
            <v>2.82106750206357E-8</v>
          </cell>
          <cell r="F1006">
            <v>8.020279671044947E-3</v>
          </cell>
          <cell r="G1006">
            <v>1.5137500956913068E-4</v>
          </cell>
          <cell r="H1006">
            <v>8.0659686402569604E-5</v>
          </cell>
          <cell r="I1006">
            <v>2.1486711331802283E-5</v>
          </cell>
          <cell r="J1006">
            <v>9.1191247381262625E-5</v>
          </cell>
          <cell r="K1006">
            <v>7.8761171632165837E-5</v>
          </cell>
          <cell r="L1006">
            <v>7.6365884416339824E-5</v>
          </cell>
          <cell r="M1006">
            <v>1.1057957431740663E-4</v>
          </cell>
          <cell r="N1006">
            <v>1.124446225333049E-4</v>
          </cell>
          <cell r="O1006">
            <v>1.6129500014775195E-4</v>
          </cell>
        </row>
        <row r="1007">
          <cell r="A1007" t="str">
            <v>RHNS-SHSTG-ELC</v>
          </cell>
          <cell r="B1007" t="str">
            <v>VAR_fin</v>
          </cell>
          <cell r="C1007" t="str">
            <v>RHNS-SHAELCB</v>
          </cell>
          <cell r="E1007">
            <v>5.1832533568758495E-8</v>
          </cell>
          <cell r="F1007">
            <v>8.0202156843882239E-3</v>
          </cell>
          <cell r="G1007">
            <v>1.5082106866462071E-4</v>
          </cell>
          <cell r="H1007">
            <v>8.0644032733442065E-5</v>
          </cell>
          <cell r="I1007">
            <v>2.139182450252257E-5</v>
          </cell>
          <cell r="J1007">
            <v>9.1058762560277559E-5</v>
          </cell>
          <cell r="K1007">
            <v>7.8758153160614122E-5</v>
          </cell>
          <cell r="L1007">
            <v>7.6171559970712879E-5</v>
          </cell>
          <cell r="M1007">
            <v>1.1072000457621814E-4</v>
          </cell>
          <cell r="N1007">
            <v>1.1270475863624974E-4</v>
          </cell>
          <cell r="O1007">
            <v>1.6146005862727178E-4</v>
          </cell>
        </row>
        <row r="1008">
          <cell r="A1008" t="str">
            <v>RHNS-SHSTG-ELC</v>
          </cell>
          <cell r="B1008" t="str">
            <v>VAR_ncap</v>
          </cell>
          <cell r="C1008" t="str">
            <v>-</v>
          </cell>
          <cell r="D1008">
            <v>6.8924636960898501E-5</v>
          </cell>
          <cell r="E1008">
            <v>8.7338182182323002E-4</v>
          </cell>
          <cell r="F1008">
            <v>2.3080345271312002E-5</v>
          </cell>
          <cell r="G1008">
            <v>8.4779275993291202E-6</v>
          </cell>
          <cell r="H1008">
            <v>1.28942260513708E-5</v>
          </cell>
          <cell r="I1008">
            <v>5.69777473250462E-6</v>
          </cell>
          <cell r="J1008">
            <v>2.1501980795351199E-5</v>
          </cell>
          <cell r="K1008">
            <v>1.9681794646974599E-5</v>
          </cell>
          <cell r="L1008">
            <v>1.73571373143798E-5</v>
          </cell>
          <cell r="M1008">
            <v>3.0215047387849E-5</v>
          </cell>
          <cell r="N1008">
            <v>2.36241417429703E-5</v>
          </cell>
          <cell r="O1008">
            <v>4.0591061387983203E-5</v>
          </cell>
        </row>
        <row r="1009">
          <cell r="A1009" t="str">
            <v>RHNS-SHSTG-ELC</v>
          </cell>
          <cell r="B1009" t="str">
            <v>VAR_cap</v>
          </cell>
          <cell r="C1009" t="str">
            <v>-</v>
          </cell>
          <cell r="D1009">
            <v>6.8924636960898501E-5</v>
          </cell>
          <cell r="E1009">
            <v>9.3915387431201642E-4</v>
          </cell>
          <cell r="F1009">
            <v>9.5543923702030398E-4</v>
          </cell>
          <cell r="G1009">
            <v>4.1119926131525037E-5</v>
          </cell>
          <cell r="H1009">
            <v>2.7457347909331002E-5</v>
          </cell>
          <cell r="I1009">
            <v>8.729154818112998E-6</v>
          </cell>
          <cell r="J1009">
            <v>2.3941715113671201E-5</v>
          </cell>
          <cell r="K1009">
            <v>2.3677151712032203E-5</v>
          </cell>
          <cell r="L1009">
            <v>2.2516755458586705E-5</v>
          </cell>
          <cell r="M1009">
            <v>3.6918337275131707E-5</v>
          </cell>
          <cell r="N1009">
            <v>3.6375813142577804E-5</v>
          </cell>
          <cell r="O1009">
            <v>5.6142741937063299E-5</v>
          </cell>
        </row>
        <row r="1010">
          <cell r="A1010" t="str">
            <v>RHES-SHCOABR</v>
          </cell>
          <cell r="B1010" t="str">
            <v>VAR_fout</v>
          </cell>
          <cell r="C1010" t="str">
            <v>CO2_R</v>
          </cell>
          <cell r="D1010">
            <v>9.2700514778087495</v>
          </cell>
          <cell r="E1010">
            <v>9.2700100273891604</v>
          </cell>
          <cell r="F1010">
            <v>0.13695117262047901</v>
          </cell>
          <cell r="G1010">
            <v>8.6216880868625001E-2</v>
          </cell>
          <cell r="H1010">
            <v>3.3755115495356702E-2</v>
          </cell>
        </row>
        <row r="1011">
          <cell r="A1011" t="str">
            <v>RHES-SHCOABR</v>
          </cell>
          <cell r="B1011" t="str">
            <v>VAR_fout</v>
          </cell>
          <cell r="C1011" t="str">
            <v>RHES-SHCOA</v>
          </cell>
          <cell r="D1011">
            <v>7.2000399827640796E-2</v>
          </cell>
          <cell r="E1011">
            <v>7.2000077882634309E-2</v>
          </cell>
          <cell r="F1011">
            <v>1.0636984281202258E-3</v>
          </cell>
          <cell r="G1011">
            <v>6.6964567664951449E-4</v>
          </cell>
          <cell r="H1011">
            <v>2.6217565433286774E-4</v>
          </cell>
        </row>
        <row r="1012">
          <cell r="A1012" t="str">
            <v>RHES-SHCOABR</v>
          </cell>
          <cell r="B1012" t="str">
            <v>VAR_fin</v>
          </cell>
          <cell r="C1012" t="str">
            <v>RCOA</v>
          </cell>
          <cell r="D1012">
            <v>0.10000055531616782</v>
          </cell>
          <cell r="E1012">
            <v>0.10000010817032533</v>
          </cell>
          <cell r="F1012">
            <v>1.4773589279447603E-3</v>
          </cell>
          <cell r="G1012">
            <v>9.3006343979099276E-4</v>
          </cell>
          <cell r="H1012">
            <v>3.641328532400939E-4</v>
          </cell>
        </row>
        <row r="1013">
          <cell r="A1013" t="str">
            <v>RHES-SHCOABR</v>
          </cell>
          <cell r="B1013" t="str">
            <v>VAR_cap</v>
          </cell>
          <cell r="C1013" t="str">
            <v>-</v>
          </cell>
          <cell r="D1013">
            <v>7.0000000000000001E-3</v>
          </cell>
          <cell r="E1013">
            <v>6.7474044764535288E-3</v>
          </cell>
          <cell r="F1013">
            <v>1.4948087538031035E-4</v>
          </cell>
          <cell r="G1013">
            <v>1.0352298915830994E-4</v>
          </cell>
          <cell r="H1013">
            <v>2.6814941538139993E-5</v>
          </cell>
        </row>
        <row r="1014">
          <cell r="A1014" t="str">
            <v>D-INGA</v>
          </cell>
          <cell r="B1014" t="str">
            <v>VAR_fout</v>
          </cell>
          <cell r="C1014" t="str">
            <v>CO2</v>
          </cell>
          <cell r="D1014">
            <v>2101.7172099296599</v>
          </cell>
          <cell r="E1014">
            <v>1758.2311313919799</v>
          </cell>
          <cell r="F1014">
            <v>1821.1186949835501</v>
          </cell>
          <cell r="G1014">
            <v>1361.94483448183</v>
          </cell>
          <cell r="H1014">
            <v>639.80866037515898</v>
          </cell>
          <cell r="I1014">
            <v>638.27958386790897</v>
          </cell>
          <cell r="J1014">
            <v>519.31606166868698</v>
          </cell>
          <cell r="K1014">
            <v>134.242395835466</v>
          </cell>
          <cell r="L1014">
            <v>5.2266298899995497E-2</v>
          </cell>
          <cell r="M1014">
            <v>4.2050832817790998E-2</v>
          </cell>
          <cell r="N1014">
            <v>1.95722329597144E-2</v>
          </cell>
          <cell r="O1014">
            <v>8.0377824497095598E-3</v>
          </cell>
        </row>
        <row r="1015">
          <cell r="A1015" t="str">
            <v>D-INGA</v>
          </cell>
          <cell r="B1015" t="str">
            <v>VAR_fout</v>
          </cell>
          <cell r="C1015" t="str">
            <v>IH2</v>
          </cell>
          <cell r="G1015">
            <v>3.5979826746755803E-2</v>
          </cell>
          <cell r="H1015">
            <v>0.43025555433699825</v>
          </cell>
          <cell r="I1015">
            <v>0.4291509203423915</v>
          </cell>
          <cell r="J1015">
            <v>0.36333862697292585</v>
          </cell>
          <cell r="K1015">
            <v>0.15273149616481382</v>
          </cell>
          <cell r="L1015">
            <v>7.9700492273159923E-2</v>
          </cell>
          <cell r="M1015">
            <v>7.8454096198482023E-2</v>
          </cell>
          <cell r="N1015">
            <v>7.9149186079171874E-2</v>
          </cell>
          <cell r="O1015">
            <v>7.6533156745744374E-2</v>
          </cell>
        </row>
        <row r="1016">
          <cell r="A1016" t="str">
            <v>D-INGA</v>
          </cell>
          <cell r="B1016" t="str">
            <v>VAR_fout</v>
          </cell>
          <cell r="C1016" t="str">
            <v>INGA</v>
          </cell>
          <cell r="D1016">
            <v>37.471389008259244</v>
          </cell>
          <cell r="E1016">
            <v>31.075064870277458</v>
          </cell>
          <cell r="F1016">
            <v>34.384238486864099</v>
          </cell>
          <cell r="G1016">
            <v>26.64587082825539</v>
          </cell>
          <cell r="H1016">
            <v>13.881551492352227</v>
          </cell>
          <cell r="I1016">
            <v>13.854498019637616</v>
          </cell>
          <cell r="J1016">
            <v>11.752124435617631</v>
          </cell>
          <cell r="K1016">
            <v>4.9469891830881929</v>
          </cell>
          <cell r="L1016">
            <v>2.5755434903246424</v>
          </cell>
          <cell r="M1016">
            <v>2.5753644898810863</v>
          </cell>
          <cell r="N1016">
            <v>2.5749640056641727</v>
          </cell>
          <cell r="O1016">
            <v>2.5747828417977741</v>
          </cell>
        </row>
        <row r="1017">
          <cell r="A1017" t="str">
            <v>D-INGA</v>
          </cell>
          <cell r="B1017" t="str">
            <v>VAR_fin</v>
          </cell>
          <cell r="C1017" t="str">
            <v>NGA</v>
          </cell>
          <cell r="D1017">
            <v>37.264489537759971</v>
          </cell>
          <cell r="E1017">
            <v>31.174310840283379</v>
          </cell>
          <cell r="F1017">
            <v>32.28933856353806</v>
          </cell>
          <cell r="G1017">
            <v>24.14795805818849</v>
          </cell>
          <cell r="H1017">
            <v>11.344125183956724</v>
          </cell>
          <cell r="I1017">
            <v>11.317013898367172</v>
          </cell>
          <cell r="J1017">
            <v>9.2077315898703365</v>
          </cell>
          <cell r="K1017">
            <v>2.3801843233238618</v>
          </cell>
          <cell r="L1017">
            <v>9.2670742730488421E-4</v>
          </cell>
          <cell r="M1017">
            <v>7.4558214215941527E-4</v>
          </cell>
          <cell r="N1017">
            <v>3.4702540708713526E-4</v>
          </cell>
          <cell r="O1017">
            <v>1.4251387322180062E-4</v>
          </cell>
        </row>
        <row r="1018">
          <cell r="A1018" t="str">
            <v>D-INGA</v>
          </cell>
          <cell r="B1018" t="str">
            <v>VAR_fin</v>
          </cell>
          <cell r="C1018" t="str">
            <v>BNGA</v>
          </cell>
          <cell r="D1018">
            <v>0.32660630381700562</v>
          </cell>
          <cell r="E1018">
            <v>4.9655174780157759E-5</v>
          </cell>
          <cell r="F1018">
            <v>2.2047444851167448</v>
          </cell>
          <cell r="G1018">
            <v>2.5831771239217662</v>
          </cell>
          <cell r="H1018">
            <v>2.5831777677437193</v>
          </cell>
          <cell r="I1018">
            <v>2.5831779644326369</v>
          </cell>
          <cell r="J1018">
            <v>2.583178165497817</v>
          </cell>
          <cell r="K1018">
            <v>2.5831749272452438</v>
          </cell>
          <cell r="L1018">
            <v>2.5831453365155843</v>
          </cell>
          <cell r="M1018">
            <v>2.5831458881041676</v>
          </cell>
          <cell r="N1018">
            <v>2.5831382039686837</v>
          </cell>
          <cell r="O1018">
            <v>2.5831469828969085</v>
          </cell>
        </row>
        <row r="1019">
          <cell r="A1019" t="str">
            <v>D-INGA</v>
          </cell>
          <cell r="B1019" t="str">
            <v>VAR_fin</v>
          </cell>
          <cell r="C1019" t="str">
            <v>H2</v>
          </cell>
          <cell r="G1019">
            <v>3.5979826942958863E-2</v>
          </cell>
          <cell r="H1019">
            <v>0.43025555463182336</v>
          </cell>
          <cell r="I1019">
            <v>0.42915092034239444</v>
          </cell>
          <cell r="J1019">
            <v>0.36333718080231103</v>
          </cell>
          <cell r="K1019">
            <v>0.15273137331501618</v>
          </cell>
          <cell r="L1019">
            <v>7.9700423185389779E-2</v>
          </cell>
          <cell r="M1019">
            <v>7.8453865309603923E-2</v>
          </cell>
          <cell r="N1019">
            <v>7.9149080523486626E-2</v>
          </cell>
          <cell r="O1019">
            <v>7.6530366950015166E-2</v>
          </cell>
        </row>
        <row r="1020">
          <cell r="A1020" t="str">
            <v>D-INGA</v>
          </cell>
          <cell r="B1020" t="str">
            <v>VAR_ncap</v>
          </cell>
          <cell r="C1020" t="str">
            <v>-</v>
          </cell>
          <cell r="D1020">
            <v>4.3328316398497598E-7</v>
          </cell>
          <cell r="E1020">
            <v>2.6021067413663503E-7</v>
          </cell>
          <cell r="F1020">
            <v>3.45609014857563E-7</v>
          </cell>
          <cell r="G1020">
            <v>5.1281648628189899E-7</v>
          </cell>
          <cell r="H1020">
            <v>1.02778555525868E-6</v>
          </cell>
          <cell r="I1020">
            <v>1.7538932673451999E-6</v>
          </cell>
          <cell r="J1020">
            <v>2.4458405767554202E-6</v>
          </cell>
          <cell r="K1020">
            <v>0.29091524808435498</v>
          </cell>
          <cell r="L1020">
            <v>4.5310607659762E-6</v>
          </cell>
          <cell r="M1020">
            <v>1.15503273367707E-5</v>
          </cell>
          <cell r="N1020">
            <v>6.0609265816362603E-6</v>
          </cell>
          <cell r="O1020">
            <v>4.1029487222181399E-5</v>
          </cell>
        </row>
        <row r="1021">
          <cell r="A1021" t="str">
            <v>D-INGA</v>
          </cell>
          <cell r="B1021" t="str">
            <v>VAR_cap</v>
          </cell>
          <cell r="C1021" t="str">
            <v>-</v>
          </cell>
          <cell r="D1021">
            <v>1.984483803549264</v>
          </cell>
          <cell r="E1021">
            <v>1.9844840637599381</v>
          </cell>
          <cell r="F1021">
            <v>1.9844844093689529</v>
          </cell>
          <cell r="G1021">
            <v>1.9844849221854393</v>
          </cell>
          <cell r="H1021">
            <v>1.9844859499709946</v>
          </cell>
          <cell r="I1021">
            <v>1.9844877038642619</v>
          </cell>
          <cell r="J1021">
            <v>1.9844901497048386</v>
          </cell>
          <cell r="K1021">
            <v>1.1843362827311399</v>
          </cell>
          <cell r="L1021">
            <v>0.39777460778253904</v>
          </cell>
          <cell r="M1021">
            <v>0.290937661099962</v>
          </cell>
          <cell r="N1021">
            <v>0.29094302938001099</v>
          </cell>
          <cell r="O1021">
            <v>0.29098364740566002</v>
          </cell>
        </row>
        <row r="1022">
          <cell r="A1022" t="str">
            <v>RHEM-SHNGAHP</v>
          </cell>
          <cell r="B1022" t="str">
            <v>VAR_fout</v>
          </cell>
          <cell r="C1022" t="str">
            <v>CO2_R</v>
          </cell>
          <cell r="F1022">
            <v>2.90237022545284E-2</v>
          </cell>
          <cell r="G1022">
            <v>4.90506837046314E-2</v>
          </cell>
          <cell r="H1022">
            <v>29.068369066046198</v>
          </cell>
          <cell r="I1022">
            <v>29.897775092583998</v>
          </cell>
          <cell r="J1022">
            <v>29.095288339796198</v>
          </cell>
          <cell r="K1022">
            <v>103.623987836662</v>
          </cell>
          <cell r="L1022">
            <v>102.194139693396</v>
          </cell>
          <cell r="M1022">
            <v>102.19410104855299</v>
          </cell>
          <cell r="N1022">
            <v>102.19401253295101</v>
          </cell>
          <cell r="O1022">
            <v>102.194086736312</v>
          </cell>
        </row>
        <row r="1023">
          <cell r="A1023" t="str">
            <v>RHEM-SHNGAHP</v>
          </cell>
          <cell r="B1023" t="str">
            <v>VAR_fout</v>
          </cell>
          <cell r="C1023" t="str">
            <v>RHEM-SHANGAH</v>
          </cell>
          <cell r="F1023">
            <v>1.0292092998059697E-3</v>
          </cell>
          <cell r="G1023">
            <v>1.8089613848516536E-3</v>
          </cell>
          <cell r="H1023">
            <v>1.1081027214893515</v>
          </cell>
          <cell r="I1023">
            <v>1.1768273174740509</v>
          </cell>
          <cell r="J1023">
            <v>1.1761925073534618</v>
          </cell>
          <cell r="K1023">
            <v>4.299293112372145</v>
          </cell>
          <cell r="L1023">
            <v>4.2399696255770722</v>
          </cell>
          <cell r="M1023">
            <v>4.2399680222272034</v>
          </cell>
          <cell r="N1023">
            <v>4.2399643497713724</v>
          </cell>
          <cell r="O1023">
            <v>4.239967428421461</v>
          </cell>
        </row>
        <row r="1024">
          <cell r="A1024" t="str">
            <v>RHEM-SHNGAHP</v>
          </cell>
          <cell r="B1024" t="str">
            <v>VAR_fin</v>
          </cell>
          <cell r="C1024" t="str">
            <v>RHEMELCHPC</v>
          </cell>
          <cell r="F1024">
            <v>1.0292092998059697E-3</v>
          </cell>
          <cell r="G1024">
            <v>1.8089613848516536E-3</v>
          </cell>
          <cell r="H1024">
            <v>1.1081027214893515</v>
          </cell>
          <cell r="I1024">
            <v>1.1768273174740509</v>
          </cell>
          <cell r="J1024">
            <v>1.1761925073534618</v>
          </cell>
          <cell r="K1024">
            <v>4.299293112372145</v>
          </cell>
          <cell r="L1024">
            <v>4.2399696255770722</v>
          </cell>
          <cell r="M1024">
            <v>4.2399680222272034</v>
          </cell>
          <cell r="N1024">
            <v>4.2399643497713724</v>
          </cell>
          <cell r="O1024">
            <v>4.239967428421461</v>
          </cell>
        </row>
        <row r="1025">
          <cell r="A1025" t="str">
            <v>RHEM-SHNGAHP</v>
          </cell>
          <cell r="B1025" t="str">
            <v>VAR_fin</v>
          </cell>
          <cell r="C1025" t="str">
            <v>RNGA</v>
          </cell>
          <cell r="F1025">
            <v>5.1460464990298461E-4</v>
          </cell>
          <cell r="G1025">
            <v>8.6969297348637141E-4</v>
          </cell>
          <cell r="H1025">
            <v>0.51539661464620989</v>
          </cell>
          <cell r="I1025">
            <v>0.53010239525858138</v>
          </cell>
          <cell r="J1025">
            <v>0.51587390673397437</v>
          </cell>
          <cell r="K1025">
            <v>1.8373047488769858</v>
          </cell>
          <cell r="L1025">
            <v>1.8119528314431936</v>
          </cell>
          <cell r="M1025">
            <v>1.8119521462509434</v>
          </cell>
          <cell r="N1025">
            <v>1.8119505768253745</v>
          </cell>
          <cell r="O1025">
            <v>1.8119518924878053</v>
          </cell>
        </row>
        <row r="1026">
          <cell r="A1026" t="str">
            <v>RHEM-SHNGAHP</v>
          </cell>
          <cell r="B1026" t="str">
            <v>VAR_ncap</v>
          </cell>
          <cell r="C1026" t="str">
            <v>-</v>
          </cell>
          <cell r="D1026">
            <v>1.3577676305439399E-7</v>
          </cell>
          <cell r="E1026">
            <v>3.9592880861525899E-7</v>
          </cell>
          <cell r="F1026">
            <v>1.04507005265201E-4</v>
          </cell>
          <cell r="G1026">
            <v>3.3021966408407998E-5</v>
          </cell>
          <cell r="H1026">
            <v>7.8264377793828999E-2</v>
          </cell>
          <cell r="I1026">
            <v>4.9480206964139101E-3</v>
          </cell>
          <cell r="J1026">
            <v>5.3716566860808997E-6</v>
          </cell>
          <cell r="K1026">
            <v>0.29937204540989698</v>
          </cell>
          <cell r="L1026">
            <v>1.2571244700412299E-5</v>
          </cell>
          <cell r="M1026">
            <v>2.0393270186706302E-3</v>
          </cell>
          <cell r="N1026">
            <v>0.24688972693036801</v>
          </cell>
          <cell r="O1026">
            <v>5.0589887721514702E-2</v>
          </cell>
        </row>
        <row r="1027">
          <cell r="A1027" t="str">
            <v>RHEM-SHNGAHP</v>
          </cell>
          <cell r="B1027" t="str">
            <v>VAR_cap</v>
          </cell>
          <cell r="C1027" t="str">
            <v>-</v>
          </cell>
          <cell r="D1027">
            <v>1.3577676305439399E-7</v>
          </cell>
          <cell r="E1027">
            <v>4.5682265740058087E-7</v>
          </cell>
          <cell r="F1027">
            <v>1.0492775058048299E-4</v>
          </cell>
          <cell r="G1027">
            <v>1.3795157735111481E-4</v>
          </cell>
          <cell r="H1027">
            <v>7.8401843891127296E-2</v>
          </cell>
          <cell r="I1027">
            <v>8.3260811450471373E-2</v>
          </cell>
          <cell r="J1027">
            <v>8.321761251262251E-2</v>
          </cell>
          <cell r="K1027">
            <v>0.30432514209473516</v>
          </cell>
          <cell r="L1027">
            <v>0.30014925011674892</v>
          </cell>
          <cell r="M1027">
            <v>0.30142358654905965</v>
          </cell>
          <cell r="N1027">
            <v>0.30196255978278264</v>
          </cell>
          <cell r="O1027">
            <v>0.2995186167152879</v>
          </cell>
        </row>
        <row r="1028">
          <cell r="A1028" t="str">
            <v>D-SPLT</v>
          </cell>
          <cell r="B1028" t="str">
            <v>VAR_fout</v>
          </cell>
          <cell r="C1028" t="str">
            <v>SPLT</v>
          </cell>
          <cell r="D1028">
            <v>2.0856344662285222</v>
          </cell>
          <cell r="E1028">
            <v>2.4000914852613211</v>
          </cell>
          <cell r="F1028">
            <v>2.3592338628578151</v>
          </cell>
          <cell r="G1028">
            <v>2.3729227214079152</v>
          </cell>
          <cell r="H1028">
            <v>2.5201346115890675</v>
          </cell>
          <cell r="I1028">
            <v>2.7918979959427315</v>
          </cell>
          <cell r="J1028">
            <v>2.7541613271096961</v>
          </cell>
          <cell r="K1028">
            <v>2.4880703816406906</v>
          </cell>
          <cell r="L1028">
            <v>2.4509966379303818</v>
          </cell>
          <cell r="M1028">
            <v>2.4681858610008884</v>
          </cell>
          <cell r="N1028">
            <v>2.4688541169460549</v>
          </cell>
          <cell r="O1028">
            <v>2.4691542165925857</v>
          </cell>
        </row>
        <row r="1029">
          <cell r="A1029" t="str">
            <v>D-SPLT</v>
          </cell>
          <cell r="B1029" t="str">
            <v>VAR_fin</v>
          </cell>
          <cell r="C1029" t="str">
            <v>PLT</v>
          </cell>
          <cell r="D1029">
            <v>2.0856344662285222</v>
          </cell>
          <cell r="E1029">
            <v>2.4000914852613211</v>
          </cell>
          <cell r="F1029">
            <v>2.3592338628578151</v>
          </cell>
          <cell r="G1029">
            <v>2.3729227214079152</v>
          </cell>
          <cell r="H1029">
            <v>2.5201346115890675</v>
          </cell>
          <cell r="I1029">
            <v>2.7918979959427315</v>
          </cell>
          <cell r="J1029">
            <v>2.7541613271096961</v>
          </cell>
          <cell r="K1029">
            <v>2.4880703816406906</v>
          </cell>
          <cell r="L1029">
            <v>2.4509966379303818</v>
          </cell>
          <cell r="M1029">
            <v>2.4681858610008884</v>
          </cell>
          <cell r="N1029">
            <v>2.4688541169460549</v>
          </cell>
          <cell r="O1029">
            <v>2.4691542165925857</v>
          </cell>
        </row>
        <row r="1030">
          <cell r="A1030" t="str">
            <v>RHES-SHCONBR</v>
          </cell>
          <cell r="B1030" t="str">
            <v>VAR_fout</v>
          </cell>
          <cell r="C1030" t="str">
            <v>RHES-SHCON</v>
          </cell>
          <cell r="F1030">
            <v>7.3920702739057101E-5</v>
          </cell>
          <cell r="G1030">
            <v>6.6554154149367058E-5</v>
          </cell>
          <cell r="H1030">
            <v>1.1644798901646617E-4</v>
          </cell>
          <cell r="I1030">
            <v>1.1615106472100718E-4</v>
          </cell>
          <cell r="J1030">
            <v>1.1777075952967527E-4</v>
          </cell>
          <cell r="K1030">
            <v>2.729338535265339E-4</v>
          </cell>
          <cell r="L1030">
            <v>2.7170341017842235E-4</v>
          </cell>
          <cell r="M1030">
            <v>3.2694335677811134E-4</v>
          </cell>
          <cell r="N1030">
            <v>9.4506643197499011E-4</v>
          </cell>
          <cell r="O1030">
            <v>4.9206546880909135E-4</v>
          </cell>
        </row>
        <row r="1031">
          <cell r="A1031" t="str">
            <v>RHES-SHCONBR</v>
          </cell>
          <cell r="B1031" t="str">
            <v>VAR_fin</v>
          </cell>
          <cell r="C1031" t="str">
            <v>CON</v>
          </cell>
          <cell r="F1031">
            <v>7.3920702739057101E-5</v>
          </cell>
          <cell r="G1031">
            <v>6.6554154149367058E-5</v>
          </cell>
          <cell r="H1031">
            <v>1.1644798901646617E-4</v>
          </cell>
          <cell r="I1031">
            <v>1.1615106472100718E-4</v>
          </cell>
          <cell r="J1031">
            <v>1.1777075952967527E-4</v>
          </cell>
          <cell r="K1031">
            <v>2.729338535265339E-4</v>
          </cell>
          <cell r="L1031">
            <v>2.7170341017842235E-4</v>
          </cell>
          <cell r="M1031">
            <v>3.2694335677811134E-4</v>
          </cell>
          <cell r="N1031">
            <v>9.4506643197499011E-4</v>
          </cell>
          <cell r="O1031">
            <v>4.9206546880909135E-4</v>
          </cell>
        </row>
        <row r="1032">
          <cell r="A1032" t="str">
            <v>RHES-SHCONBR</v>
          </cell>
          <cell r="B1032" t="str">
            <v>VAR_ncap</v>
          </cell>
          <cell r="C1032" t="str">
            <v>-</v>
          </cell>
          <cell r="E1032">
            <v>1.4833168168612E-8</v>
          </cell>
          <cell r="F1032">
            <v>5.5474545719118296E-6</v>
          </cell>
          <cell r="G1032">
            <v>5.4326421197569798E-8</v>
          </cell>
          <cell r="H1032">
            <v>3.97171215532977E-6</v>
          </cell>
          <cell r="I1032">
            <v>7.87916969631982E-8</v>
          </cell>
          <cell r="J1032">
            <v>8.5015363985172603E-8</v>
          </cell>
          <cell r="K1032">
            <v>1.18443640437163E-5</v>
          </cell>
          <cell r="L1032">
            <v>1.0816011978174799E-6</v>
          </cell>
          <cell r="M1032">
            <v>5.8534398734629398E-6</v>
          </cell>
          <cell r="N1032">
            <v>5.0383359107810303E-5</v>
          </cell>
          <cell r="O1032">
            <v>6.9768302458429997E-8</v>
          </cell>
        </row>
        <row r="1033">
          <cell r="A1033" t="str">
            <v>RHES-SHCONBR</v>
          </cell>
          <cell r="B1033" t="str">
            <v>VAR_cap</v>
          </cell>
          <cell r="C1033" t="str">
            <v>-</v>
          </cell>
          <cell r="E1033">
            <v>1.4833168168612E-8</v>
          </cell>
          <cell r="F1033">
            <v>5.5510067978290054E-6</v>
          </cell>
          <cell r="G1033">
            <v>5.6166141612780104E-6</v>
          </cell>
          <cell r="H1033">
            <v>9.5431783539930717E-6</v>
          </cell>
          <cell r="I1033">
            <v>9.598854510783132E-6</v>
          </cell>
          <cell r="J1033">
            <v>9.6467635030054176E-6</v>
          </cell>
          <cell r="K1033">
            <v>2.1413260060734774E-5</v>
          </cell>
          <cell r="L1033">
            <v>2.2576339225920495E-5</v>
          </cell>
          <cell r="M1033">
            <v>2.8312999372205564E-5</v>
          </cell>
          <cell r="N1033">
            <v>7.8764562664339783E-5</v>
          </cell>
          <cell r="O1033">
            <v>7.8984665902821506E-5</v>
          </cell>
        </row>
        <row r="1034">
          <cell r="A1034" t="str">
            <v>RHSA-WHSOLBR</v>
          </cell>
          <cell r="B1034" t="str">
            <v>VAR_fout</v>
          </cell>
          <cell r="C1034" t="str">
            <v>RHSA-WHASOL</v>
          </cell>
          <cell r="D1034">
            <v>1.721488024659851</v>
          </cell>
          <cell r="E1034">
            <v>1.9867203117150172</v>
          </cell>
          <cell r="F1034">
            <v>1.9465227266787357</v>
          </cell>
          <cell r="G1034">
            <v>1.5487588651818653</v>
          </cell>
          <cell r="H1034">
            <v>1.0712965590009045</v>
          </cell>
          <cell r="I1034">
            <v>1.0986272456153168</v>
          </cell>
          <cell r="J1034">
            <v>1.2549205863817563</v>
          </cell>
          <cell r="K1034">
            <v>3.064306539238578</v>
          </cell>
          <cell r="L1034">
            <v>3.0641893228269588</v>
          </cell>
          <cell r="M1034">
            <v>2.9610391735138584</v>
          </cell>
          <cell r="N1034">
            <v>3.0640795453118947</v>
          </cell>
          <cell r="O1034">
            <v>2.3798977187885324</v>
          </cell>
        </row>
        <row r="1035">
          <cell r="A1035" t="str">
            <v>RHSA-WHSOLBR</v>
          </cell>
          <cell r="B1035" t="str">
            <v>VAR_fin</v>
          </cell>
          <cell r="C1035" t="str">
            <v>SOL</v>
          </cell>
          <cell r="D1035">
            <v>1.721488024659851</v>
          </cell>
          <cell r="E1035">
            <v>1.9867203117150172</v>
          </cell>
          <cell r="F1035">
            <v>1.9465227266787357</v>
          </cell>
          <cell r="G1035">
            <v>1.5487588651818653</v>
          </cell>
          <cell r="H1035">
            <v>1.0712965590009045</v>
          </cell>
          <cell r="I1035">
            <v>1.0986272456153168</v>
          </cell>
          <cell r="J1035">
            <v>1.2549205863817563</v>
          </cell>
          <cell r="K1035">
            <v>3.064306539238578</v>
          </cell>
          <cell r="L1035">
            <v>3.0641893228269588</v>
          </cell>
          <cell r="M1035">
            <v>2.9610391735138584</v>
          </cell>
          <cell r="N1035">
            <v>3.0640795453118947</v>
          </cell>
          <cell r="O1035">
            <v>2.3798977187885324</v>
          </cell>
        </row>
        <row r="1036">
          <cell r="A1036" t="str">
            <v>RHSA-WHSOLBR</v>
          </cell>
          <cell r="B1036" t="str">
            <v>VAR_fin</v>
          </cell>
          <cell r="C1036" t="str">
            <v>RHSASOLBRC</v>
          </cell>
          <cell r="D1036">
            <v>1.721488024659851</v>
          </cell>
          <cell r="E1036">
            <v>1.9867203117150172</v>
          </cell>
          <cell r="F1036">
            <v>1.9465227266787357</v>
          </cell>
          <cell r="G1036">
            <v>1.5487588651818653</v>
          </cell>
          <cell r="H1036">
            <v>1.0712965590009045</v>
          </cell>
          <cell r="I1036">
            <v>1.0986272456153168</v>
          </cell>
          <cell r="J1036">
            <v>1.2549205863817563</v>
          </cell>
          <cell r="K1036">
            <v>3.064306539238578</v>
          </cell>
          <cell r="L1036">
            <v>3.0641893228269588</v>
          </cell>
          <cell r="M1036">
            <v>2.9610391735138584</v>
          </cell>
          <cell r="N1036">
            <v>3.0640795453118947</v>
          </cell>
          <cell r="O1036">
            <v>2.3798977187885324</v>
          </cell>
        </row>
        <row r="1037">
          <cell r="A1037" t="str">
            <v>RHSA-WHSOLBR</v>
          </cell>
          <cell r="B1037" t="str">
            <v>VAR_ncap</v>
          </cell>
          <cell r="C1037" t="str">
            <v>-</v>
          </cell>
          <cell r="E1037">
            <v>8.2551211515380904E-2</v>
          </cell>
          <cell r="F1037">
            <v>6.1778254902383196E-7</v>
          </cell>
          <cell r="G1037">
            <v>2.3287483961678299E-6</v>
          </cell>
          <cell r="H1037">
            <v>5.8506300377239299E-2</v>
          </cell>
          <cell r="I1037">
            <v>0.10114744475299201</v>
          </cell>
          <cell r="J1037">
            <v>2.4193435909044499E-2</v>
          </cell>
          <cell r="K1037">
            <v>0.558133247551723</v>
          </cell>
          <cell r="L1037">
            <v>1.71487747670586E-5</v>
          </cell>
          <cell r="M1037">
            <v>1.0653191634847899E-5</v>
          </cell>
          <cell r="N1037">
            <v>0.34680323105472</v>
          </cell>
          <cell r="O1037">
            <v>1.5047766980879999E-4</v>
          </cell>
        </row>
        <row r="1038">
          <cell r="A1038" t="str">
            <v>RHSA-WHSOLBR</v>
          </cell>
          <cell r="B1038" t="str">
            <v>VAR_cap</v>
          </cell>
          <cell r="C1038" t="str">
            <v>-</v>
          </cell>
          <cell r="D1038">
            <v>0.25000991745774798</v>
          </cell>
          <cell r="E1038">
            <v>0.33256112897312889</v>
          </cell>
          <cell r="F1038">
            <v>0.33256174675567785</v>
          </cell>
          <cell r="G1038">
            <v>0.33256407550407407</v>
          </cell>
          <cell r="H1038">
            <v>0.16564004901975038</v>
          </cell>
          <cell r="I1038">
            <v>0.15965576057400199</v>
          </cell>
          <cell r="J1038">
            <v>0.183847181039275</v>
          </cell>
          <cell r="K1038">
            <v>0.68347412821375897</v>
          </cell>
          <cell r="L1038">
            <v>0.59468002993339797</v>
          </cell>
          <cell r="M1038">
            <v>0.55816104951812495</v>
          </cell>
          <cell r="N1038">
            <v>0.44568323086705702</v>
          </cell>
          <cell r="O1038">
            <v>0.34696436191616398</v>
          </cell>
        </row>
        <row r="1039">
          <cell r="A1039" t="str">
            <v>SCOM-SHCONBR</v>
          </cell>
          <cell r="B1039" t="str">
            <v>VAR_ncap</v>
          </cell>
          <cell r="C1039" t="str">
            <v>-</v>
          </cell>
          <cell r="K1039">
            <v>1.04123436158253E-8</v>
          </cell>
          <cell r="L1039">
            <v>1.82059714946591E-8</v>
          </cell>
          <cell r="N1039">
            <v>1.29136768829497E-8</v>
          </cell>
          <cell r="O1039">
            <v>3.3574989174135701E-8</v>
          </cell>
        </row>
        <row r="1040">
          <cell r="A1040" t="str">
            <v>SCOM-SHCONBR</v>
          </cell>
          <cell r="B1040" t="str">
            <v>VAR_cap</v>
          </cell>
          <cell r="C1040" t="str">
            <v>-</v>
          </cell>
          <cell r="E1040">
            <v>-3.8886109588985498E-8</v>
          </cell>
          <cell r="F1040">
            <v>-6.6582519846286801E-8</v>
          </cell>
          <cell r="G1040">
            <v>-1.1641707060227E-7</v>
          </cell>
          <cell r="H1040">
            <v>-4.6548288500807297E-8</v>
          </cell>
          <cell r="I1040">
            <v>-9.8484755644764506E-8</v>
          </cell>
          <cell r="J1040">
            <v>-3.2027138652522898E-7</v>
          </cell>
          <cell r="K1040">
            <v>-3.4733754610590969E-7</v>
          </cell>
          <cell r="L1040">
            <v>2.8618315110484301E-8</v>
          </cell>
          <cell r="M1040">
            <v>-3.807222493672487E-7</v>
          </cell>
          <cell r="N1040">
            <v>-3.4673221945309998E-7</v>
          </cell>
          <cell r="O1040">
            <v>7.5106981167569702E-8</v>
          </cell>
        </row>
        <row r="1041">
          <cell r="A1041" t="str">
            <v>RHES-SHSOLBR</v>
          </cell>
          <cell r="B1041" t="str">
            <v>VAR_fout</v>
          </cell>
          <cell r="C1041" t="str">
            <v>RHES-SHASOL</v>
          </cell>
          <cell r="D1041">
            <v>0.37732610756439694</v>
          </cell>
          <cell r="E1041">
            <v>0.43546153793532827</v>
          </cell>
          <cell r="F1041">
            <v>0.43527460361348885</v>
          </cell>
          <cell r="G1041">
            <v>0.3488599223593627</v>
          </cell>
          <cell r="H1041">
            <v>0.36043377684579597</v>
          </cell>
          <cell r="I1041">
            <v>0.37328127140398876</v>
          </cell>
          <cell r="J1041">
            <v>0.40222336860986013</v>
          </cell>
          <cell r="K1041">
            <v>0.95611462440097528</v>
          </cell>
          <cell r="L1041">
            <v>0.92272783252598412</v>
          </cell>
          <cell r="M1041">
            <v>0.8484291685459705</v>
          </cell>
          <cell r="N1041">
            <v>0.89822086908637233</v>
          </cell>
          <cell r="O1041">
            <v>0.89809612188889765</v>
          </cell>
        </row>
        <row r="1042">
          <cell r="A1042" t="str">
            <v>RHES-SHSOLBR</v>
          </cell>
          <cell r="B1042" t="str">
            <v>VAR_fin</v>
          </cell>
          <cell r="C1042" t="str">
            <v>SOL</v>
          </cell>
          <cell r="D1042">
            <v>0.37732610756439694</v>
          </cell>
          <cell r="E1042">
            <v>0.43546153793532827</v>
          </cell>
          <cell r="F1042">
            <v>0.43527460361348885</v>
          </cell>
          <cell r="G1042">
            <v>0.3488599223593627</v>
          </cell>
          <cell r="H1042">
            <v>0.36043377684579597</v>
          </cell>
          <cell r="I1042">
            <v>0.37328127140398876</v>
          </cell>
          <cell r="J1042">
            <v>0.40222336860986013</v>
          </cell>
          <cell r="K1042">
            <v>0.95611462440097528</v>
          </cell>
          <cell r="L1042">
            <v>0.92272783252598412</v>
          </cell>
          <cell r="M1042">
            <v>0.8484291685459705</v>
          </cell>
          <cell r="N1042">
            <v>0.89822086908637233</v>
          </cell>
          <cell r="O1042">
            <v>0.89809612188889765</v>
          </cell>
        </row>
        <row r="1043">
          <cell r="A1043" t="str">
            <v>RHES-SHSOLBR</v>
          </cell>
          <cell r="B1043" t="str">
            <v>VAR_ncap</v>
          </cell>
          <cell r="C1043" t="str">
            <v>-</v>
          </cell>
          <cell r="E1043">
            <v>8.4485909542306795E-3</v>
          </cell>
          <cell r="F1043">
            <v>2.04714191757062E-7</v>
          </cell>
          <cell r="G1043">
            <v>2.6554253648449201E-7</v>
          </cell>
          <cell r="H1043">
            <v>4.2663497199216499E-2</v>
          </cell>
          <cell r="I1043">
            <v>1.6561896859256901E-2</v>
          </cell>
          <cell r="J1043">
            <v>1.11750428196887E-6</v>
          </cell>
          <cell r="K1043">
            <v>0.17110199074905999</v>
          </cell>
          <cell r="L1043">
            <v>7.9528478606795006E-3</v>
          </cell>
          <cell r="M1043">
            <v>2.3600723516165602E-6</v>
          </cell>
          <cell r="N1043">
            <v>0.14412128950046699</v>
          </cell>
          <cell r="O1043">
            <v>2.9925551719821902E-2</v>
          </cell>
        </row>
        <row r="1044">
          <cell r="A1044" t="str">
            <v>RHES-SHSOLBR</v>
          </cell>
          <cell r="B1044" t="str">
            <v>VAR_cap</v>
          </cell>
          <cell r="C1044" t="str">
            <v>-</v>
          </cell>
          <cell r="D1044">
            <v>5.4798678617278197E-2</v>
          </cell>
          <cell r="E1044">
            <v>6.3247269571508877E-2</v>
          </cell>
          <cell r="F1044">
            <v>6.3247474285700642E-2</v>
          </cell>
          <cell r="G1044">
            <v>6.3247739828237115E-2</v>
          </cell>
          <cell r="H1044">
            <v>6.1203739407510199E-2</v>
          </cell>
          <cell r="I1044">
            <v>5.9225652071729598E-2</v>
          </cell>
          <cell r="J1044">
            <v>5.9226511562755303E-2</v>
          </cell>
          <cell r="K1044">
            <v>0.18766500511259901</v>
          </cell>
          <cell r="L1044">
            <v>0.18160061104004099</v>
          </cell>
          <cell r="M1044">
            <v>0.179057198682091</v>
          </cell>
          <cell r="N1044">
            <v>0.17986124945970899</v>
          </cell>
          <cell r="O1044">
            <v>0.17404920129264101</v>
          </cell>
        </row>
        <row r="1045">
          <cell r="A1045" t="str">
            <v>SCOM-SHSOLBR</v>
          </cell>
          <cell r="B1045" t="str">
            <v>VAR_fout</v>
          </cell>
          <cell r="C1045" t="str">
            <v>SCOM-SHASOL</v>
          </cell>
          <cell r="D1045">
            <v>0.62699361478553695</v>
          </cell>
          <cell r="E1045">
            <v>0.68733289994314706</v>
          </cell>
          <cell r="F1045">
            <v>0.68717486743997847</v>
          </cell>
          <cell r="G1045">
            <v>0.68900975959858834</v>
          </cell>
          <cell r="H1045">
            <v>1.6300243658904436</v>
          </cell>
          <cell r="I1045">
            <v>3.3921776885754378</v>
          </cell>
          <cell r="J1045">
            <v>3.3190895531668203</v>
          </cell>
          <cell r="K1045">
            <v>3.5213229136869031</v>
          </cell>
          <cell r="L1045">
            <v>3.522438862058177</v>
          </cell>
          <cell r="M1045">
            <v>3.521762167482823</v>
          </cell>
          <cell r="N1045">
            <v>3.5220911965856851</v>
          </cell>
          <cell r="O1045">
            <v>3.3755399211540009</v>
          </cell>
        </row>
        <row r="1046">
          <cell r="A1046" t="str">
            <v>SCOM-SHSOLBR</v>
          </cell>
          <cell r="B1046" t="str">
            <v>VAR_fin</v>
          </cell>
          <cell r="C1046" t="str">
            <v>SOL</v>
          </cell>
          <cell r="D1046">
            <v>0.62699361478553695</v>
          </cell>
          <cell r="E1046">
            <v>0.68733289994314706</v>
          </cell>
          <cell r="F1046">
            <v>0.68717486743997847</v>
          </cell>
          <cell r="G1046">
            <v>0.68900975959858834</v>
          </cell>
          <cell r="H1046">
            <v>1.6300243658904436</v>
          </cell>
          <cell r="I1046">
            <v>3.3921776885754378</v>
          </cell>
          <cell r="J1046">
            <v>3.3190895531668203</v>
          </cell>
          <cell r="K1046">
            <v>3.5213229136869031</v>
          </cell>
          <cell r="L1046">
            <v>3.522438862058177</v>
          </cell>
          <cell r="M1046">
            <v>3.521762167482823</v>
          </cell>
          <cell r="N1046">
            <v>3.5220911965856851</v>
          </cell>
          <cell r="O1046">
            <v>3.3755399211540009</v>
          </cell>
        </row>
        <row r="1047">
          <cell r="A1047" t="str">
            <v>SCOM-SHSOLBR</v>
          </cell>
          <cell r="B1047" t="str">
            <v>VAR_ncap</v>
          </cell>
          <cell r="C1047" t="str">
            <v>-</v>
          </cell>
          <cell r="D1047">
            <v>1.5279983412858098E-5</v>
          </cell>
          <cell r="E1047">
            <v>8.7638164491036404E-3</v>
          </cell>
          <cell r="F1047">
            <v>2.0708055683073798E-6</v>
          </cell>
          <cell r="G1047">
            <v>2.4300090270203099E-4</v>
          </cell>
          <cell r="H1047">
            <v>0.208576341434935</v>
          </cell>
          <cell r="I1047">
            <v>0.28392567686356501</v>
          </cell>
          <cell r="J1047">
            <v>1.90985028449524E-2</v>
          </cell>
          <cell r="K1047">
            <v>0.20857613568224501</v>
          </cell>
          <cell r="L1047">
            <v>0.24282951637063199</v>
          </cell>
          <cell r="M1047">
            <v>6.0194373448266898E-2</v>
          </cell>
          <cell r="N1047">
            <v>0.24861275807119701</v>
          </cell>
          <cell r="O1047">
            <v>0.20279261978775601</v>
          </cell>
        </row>
        <row r="1048">
          <cell r="A1048" t="str">
            <v>SCOM-SHSOLBR</v>
          </cell>
          <cell r="B1048" t="str">
            <v>VAR_cap</v>
          </cell>
          <cell r="C1048" t="str">
            <v>-</v>
          </cell>
          <cell r="D1048">
            <v>9.1072873459492359E-2</v>
          </cell>
          <cell r="E1048">
            <v>9.9836689908595996E-2</v>
          </cell>
          <cell r="F1048">
            <v>9.983876071416431E-2</v>
          </cell>
          <cell r="G1048">
            <v>0.10008176161686634</v>
          </cell>
          <cell r="H1048">
            <v>0.23692983966551801</v>
          </cell>
          <cell r="I1048">
            <v>0.492699223905463</v>
          </cell>
          <cell r="J1048">
            <v>0.511600521143452</v>
          </cell>
          <cell r="K1048">
            <v>0.51160031539076201</v>
          </cell>
          <cell r="L1048">
            <v>0.51160002865087795</v>
          </cell>
          <cell r="M1048">
            <v>0.51160002550114403</v>
          </cell>
          <cell r="N1048">
            <v>0.51159977307933902</v>
          </cell>
          <cell r="O1048">
            <v>0.51159975130722002</v>
          </cell>
        </row>
        <row r="1049">
          <cell r="A1049" t="str">
            <v>RHEM-SHSTG-ELCHP</v>
          </cell>
          <cell r="B1049" t="str">
            <v>VAR_fout</v>
          </cell>
          <cell r="C1049" t="str">
            <v>RHEM-SHAELCH</v>
          </cell>
          <cell r="D1049">
            <v>4.4884063546066301E-7</v>
          </cell>
          <cell r="E1049">
            <v>5.8996956516085451E-7</v>
          </cell>
          <cell r="F1049">
            <v>1.7508410359741786</v>
          </cell>
          <cell r="G1049">
            <v>2.4195784287803717</v>
          </cell>
          <cell r="H1049">
            <v>4.3863856087820228</v>
          </cell>
          <cell r="I1049">
            <v>3.8753960877963216</v>
          </cell>
          <cell r="J1049">
            <v>4.9097939140920577</v>
          </cell>
          <cell r="K1049">
            <v>5.4743548890272331</v>
          </cell>
          <cell r="L1049">
            <v>5.5253739300807032</v>
          </cell>
          <cell r="M1049">
            <v>5.5601289688738875</v>
          </cell>
          <cell r="N1049">
            <v>5.1399911179747342</v>
          </cell>
          <cell r="O1049">
            <v>5.4894164555545473</v>
          </cell>
        </row>
        <row r="1050">
          <cell r="A1050" t="str">
            <v>RHEM-SHSTG-ELCHP</v>
          </cell>
          <cell r="B1050" t="str">
            <v>VAR_fin</v>
          </cell>
          <cell r="C1050" t="str">
            <v>RHEM-SHAELCH</v>
          </cell>
          <cell r="D1050">
            <v>6.3666342268083593E-7</v>
          </cell>
          <cell r="E1050">
            <v>7.7213442667404249E-7</v>
          </cell>
          <cell r="F1050">
            <v>1.750930807722666</v>
          </cell>
          <cell r="G1050">
            <v>2.4196852656849459</v>
          </cell>
          <cell r="H1050">
            <v>4.3865507196750269</v>
          </cell>
          <cell r="I1050">
            <v>3.8755461384974312</v>
          </cell>
          <cell r="J1050">
            <v>4.9099793630002004</v>
          </cell>
          <cell r="K1050">
            <v>5.4745290417028567</v>
          </cell>
          <cell r="L1050">
            <v>5.5255808462744778</v>
          </cell>
          <cell r="M1050">
            <v>5.5603435263271317</v>
          </cell>
          <cell r="N1050">
            <v>5.1401849499880745</v>
          </cell>
          <cell r="O1050">
            <v>5.4896436903597383</v>
          </cell>
        </row>
        <row r="1051">
          <cell r="A1051" t="str">
            <v>RHEM-SHSTG-ELCHP</v>
          </cell>
          <cell r="B1051" t="str">
            <v>VAR_ncap</v>
          </cell>
          <cell r="C1051" t="str">
            <v>-</v>
          </cell>
          <cell r="D1051">
            <v>5.62781042522269E-3</v>
          </cell>
          <cell r="E1051">
            <v>0.188033255824058</v>
          </cell>
          <cell r="F1051">
            <v>3.8430049343413398E-5</v>
          </cell>
          <cell r="G1051">
            <v>8.5924542732436604E-2</v>
          </cell>
          <cell r="H1051">
            <v>0.204569110629231</v>
          </cell>
          <cell r="I1051">
            <v>0.12809734391237201</v>
          </cell>
          <cell r="J1051">
            <v>0.135140149115833</v>
          </cell>
          <cell r="K1051">
            <v>0.27063447437958099</v>
          </cell>
          <cell r="L1051">
            <v>0.12705841616833599</v>
          </cell>
          <cell r="M1051">
            <v>0.13692901750554601</v>
          </cell>
          <cell r="N1051">
            <v>0.26339155254570201</v>
          </cell>
          <cell r="O1051">
            <v>0.133384751303041</v>
          </cell>
        </row>
        <row r="1052">
          <cell r="A1052" t="str">
            <v>RHEM-SHSTG-ELCHP</v>
          </cell>
          <cell r="B1052" t="str">
            <v>VAR_cap</v>
          </cell>
          <cell r="C1052" t="str">
            <v>-</v>
          </cell>
          <cell r="D1052">
            <v>5.62781042522269E-3</v>
          </cell>
          <cell r="E1052">
            <v>0.19365041635594324</v>
          </cell>
          <cell r="F1052">
            <v>0.1936544943328688</v>
          </cell>
          <cell r="G1052">
            <v>0.27956214162511239</v>
          </cell>
          <cell r="H1052">
            <v>0.38822986107740848</v>
          </cell>
          <cell r="I1052">
            <v>0.40220014791373393</v>
          </cell>
          <cell r="J1052">
            <v>0.46775394736120168</v>
          </cell>
          <cell r="K1052">
            <v>0.53372107651108491</v>
          </cell>
          <cell r="L1052">
            <v>0.53437052314393796</v>
          </cell>
          <cell r="M1052">
            <v>0.53437062099255295</v>
          </cell>
          <cell r="N1052">
            <v>0.53467380117234031</v>
          </cell>
          <cell r="O1052">
            <v>0.53343177439069744</v>
          </cell>
        </row>
        <row r="1053">
          <cell r="A1053" t="str">
            <v>ITOT-SWHELCBR</v>
          </cell>
          <cell r="B1053" t="str">
            <v>VAR_fout</v>
          </cell>
          <cell r="C1053" t="str">
            <v>ITOT-SWHAELC</v>
          </cell>
          <cell r="D1053">
            <v>9.8138909682746931</v>
          </cell>
          <cell r="E1053">
            <v>10.335082919654059</v>
          </cell>
          <cell r="F1053">
            <v>10.34014119991831</v>
          </cell>
          <cell r="G1053">
            <v>11.543914638978208</v>
          </cell>
          <cell r="H1053">
            <v>11.543915130762308</v>
          </cell>
          <cell r="I1053">
            <v>11.543915500329513</v>
          </cell>
          <cell r="J1053">
            <v>11.543915981655257</v>
          </cell>
          <cell r="K1053">
            <v>11.54391825734435</v>
          </cell>
          <cell r="L1053">
            <v>11.543916627059719</v>
          </cell>
          <cell r="M1053">
            <v>11.630855604061143</v>
          </cell>
          <cell r="N1053">
            <v>11.630855281229858</v>
          </cell>
          <cell r="O1053">
            <v>11.63085941987581</v>
          </cell>
        </row>
        <row r="1054">
          <cell r="A1054" t="str">
            <v>ITOT-SWHELCBR</v>
          </cell>
          <cell r="B1054" t="str">
            <v>VAR_fin</v>
          </cell>
          <cell r="C1054" t="str">
            <v>ITOT_ELC</v>
          </cell>
          <cell r="D1054">
            <v>11.646939547627476</v>
          </cell>
          <cell r="E1054">
            <v>12.258977920262858</v>
          </cell>
          <cell r="F1054">
            <v>12.255232442241219</v>
          </cell>
          <cell r="G1054">
            <v>13.6638612329418</v>
          </cell>
          <cell r="H1054">
            <v>13.645814820360313</v>
          </cell>
          <cell r="I1054">
            <v>13.627815871405033</v>
          </cell>
          <cell r="J1054">
            <v>13.609864474352737</v>
          </cell>
          <cell r="K1054">
            <v>13.591962422651001</v>
          </cell>
          <cell r="L1054">
            <v>13.591960503132265</v>
          </cell>
          <cell r="M1054">
            <v>13.69432360742014</v>
          </cell>
          <cell r="N1054">
            <v>13.694323227314309</v>
          </cell>
          <cell r="O1054">
            <v>13.694328100210916</v>
          </cell>
        </row>
        <row r="1055">
          <cell r="A1055" t="str">
            <v>ITOT-SWHELCBR</v>
          </cell>
          <cell r="B1055" t="str">
            <v>VAR_ncap</v>
          </cell>
          <cell r="C1055" t="str">
            <v>-</v>
          </cell>
          <cell r="E1055">
            <v>0.16728626209665801</v>
          </cell>
          <cell r="F1055">
            <v>1.92733930506612E-4</v>
          </cell>
          <cell r="G1055">
            <v>0.16165849494787499</v>
          </cell>
          <cell r="H1055">
            <v>0.77870810262510803</v>
          </cell>
          <cell r="I1055">
            <v>0.25045327988108401</v>
          </cell>
          <cell r="J1055">
            <v>0.15653666573021199</v>
          </cell>
          <cell r="K1055">
            <v>0.77960631584761397</v>
          </cell>
          <cell r="L1055">
            <v>0.177685720411278</v>
          </cell>
          <cell r="M1055">
            <v>4.2068505034100499E-2</v>
          </cell>
          <cell r="N1055">
            <v>0.75264856963528703</v>
          </cell>
          <cell r="O1055">
            <v>0.25508005634477898</v>
          </cell>
        </row>
        <row r="1056">
          <cell r="A1056" t="str">
            <v>ITOT-SWHELCBR</v>
          </cell>
          <cell r="B1056" t="str">
            <v>VAR_cap</v>
          </cell>
          <cell r="C1056" t="str">
            <v>-</v>
          </cell>
          <cell r="D1056">
            <v>0.55644997413134401</v>
          </cell>
          <cell r="E1056">
            <v>0.72373361387098434</v>
          </cell>
          <cell r="F1056">
            <v>0.72391885789479615</v>
          </cell>
          <cell r="G1056">
            <v>0.88556404141075029</v>
          </cell>
          <cell r="H1056">
            <v>1.1705259159343235</v>
          </cell>
          <cell r="I1056">
            <v>1.1600782051806053</v>
          </cell>
          <cell r="J1056">
            <v>1.1856794103972774</v>
          </cell>
          <cell r="K1056">
            <v>1.1865657637973264</v>
          </cell>
          <cell r="L1056">
            <v>1.1315369753370055</v>
          </cell>
          <cell r="M1056">
            <v>0.99932687943035281</v>
          </cell>
          <cell r="N1056">
            <v>1.0541094893322931</v>
          </cell>
          <cell r="O1056">
            <v>1.0497604592044854</v>
          </cell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20.996011201929893</v>
          </cell>
          <cell r="K4">
            <v>12.092487539588138</v>
          </cell>
          <cell r="L4">
            <v>27.973648227788114</v>
          </cell>
          <cell r="M4">
            <v>76.683482289024539</v>
          </cell>
          <cell r="N4">
            <v>141.57866237468534</v>
          </cell>
          <cell r="O4">
            <v>164.13247547856241</v>
          </cell>
          <cell r="P4">
            <v>164.24406252934955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3.2297811901758872E-2</v>
          </cell>
          <cell r="K5">
            <v>1.4368938819584506E-2</v>
          </cell>
          <cell r="L5">
            <v>2.0575219925096428</v>
          </cell>
          <cell r="M5">
            <v>71.721452293831476</v>
          </cell>
          <cell r="N5">
            <v>133.45514469501518</v>
          </cell>
          <cell r="O5">
            <v>156.72464481643647</v>
          </cell>
          <cell r="P5">
            <v>157.81326171503019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20.686723825180625</v>
          </cell>
          <cell r="K6">
            <v>11.93534188763325</v>
          </cell>
          <cell r="L6">
            <v>25.884668214966066</v>
          </cell>
          <cell r="M6">
            <v>4.9134900345239547</v>
          </cell>
          <cell r="N6">
            <v>8.0270713820588355</v>
          </cell>
          <cell r="O6">
            <v>7.3384924992522933</v>
          </cell>
          <cell r="P6">
            <v>6.2764678618216871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0.27698956484749465</v>
          </cell>
          <cell r="K7">
            <v>0.14277671313530493</v>
          </cell>
          <cell r="L7">
            <v>3.1458020312382935E-2</v>
          </cell>
          <cell r="M7">
            <v>4.8539960669073332E-2</v>
          </cell>
          <cell r="N7">
            <v>9.6446297611249482E-2</v>
          </cell>
          <cell r="O7">
            <v>6.9338162873739034E-2</v>
          </cell>
          <cell r="P7">
            <v>0.15433295249783099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-67.714538220263535</v>
          </cell>
          <cell r="K8">
            <v>-48.394153171514269</v>
          </cell>
          <cell r="L8">
            <v>-53.429576294934932</v>
          </cell>
          <cell r="M8">
            <v>-65.191136651181139</v>
          </cell>
          <cell r="N8">
            <v>-73.791737801902741</v>
          </cell>
          <cell r="O8">
            <v>-81.627604131299208</v>
          </cell>
          <cell r="P8">
            <v>-89.731305029009391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485.9675695005572</v>
          </cell>
          <cell r="K9">
            <v>1107.5962817323123</v>
          </cell>
          <cell r="L9">
            <v>1152.3341509694678</v>
          </cell>
          <cell r="M9">
            <v>1140.9251510619126</v>
          </cell>
          <cell r="N9">
            <v>1140.9250811230443</v>
          </cell>
          <cell r="O9">
            <v>1140.9250007211679</v>
          </cell>
          <cell r="P9">
            <v>1140.925080568451</v>
          </cell>
        </row>
        <row r="10">
          <cell r="B10" t="str">
            <v>CO2_O</v>
          </cell>
          <cell r="C10" t="str">
            <v>VAR_fout</v>
          </cell>
          <cell r="D10" t="str">
            <v>ENGA-CCS</v>
          </cell>
          <cell r="K10">
            <v>2.8418549212220806E-4</v>
          </cell>
          <cell r="L10">
            <v>7.9230558300299823E-3</v>
          </cell>
          <cell r="M10">
            <v>4.4428734557800231</v>
          </cell>
          <cell r="N10">
            <v>4.9456949342713425</v>
          </cell>
          <cell r="O10">
            <v>4.8210114045922303</v>
          </cell>
          <cell r="P10">
            <v>4.8700327355606952</v>
          </cell>
        </row>
        <row r="11">
          <cell r="B11" t="str">
            <v>CO2_O</v>
          </cell>
          <cell r="C11" t="str">
            <v>VAR_fout</v>
          </cell>
          <cell r="D11" t="str">
            <v>CHPWSTCCS</v>
          </cell>
          <cell r="J11">
            <v>542.08489995502964</v>
          </cell>
          <cell r="K11">
            <v>1143.8529487899534</v>
          </cell>
          <cell r="L11">
            <v>1099.4970359774347</v>
          </cell>
          <cell r="M11">
            <v>1088.611033487826</v>
          </cell>
          <cell r="N11">
            <v>1088.6110636611459</v>
          </cell>
          <cell r="O11">
            <v>1088.6109342716366</v>
          </cell>
          <cell r="P11">
            <v>1088.611038158841</v>
          </cell>
        </row>
        <row r="12">
          <cell r="B12" t="str">
            <v>CO2_O</v>
          </cell>
          <cell r="C12" t="str">
            <v>VAR_fout</v>
          </cell>
          <cell r="D12" t="str">
            <v>ITOT-CHPWSTCCS</v>
          </cell>
          <cell r="J12">
            <v>58.352515701655683</v>
          </cell>
          <cell r="K12">
            <v>753.86114883925211</v>
          </cell>
          <cell r="L12">
            <v>715.12262405460888</v>
          </cell>
          <cell r="M12">
            <v>715.06072198667164</v>
          </cell>
          <cell r="N12">
            <v>714.89664186399932</v>
          </cell>
          <cell r="O12">
            <v>715.05472921015144</v>
          </cell>
          <cell r="P12">
            <v>715.17166059681313</v>
          </cell>
        </row>
        <row r="13">
          <cell r="B13" t="str">
            <v>CO2_O</v>
          </cell>
          <cell r="C13" t="str">
            <v>VAR_fout</v>
          </cell>
          <cell r="D13" t="str">
            <v>ITOT-CHPNGACCS</v>
          </cell>
          <cell r="J13">
            <v>0.70307075519273021</v>
          </cell>
          <cell r="K13">
            <v>37.858718360385019</v>
          </cell>
          <cell r="L13">
            <v>37.972353470244727</v>
          </cell>
          <cell r="M13">
            <v>37.949802380163931</v>
          </cell>
          <cell r="N13">
            <v>31.846153246754909</v>
          </cell>
          <cell r="O13">
            <v>37.958992247443611</v>
          </cell>
          <cell r="P13">
            <v>37.983419163188685</v>
          </cell>
        </row>
        <row r="14">
          <cell r="B14" t="str">
            <v>CO2_O</v>
          </cell>
          <cell r="C14" t="str">
            <v>VAR_fout</v>
          </cell>
          <cell r="D14" t="str">
            <v>SUP_WSTHTGBIOCCS</v>
          </cell>
          <cell r="J14">
            <v>4.3433354622501134E-3</v>
          </cell>
          <cell r="K14">
            <v>5.9303765571936864E-3</v>
          </cell>
          <cell r="L14">
            <v>4.285709643532621E-2</v>
          </cell>
          <cell r="M14">
            <v>4.0760678857430524E-2</v>
          </cell>
          <cell r="N14">
            <v>2.7240218056360205E-2</v>
          </cell>
          <cell r="O14">
            <v>3.089511603739193E-2</v>
          </cell>
          <cell r="P14">
            <v>2.9081567623065612E-2</v>
          </cell>
        </row>
        <row r="15">
          <cell r="B15" t="str">
            <v>CO2_O</v>
          </cell>
          <cell r="C15" t="str">
            <v>VAR_fout</v>
          </cell>
          <cell r="D15" t="str">
            <v>ITOT-CHPWODCCS</v>
          </cell>
          <cell r="J15">
            <v>755.6963826981181</v>
          </cell>
          <cell r="K15">
            <v>1069.7403589923388</v>
          </cell>
          <cell r="L15">
            <v>1239.9171715040291</v>
          </cell>
          <cell r="M15">
            <v>1229.6855740591475</v>
          </cell>
          <cell r="N15">
            <v>1239.9172482780323</v>
          </cell>
          <cell r="O15">
            <v>1237.0148901997379</v>
          </cell>
          <cell r="P15">
            <v>1239.9183237934596</v>
          </cell>
        </row>
        <row r="16">
          <cell r="B16" t="str">
            <v>CO2_O</v>
          </cell>
          <cell r="C16" t="str">
            <v>VAR_fout</v>
          </cell>
          <cell r="D16" t="str">
            <v>EWOD-CCS</v>
          </cell>
          <cell r="J16">
            <v>0.1655545844890986</v>
          </cell>
          <cell r="K16">
            <v>10.751668750198432</v>
          </cell>
          <cell r="L16">
            <v>168.53619896210162</v>
          </cell>
          <cell r="M16">
            <v>181.57038057702979</v>
          </cell>
          <cell r="N16">
            <v>181.86926235760106</v>
          </cell>
          <cell r="O16">
            <v>182.00309109385475</v>
          </cell>
          <cell r="P16">
            <v>182.21006656731973</v>
          </cell>
        </row>
        <row r="17">
          <cell r="B17" t="str">
            <v>CO2_O</v>
          </cell>
          <cell r="C17" t="str">
            <v>VAR_fout</v>
          </cell>
          <cell r="D17" t="str">
            <v>ITOT-PROCESSCO2CCS</v>
          </cell>
          <cell r="J17">
            <v>6.756669341155723E-2</v>
          </cell>
          <cell r="K17">
            <v>1035.2511329839008</v>
          </cell>
          <cell r="L17">
            <v>1031.8775711267963</v>
          </cell>
          <cell r="M17">
            <v>1031.8789146349693</v>
          </cell>
          <cell r="N17">
            <v>1031.8801136712805</v>
          </cell>
          <cell r="O17">
            <v>1031.8806322473702</v>
          </cell>
          <cell r="P17">
            <v>1031.8814857693417</v>
          </cell>
        </row>
        <row r="18">
          <cell r="B18" t="str">
            <v>CO2_O</v>
          </cell>
          <cell r="C18" t="str">
            <v>VAR_fout</v>
          </cell>
          <cell r="D18" t="str">
            <v>SUP_WODH2CCS</v>
          </cell>
          <cell r="L18">
            <v>838.57681068000659</v>
          </cell>
          <cell r="M18">
            <v>839.29618472219397</v>
          </cell>
          <cell r="N18">
            <v>930.18459636756393</v>
          </cell>
          <cell r="O18">
            <v>930.20305962815723</v>
          </cell>
          <cell r="P18">
            <v>930.11526600244804</v>
          </cell>
        </row>
        <row r="19">
          <cell r="B19" t="str">
            <v>CO2_O</v>
          </cell>
          <cell r="C19" t="str">
            <v>VAR_fout</v>
          </cell>
          <cell r="D19" t="str">
            <v>SUP_WODBIOCCS</v>
          </cell>
          <cell r="J19">
            <v>2.2035311089550851E-2</v>
          </cell>
          <cell r="K19">
            <v>3.101732106391452E-2</v>
          </cell>
          <cell r="L19">
            <v>6.6614422794923966E-2</v>
          </cell>
          <cell r="M19">
            <v>6.5135919461198524E-2</v>
          </cell>
          <cell r="N19">
            <v>6.0989249856987678E-2</v>
          </cell>
          <cell r="O19">
            <v>6.2251622080272309E-2</v>
          </cell>
          <cell r="P19">
            <v>9.7926750341969376E-2</v>
          </cell>
        </row>
        <row r="20">
          <cell r="B20" t="str">
            <v>CO2_O</v>
          </cell>
          <cell r="C20" t="str">
            <v>VAR_fout</v>
          </cell>
          <cell r="D20" t="str">
            <v>SUP_NGAH2CCS</v>
          </cell>
          <cell r="L20">
            <v>9.3323023535850386E-3</v>
          </cell>
          <cell r="M20">
            <v>9.6214644929333848E-3</v>
          </cell>
          <cell r="N20">
            <v>9.2552242319413735E-3</v>
          </cell>
          <cell r="O20">
            <v>1.2141574890157856E-2</v>
          </cell>
          <cell r="P20">
            <v>1.803920359959749E-2</v>
          </cell>
        </row>
        <row r="21">
          <cell r="B21" t="str">
            <v>CO2_O</v>
          </cell>
          <cell r="C21" t="str">
            <v>VAR_fout</v>
          </cell>
          <cell r="D21" t="str">
            <v>CT_CWODETHCCS</v>
          </cell>
          <cell r="J21">
            <v>1.932090650751922E-3</v>
          </cell>
          <cell r="K21">
            <v>1.6649606032863586E-3</v>
          </cell>
          <cell r="L21">
            <v>1.9401740845663956E-3</v>
          </cell>
          <cell r="M21">
            <v>1.9692729720361315E-3</v>
          </cell>
          <cell r="N21">
            <v>1.4264527637841994E-2</v>
          </cell>
          <cell r="O21">
            <v>3.0989392100065323E-3</v>
          </cell>
          <cell r="P21">
            <v>1.2717103011634812E-2</v>
          </cell>
        </row>
        <row r="22">
          <cell r="B22" t="str">
            <v>CO2_O</v>
          </cell>
          <cell r="C22" t="str">
            <v>VAR_fout</v>
          </cell>
          <cell r="D22" t="str">
            <v>SUP_DAC</v>
          </cell>
          <cell r="J22">
            <v>4.5787766727971579E-3</v>
          </cell>
          <cell r="K22">
            <v>7.5479600779775075E-3</v>
          </cell>
          <cell r="L22">
            <v>105.66361755237882</v>
          </cell>
          <cell r="M22">
            <v>329.3350434470197</v>
          </cell>
          <cell r="N22">
            <v>1505.0228173200264</v>
          </cell>
          <cell r="O22">
            <v>2210.9432139250184</v>
          </cell>
          <cell r="P22">
            <v>2918.414832594935</v>
          </cell>
        </row>
        <row r="23">
          <cell r="B23" t="str">
            <v>CO2_O</v>
          </cell>
          <cell r="C23" t="str">
            <v>VAR_fout</v>
          </cell>
          <cell r="D23" t="str">
            <v>CT_CWODBDSCCS</v>
          </cell>
          <cell r="J23">
            <v>1.5925781768867008E-2</v>
          </cell>
          <cell r="K23">
            <v>2.4031747771170595E-2</v>
          </cell>
          <cell r="L23">
            <v>604.36600845463636</v>
          </cell>
          <cell r="M23">
            <v>688.13682237515809</v>
          </cell>
          <cell r="N23">
            <v>604.36589117880249</v>
          </cell>
          <cell r="O23">
            <v>691.20421125113455</v>
          </cell>
          <cell r="P23">
            <v>706.09471700090705</v>
          </cell>
        </row>
        <row r="24">
          <cell r="B24" t="str">
            <v>CO2_O</v>
          </cell>
          <cell r="C24" t="str">
            <v>VAR_fin</v>
          </cell>
          <cell r="D24" t="str">
            <v>D-CO2_O</v>
          </cell>
          <cell r="J24">
            <v>1843.0754691374145</v>
          </cell>
          <cell r="K24">
            <v>5158.9700694993253</v>
          </cell>
          <cell r="L24">
            <v>6993.9780973531224</v>
          </cell>
          <cell r="M24">
            <v>7286.9998658439772</v>
          </cell>
          <cell r="N24">
            <v>8474.5619199099565</v>
          </cell>
          <cell r="O24">
            <v>9270.7166862561808</v>
          </cell>
          <cell r="P24">
            <v>9996.3395955283468</v>
          </cell>
        </row>
        <row r="25">
          <cell r="B25" t="str">
            <v>CO2_O</v>
          </cell>
          <cell r="C25" t="str">
            <v>EQ_combalM</v>
          </cell>
          <cell r="D25" t="str">
            <v>-</v>
          </cell>
          <cell r="J25">
            <v>-69.255934731440661</v>
          </cell>
          <cell r="K25">
            <v>-50.736438972683949</v>
          </cell>
          <cell r="L25">
            <v>-55.471361167654841</v>
          </cell>
          <cell r="M25">
            <v>-66.346887437855287</v>
          </cell>
          <cell r="N25">
            <v>-75.054757608053379</v>
          </cell>
          <cell r="O25">
            <v>-82.476659402136406</v>
          </cell>
          <cell r="P25">
            <v>-90.741172733572185</v>
          </cell>
        </row>
        <row r="26">
          <cell r="B26" t="str">
            <v>CO2_Q</v>
          </cell>
          <cell r="C26" t="str">
            <v>VAR_fout</v>
          </cell>
          <cell r="D26" t="str">
            <v>D-CO2_O</v>
          </cell>
          <cell r="J26">
            <v>833.33183175048759</v>
          </cell>
          <cell r="K26">
            <v>343.4962982623436</v>
          </cell>
          <cell r="L26">
            <v>658.807688332167</v>
          </cell>
          <cell r="M26">
            <v>903.11782224240676</v>
          </cell>
          <cell r="N26">
            <v>2025.7846723133641</v>
          </cell>
          <cell r="O26">
            <v>2799.3845259214509</v>
          </cell>
          <cell r="P26">
            <v>3524.8961179298694</v>
          </cell>
        </row>
        <row r="27">
          <cell r="B27" t="str">
            <v>CO2_Q</v>
          </cell>
          <cell r="C27" t="str">
            <v>VAR_fin</v>
          </cell>
          <cell r="D27" t="str">
            <v>CO2SINK</v>
          </cell>
          <cell r="J27">
            <v>833.33183175048759</v>
          </cell>
          <cell r="K27">
            <v>343.4962982623436</v>
          </cell>
          <cell r="L27">
            <v>658.807688332167</v>
          </cell>
          <cell r="M27">
            <v>903.11782224240676</v>
          </cell>
          <cell r="N27">
            <v>2025.7846723133641</v>
          </cell>
          <cell r="O27">
            <v>2799.3845259214509</v>
          </cell>
          <cell r="P27">
            <v>3524.8961179298694</v>
          </cell>
        </row>
        <row r="28">
          <cell r="B28" t="str">
            <v>CO2_Q</v>
          </cell>
          <cell r="C28" t="str">
            <v>EQ_combalM</v>
          </cell>
          <cell r="D28" t="str">
            <v>-</v>
          </cell>
          <cell r="J28">
            <v>-67.714538220263535</v>
          </cell>
          <cell r="K28">
            <v>-48.394153171514269</v>
          </cell>
          <cell r="L28">
            <v>-53.429576294934932</v>
          </cell>
          <cell r="M28">
            <v>-65.191136651181139</v>
          </cell>
          <cell r="N28">
            <v>-73.791737801902741</v>
          </cell>
          <cell r="O28">
            <v>-81.627604131299208</v>
          </cell>
          <cell r="P28">
            <v>-89.731305029009391</v>
          </cell>
        </row>
        <row r="29">
          <cell r="B29" t="str">
            <v>CO2_R</v>
          </cell>
          <cell r="C29" t="str">
            <v>VAR_fout</v>
          </cell>
          <cell r="D29" t="str">
            <v>RHNS-SHNGAHP</v>
          </cell>
          <cell r="G29">
            <v>6.0845764135438303E-2</v>
          </cell>
          <cell r="H29">
            <v>5.4003063673570301E-2</v>
          </cell>
          <cell r="I29">
            <v>0.56641924639886998</v>
          </cell>
          <cell r="J29">
            <v>20.145383377215101</v>
          </cell>
          <cell r="K29">
            <v>19.339963104614</v>
          </cell>
          <cell r="L29">
            <v>18.659928724638402</v>
          </cell>
          <cell r="M29">
            <v>1.87695896893657</v>
          </cell>
          <cell r="N29">
            <v>6.1560828936162E-2</v>
          </cell>
          <cell r="O29">
            <v>6.0706268672948802E-2</v>
          </cell>
          <cell r="P29">
            <v>6.04374495721509E-2</v>
          </cell>
        </row>
        <row r="30">
          <cell r="B30" t="str">
            <v>CO2_R</v>
          </cell>
          <cell r="C30" t="str">
            <v>VAR_fout</v>
          </cell>
          <cell r="D30" t="str">
            <v>RHNS-CHPGFC</v>
          </cell>
          <cell r="M30">
            <v>4.9913026686035498E-2</v>
          </cell>
          <cell r="N30">
            <v>8.3137163269030798E-2</v>
          </cell>
          <cell r="O30">
            <v>8.2862711167734499E-2</v>
          </cell>
          <cell r="P30">
            <v>0.16780366814077499</v>
          </cell>
        </row>
        <row r="31">
          <cell r="B31" t="str">
            <v>CO2_R</v>
          </cell>
          <cell r="C31" t="str">
            <v>VAR_fout</v>
          </cell>
          <cell r="D31" t="str">
            <v>RHES-CHPNGA</v>
          </cell>
          <cell r="E31">
            <v>3.55397181198899</v>
          </cell>
          <cell r="F31">
            <v>0.38455611898856001</v>
          </cell>
          <cell r="G31">
            <v>1.3746498494880799</v>
          </cell>
          <cell r="H31">
            <v>0.98240413342120703</v>
          </cell>
          <cell r="I31">
            <v>0.94142199406881999</v>
          </cell>
          <cell r="J31">
            <v>0.38566235260365</v>
          </cell>
          <cell r="M31">
            <v>0.35849261921009101</v>
          </cell>
          <cell r="N31">
            <v>0.40639078587573302</v>
          </cell>
          <cell r="O31">
            <v>0.65860403401861001</v>
          </cell>
          <cell r="P31">
            <v>0.67501760418691803</v>
          </cell>
        </row>
        <row r="32">
          <cell r="B32" t="str">
            <v>CO2_R</v>
          </cell>
          <cell r="C32" t="str">
            <v>VAR_fout</v>
          </cell>
          <cell r="D32" t="str">
            <v>RHEM-CHPGFC</v>
          </cell>
          <cell r="M32">
            <v>0.12761164873140299</v>
          </cell>
          <cell r="N32">
            <v>0.21759538048386101</v>
          </cell>
          <cell r="O32">
            <v>0.20275937576550701</v>
          </cell>
          <cell r="P32">
            <v>0.447265317552268</v>
          </cell>
        </row>
        <row r="33">
          <cell r="B33" t="str">
            <v>CO2_R</v>
          </cell>
          <cell r="C33" t="str">
            <v>VAR_fout</v>
          </cell>
          <cell r="D33" t="str">
            <v>RHEM-SHNGABR</v>
          </cell>
          <cell r="E33">
            <v>1127.9631557432499</v>
          </cell>
          <cell r="F33">
            <v>1119.1258741260499</v>
          </cell>
          <cell r="G33">
            <v>1134.0352124552701</v>
          </cell>
          <cell r="H33">
            <v>1134.03294640231</v>
          </cell>
          <cell r="I33">
            <v>1042.9344548623201</v>
          </cell>
          <cell r="J33">
            <v>957.35587493170306</v>
          </cell>
          <cell r="K33">
            <v>936.51286263323504</v>
          </cell>
          <cell r="L33">
            <v>407.13420465660403</v>
          </cell>
          <cell r="M33">
            <v>245.18332582605001</v>
          </cell>
          <cell r="N33">
            <v>226.303286857411</v>
          </cell>
          <cell r="O33">
            <v>226.30311926515401</v>
          </cell>
          <cell r="P33">
            <v>174.493447477253</v>
          </cell>
        </row>
        <row r="34">
          <cell r="B34" t="str">
            <v>CO2_R</v>
          </cell>
          <cell r="C34" t="str">
            <v>VAR_fout</v>
          </cell>
          <cell r="D34" t="str">
            <v>RHSA-WHNGAHP</v>
          </cell>
          <cell r="G34">
            <v>6.8399974743007103E-2</v>
          </cell>
          <cell r="H34">
            <v>8.1699670665392299E-2</v>
          </cell>
          <cell r="I34">
            <v>57.436872461825999</v>
          </cell>
          <cell r="J34">
            <v>107.15350329539901</v>
          </cell>
          <cell r="K34">
            <v>117.069767586316</v>
          </cell>
          <cell r="L34">
            <v>57.095715474526997</v>
          </cell>
          <cell r="M34">
            <v>28.413244946011801</v>
          </cell>
          <cell r="N34">
            <v>25.6901832594985</v>
          </cell>
          <cell r="O34">
            <v>25.689617897139499</v>
          </cell>
          <cell r="P34">
            <v>25.689604532152401</v>
          </cell>
        </row>
        <row r="35">
          <cell r="B35" t="str">
            <v>CO2_R</v>
          </cell>
          <cell r="C35" t="str">
            <v>VAR_fout</v>
          </cell>
          <cell r="D35" t="str">
            <v>RHEM-SHLFOBR</v>
          </cell>
          <cell r="E35">
            <v>1928.7105586410501</v>
          </cell>
          <cell r="F35">
            <v>1525.2580621596601</v>
          </cell>
          <cell r="G35">
            <v>1531.64744911394</v>
          </cell>
          <cell r="H35">
            <v>1323.8564836405101</v>
          </cell>
          <cell r="I35">
            <v>826.667055991442</v>
          </cell>
          <cell r="J35">
            <v>544.71178663117598</v>
          </cell>
          <cell r="K35">
            <v>268.890596821244</v>
          </cell>
          <cell r="L35">
            <v>268.89042887319499</v>
          </cell>
          <cell r="M35">
            <v>214.82583651543899</v>
          </cell>
          <cell r="N35">
            <v>98.078219889283005</v>
          </cell>
          <cell r="O35">
            <v>98.077710684623995</v>
          </cell>
          <cell r="P35">
            <v>0.10799073634383401</v>
          </cell>
        </row>
        <row r="36">
          <cell r="B36" t="str">
            <v>CO2_R</v>
          </cell>
          <cell r="C36" t="str">
            <v>VAR_fout</v>
          </cell>
          <cell r="D36" t="str">
            <v>RHES-SHNGAHP</v>
          </cell>
          <cell r="G36">
            <v>4.9911877290233997E-2</v>
          </cell>
          <cell r="H36">
            <v>5.0632204324146897E-2</v>
          </cell>
          <cell r="I36">
            <v>108.50417182234099</v>
          </cell>
          <cell r="J36">
            <v>176.80329136275199</v>
          </cell>
          <cell r="K36">
            <v>172.13144563450501</v>
          </cell>
          <cell r="L36">
            <v>68.068092307721599</v>
          </cell>
          <cell r="M36">
            <v>9.0183607384970497</v>
          </cell>
          <cell r="N36">
            <v>6.7375935216679506E-2</v>
          </cell>
          <cell r="O36">
            <v>6.6828095052490599E-2</v>
          </cell>
          <cell r="P36">
            <v>6.6840110639545106E-2</v>
          </cell>
        </row>
        <row r="37">
          <cell r="B37" t="str">
            <v>CO2_R</v>
          </cell>
          <cell r="C37" t="str">
            <v>VAR_fout</v>
          </cell>
          <cell r="D37" t="str">
            <v>RHES-CHPGFC</v>
          </cell>
          <cell r="M37">
            <v>6.3815436637733106E-2</v>
          </cell>
          <cell r="N37">
            <v>0.107281489719283</v>
          </cell>
          <cell r="O37">
            <v>0.10776621617155201</v>
          </cell>
          <cell r="P37">
            <v>0.19949768462961501</v>
          </cell>
        </row>
        <row r="38">
          <cell r="B38" t="str">
            <v>CO2_R</v>
          </cell>
          <cell r="C38" t="str">
            <v>VAR_fout</v>
          </cell>
          <cell r="D38" t="str">
            <v>RHNM-CHPNGA</v>
          </cell>
          <cell r="F38">
            <v>0.35871200183171398</v>
          </cell>
          <cell r="G38">
            <v>1.52233485671297</v>
          </cell>
          <cell r="H38">
            <v>1.4313219346958299</v>
          </cell>
          <cell r="I38">
            <v>1.4384567407782001</v>
          </cell>
          <cell r="J38">
            <v>0.89043405143450205</v>
          </cell>
          <cell r="M38">
            <v>0.11441062697884</v>
          </cell>
          <cell r="N38">
            <v>0.35401696127805299</v>
          </cell>
          <cell r="O38">
            <v>0.14513738780779101</v>
          </cell>
          <cell r="P38">
            <v>0.28191222425308898</v>
          </cell>
        </row>
        <row r="39">
          <cell r="B39" t="str">
            <v>CO2_R</v>
          </cell>
          <cell r="C39" t="str">
            <v>VAR_fout</v>
          </cell>
          <cell r="D39" t="str">
            <v>RHNM-SHNGAHP</v>
          </cell>
          <cell r="G39">
            <v>0.14992545522173301</v>
          </cell>
          <cell r="H39">
            <v>0.14750527662323101</v>
          </cell>
          <cell r="I39">
            <v>50.971252725400099</v>
          </cell>
          <cell r="J39">
            <v>88.580207927881801</v>
          </cell>
          <cell r="K39">
            <v>86.036187029068699</v>
          </cell>
          <cell r="L39">
            <v>37.207507419699702</v>
          </cell>
          <cell r="M39">
            <v>0.153825332487044</v>
          </cell>
          <cell r="N39">
            <v>6.7094253977610804E-2</v>
          </cell>
          <cell r="O39">
            <v>6.6436007559974003E-2</v>
          </cell>
          <cell r="P39">
            <v>6.6503709505226299E-2</v>
          </cell>
        </row>
        <row r="40">
          <cell r="B40" t="str">
            <v>CO2_R</v>
          </cell>
          <cell r="C40" t="str">
            <v>VAR_fout</v>
          </cell>
          <cell r="D40" t="str">
            <v>RHES-SHNGABR</v>
          </cell>
          <cell r="E40">
            <v>1043.13514390459</v>
          </cell>
          <cell r="F40">
            <v>1215.5475812177301</v>
          </cell>
          <cell r="G40">
            <v>1103.8013019702701</v>
          </cell>
          <cell r="H40">
            <v>1103.80113293212</v>
          </cell>
          <cell r="I40">
            <v>1085.27447233714</v>
          </cell>
          <cell r="J40">
            <v>950.98166975824597</v>
          </cell>
          <cell r="K40">
            <v>615.76984614035905</v>
          </cell>
          <cell r="L40">
            <v>302.91003418623302</v>
          </cell>
          <cell r="M40">
            <v>104.88696182306499</v>
          </cell>
          <cell r="N40">
            <v>34.746937790906401</v>
          </cell>
          <cell r="O40">
            <v>34.746459278325503</v>
          </cell>
          <cell r="P40">
            <v>15.1975150221426</v>
          </cell>
        </row>
        <row r="41">
          <cell r="B41" t="str">
            <v>CO2_R</v>
          </cell>
          <cell r="C41" t="str">
            <v>VAR_fout</v>
          </cell>
          <cell r="D41" t="str">
            <v>RHSA-WHNGABR</v>
          </cell>
          <cell r="E41">
            <v>479.80989911104001</v>
          </cell>
          <cell r="F41">
            <v>382.275222514799</v>
          </cell>
          <cell r="G41">
            <v>473.48209361466297</v>
          </cell>
          <cell r="H41">
            <v>717.08785986070802</v>
          </cell>
          <cell r="I41">
            <v>534.67386389484705</v>
          </cell>
          <cell r="J41">
            <v>595.53379912165997</v>
          </cell>
          <cell r="K41">
            <v>377.59843849460799</v>
          </cell>
          <cell r="L41">
            <v>107.874937913503</v>
          </cell>
          <cell r="M41">
            <v>53.185140977435601</v>
          </cell>
          <cell r="N41">
            <v>39.660728351443503</v>
          </cell>
          <cell r="O41">
            <v>39.660525975145298</v>
          </cell>
          <cell r="P41">
            <v>28.819452520338999</v>
          </cell>
        </row>
        <row r="42">
          <cell r="B42" t="str">
            <v>CO2_R</v>
          </cell>
          <cell r="C42" t="str">
            <v>VAR_fout</v>
          </cell>
          <cell r="D42" t="str">
            <v>RHSA-WHLFOBR</v>
          </cell>
          <cell r="E42">
            <v>726.71243476007305</v>
          </cell>
          <cell r="F42">
            <v>616.05636284394495</v>
          </cell>
          <cell r="G42">
            <v>391.59958651452598</v>
          </cell>
          <cell r="H42">
            <v>104.142033978189</v>
          </cell>
          <cell r="I42">
            <v>36.423599516948897</v>
          </cell>
          <cell r="J42">
            <v>0.106722811187098</v>
          </cell>
          <cell r="K42">
            <v>8.1155009550910095E-2</v>
          </cell>
          <cell r="L42">
            <v>4.2008070379207001E-2</v>
          </cell>
          <cell r="M42">
            <v>2.7823589385141598E-2</v>
          </cell>
          <cell r="N42">
            <v>4.6454557097100502E-2</v>
          </cell>
          <cell r="O42">
            <v>4.0268340125378103E-2</v>
          </cell>
          <cell r="P42">
            <v>8.72278591326653E-2</v>
          </cell>
        </row>
        <row r="43">
          <cell r="B43" t="str">
            <v>CO2_R</v>
          </cell>
          <cell r="C43" t="str">
            <v>VAR_fout</v>
          </cell>
          <cell r="D43" t="str">
            <v>RHES-SHLFOBR</v>
          </cell>
          <cell r="E43">
            <v>1783.6627044803699</v>
          </cell>
          <cell r="F43">
            <v>1640.9694694234499</v>
          </cell>
          <cell r="G43">
            <v>1767.43221091992</v>
          </cell>
          <cell r="H43">
            <v>1626.08744702991</v>
          </cell>
          <cell r="I43">
            <v>674.18243915155995</v>
          </cell>
          <cell r="J43">
            <v>216.44240241678</v>
          </cell>
          <cell r="K43">
            <v>216.43812753402099</v>
          </cell>
          <cell r="L43">
            <v>216.43803874769199</v>
          </cell>
          <cell r="M43">
            <v>216.43778118081499</v>
          </cell>
          <cell r="N43">
            <v>148.11482044484501</v>
          </cell>
          <cell r="O43">
            <v>148.11418923918001</v>
          </cell>
          <cell r="P43">
            <v>49.859376420532897</v>
          </cell>
        </row>
        <row r="44">
          <cell r="B44" t="str">
            <v>CO2_R</v>
          </cell>
          <cell r="C44" t="str">
            <v>VAR_fout</v>
          </cell>
          <cell r="D44" t="str">
            <v>RHNS-CHPNGA</v>
          </cell>
          <cell r="F44">
            <v>0.12777318153646799</v>
          </cell>
          <cell r="G44">
            <v>0.34474952725778801</v>
          </cell>
          <cell r="H44">
            <v>0.286114712697633</v>
          </cell>
          <cell r="I44">
            <v>0.28676928055568002</v>
          </cell>
          <cell r="J44">
            <v>0.18947281125106699</v>
          </cell>
          <cell r="M44">
            <v>0.101976916641107</v>
          </cell>
          <cell r="N44">
            <v>0.165416494418235</v>
          </cell>
          <cell r="O44">
            <v>0.115386037079281</v>
          </cell>
          <cell r="P44">
            <v>0.28245253871121201</v>
          </cell>
        </row>
        <row r="45">
          <cell r="B45" t="str">
            <v>CO2_R</v>
          </cell>
          <cell r="C45" t="str">
            <v>VAR_fout</v>
          </cell>
          <cell r="D45" t="str">
            <v>RHNM-CHPGFC</v>
          </cell>
          <cell r="M45">
            <v>0.104376265551228</v>
          </cell>
          <cell r="N45">
            <v>0.224906262502298</v>
          </cell>
          <cell r="O45">
            <v>0.139573772740477</v>
          </cell>
          <cell r="P45">
            <v>0.29126786059801602</v>
          </cell>
        </row>
        <row r="46">
          <cell r="B46" t="str">
            <v>CO2_R</v>
          </cell>
          <cell r="C46" t="str">
            <v>VAR_fout</v>
          </cell>
          <cell r="D46" t="str">
            <v>RHEM-CHPNGA</v>
          </cell>
          <cell r="E46">
            <v>6.1209095837951599</v>
          </cell>
          <cell r="F46">
            <v>5.3418192187225602</v>
          </cell>
          <cell r="G46">
            <v>21.633679190700501</v>
          </cell>
          <cell r="H46">
            <v>21.256733140873902</v>
          </cell>
          <cell r="I46">
            <v>21.121539064143398</v>
          </cell>
          <cell r="J46">
            <v>8.7083271245727403</v>
          </cell>
          <cell r="M46">
            <v>0.23235945217884299</v>
          </cell>
          <cell r="N46">
            <v>0.47065939899475101</v>
          </cell>
          <cell r="O46">
            <v>0.490839932262228</v>
          </cell>
          <cell r="P46">
            <v>1.3652483380613301</v>
          </cell>
        </row>
        <row r="47">
          <cell r="B47" t="str">
            <v>CO2_R</v>
          </cell>
          <cell r="C47" t="str">
            <v>VAR_fout</v>
          </cell>
          <cell r="D47" t="str">
            <v>RHES-SHCOABR</v>
          </cell>
          <cell r="E47">
            <v>9.2700514778087495</v>
          </cell>
          <cell r="F47">
            <v>9.2700100273891604</v>
          </cell>
          <cell r="G47">
            <v>0.13695117262047901</v>
          </cell>
          <cell r="H47">
            <v>8.6216880868625001E-2</v>
          </cell>
          <cell r="I47">
            <v>3.3755115495356702E-2</v>
          </cell>
        </row>
        <row r="48">
          <cell r="B48" t="str">
            <v>CO2_R</v>
          </cell>
          <cell r="C48" t="str">
            <v>VAR_fout</v>
          </cell>
          <cell r="D48" t="str">
            <v>RHEM-SHNGAHP</v>
          </cell>
          <cell r="G48">
            <v>2.90237022545284E-2</v>
          </cell>
          <cell r="H48">
            <v>4.90506837046314E-2</v>
          </cell>
          <cell r="I48">
            <v>29.068369066046198</v>
          </cell>
          <cell r="J48">
            <v>29.897775092583998</v>
          </cell>
          <cell r="K48">
            <v>29.095288339796198</v>
          </cell>
          <cell r="L48">
            <v>103.623987836662</v>
          </cell>
          <cell r="M48">
            <v>102.194139693396</v>
          </cell>
          <cell r="N48">
            <v>102.19410104855299</v>
          </cell>
          <cell r="O48">
            <v>102.19401253295101</v>
          </cell>
          <cell r="P48">
            <v>102.194086736312</v>
          </cell>
        </row>
        <row r="49">
          <cell r="B49" t="str">
            <v>CO2_R</v>
          </cell>
          <cell r="C49" t="str">
            <v>VAR_comnet</v>
          </cell>
          <cell r="D49" t="str">
            <v>-</v>
          </cell>
          <cell r="E49">
            <v>7108.9388295139697</v>
          </cell>
          <cell r="F49">
            <v>6514.7154428341</v>
          </cell>
          <cell r="G49">
            <v>6427.3683259590098</v>
          </cell>
          <cell r="H49">
            <v>6033.4335855453101</v>
          </cell>
          <cell r="I49">
            <v>4470.5249132713197</v>
          </cell>
          <cell r="J49">
            <v>3697.8863130664499</v>
          </cell>
          <cell r="K49">
            <v>2838.9636783273199</v>
          </cell>
          <cell r="L49">
            <v>1587.94488421086</v>
          </cell>
          <cell r="M49">
            <v>977.35635558413401</v>
          </cell>
          <cell r="N49">
            <v>677.06016715370902</v>
          </cell>
          <cell r="O49">
            <v>676.96280305094297</v>
          </cell>
          <cell r="P49">
            <v>400.35294781005899</v>
          </cell>
        </row>
        <row r="50">
          <cell r="B50" t="str">
            <v>CO2_S</v>
          </cell>
          <cell r="C50" t="str">
            <v>VAR_fout</v>
          </cell>
          <cell r="D50" t="str">
            <v>SCOM-SHNGAHP</v>
          </cell>
          <cell r="G50">
            <v>4.43985831152722E-2</v>
          </cell>
          <cell r="H50">
            <v>4.2479353706773297E-2</v>
          </cell>
          <cell r="I50">
            <v>10.837808668321999</v>
          </cell>
          <cell r="J50">
            <v>21.844816082408698</v>
          </cell>
          <cell r="K50">
            <v>33.107084551543103</v>
          </cell>
          <cell r="L50">
            <v>22.1785591682297</v>
          </cell>
          <cell r="M50">
            <v>43.750001146848597</v>
          </cell>
          <cell r="N50">
            <v>66.988838333452506</v>
          </cell>
          <cell r="O50">
            <v>92.023337951593305</v>
          </cell>
          <cell r="P50">
            <v>110.274939186296</v>
          </cell>
        </row>
        <row r="51">
          <cell r="B51" t="str">
            <v>CO2_S</v>
          </cell>
          <cell r="C51" t="str">
            <v>VAR_fout</v>
          </cell>
          <cell r="D51" t="str">
            <v>SCOM-CHPNGA</v>
          </cell>
          <cell r="E51">
            <v>93.673741700111606</v>
          </cell>
          <cell r="F51">
            <v>98.055431046962497</v>
          </cell>
          <cell r="G51">
            <v>185.83645225875199</v>
          </cell>
          <cell r="H51">
            <v>203.69534345004001</v>
          </cell>
          <cell r="I51">
            <v>197.02420667008201</v>
          </cell>
          <cell r="J51">
            <v>120.51736633483</v>
          </cell>
          <cell r="M51">
            <v>0.30667004969166201</v>
          </cell>
          <cell r="N51">
            <v>0.30012899188594899</v>
          </cell>
          <cell r="O51">
            <v>0.23131842917581</v>
          </cell>
          <cell r="P51">
            <v>0.53645114638800795</v>
          </cell>
        </row>
        <row r="52">
          <cell r="B52" t="str">
            <v>CO2_S</v>
          </cell>
          <cell r="C52" t="str">
            <v>VAR_fout</v>
          </cell>
          <cell r="D52" t="str">
            <v>SCOM-SHNGABR</v>
          </cell>
          <cell r="E52">
            <v>1440.9459889889599</v>
          </cell>
          <cell r="F52">
            <v>1508.6876460829201</v>
          </cell>
          <cell r="G52">
            <v>1464.1964414960801</v>
          </cell>
          <cell r="H52">
            <v>1397.3360757410901</v>
          </cell>
          <cell r="I52">
            <v>1394.6436850699299</v>
          </cell>
          <cell r="J52">
            <v>1419.3398102103299</v>
          </cell>
          <cell r="K52">
            <v>1277.47392143919</v>
          </cell>
          <cell r="L52">
            <v>444.87569091691802</v>
          </cell>
          <cell r="M52">
            <v>236.193198118634</v>
          </cell>
          <cell r="N52">
            <v>121.803003529677</v>
          </cell>
          <cell r="O52">
            <v>61.593809297004299</v>
          </cell>
          <cell r="P52">
            <v>17.678163192630102</v>
          </cell>
        </row>
        <row r="53">
          <cell r="B53" t="str">
            <v>CO2_S</v>
          </cell>
          <cell r="C53" t="str">
            <v>VAR_fout</v>
          </cell>
          <cell r="D53" t="str">
            <v>SCOM-CHPGFC</v>
          </cell>
          <cell r="M53">
            <v>7.9762993864065004E-2</v>
          </cell>
          <cell r="N53">
            <v>0.13812789222595201</v>
          </cell>
          <cell r="O53">
            <v>0.103265490464986</v>
          </cell>
          <cell r="P53">
            <v>0.232111385078519</v>
          </cell>
        </row>
        <row r="54">
          <cell r="B54" t="str">
            <v>CO2_S</v>
          </cell>
          <cell r="C54" t="str">
            <v>VAR_fout</v>
          </cell>
          <cell r="D54" t="str">
            <v>SCOM-SHLFOBR</v>
          </cell>
          <cell r="E54">
            <v>2229.9140141620101</v>
          </cell>
          <cell r="F54">
            <v>1963.2747249980901</v>
          </cell>
          <cell r="G54">
            <v>1835.5955079012399</v>
          </cell>
          <cell r="H54">
            <v>1438.4649740507</v>
          </cell>
          <cell r="I54">
            <v>1097.5306730168099</v>
          </cell>
          <cell r="J54">
            <v>778.90920074936503</v>
          </cell>
          <cell r="K54">
            <v>456.90864814283299</v>
          </cell>
          <cell r="L54">
            <v>263.99738418087998</v>
          </cell>
          <cell r="M54">
            <v>63.662824375678902</v>
          </cell>
          <cell r="N54">
            <v>64.105893244332506</v>
          </cell>
          <cell r="O54">
            <v>64.123020139409306</v>
          </cell>
          <cell r="P54">
            <v>64.131407039442493</v>
          </cell>
        </row>
        <row r="55">
          <cell r="B55" t="str">
            <v>CO2_S</v>
          </cell>
          <cell r="C55" t="str">
            <v>VAR_comnet</v>
          </cell>
          <cell r="D55" t="str">
            <v>-</v>
          </cell>
          <cell r="E55">
            <v>3764.53374485108</v>
          </cell>
          <cell r="F55">
            <v>3570.0178021279698</v>
          </cell>
          <cell r="G55">
            <v>3485.6728002391901</v>
          </cell>
          <cell r="H55">
            <v>3039.5388725955399</v>
          </cell>
          <cell r="I55">
            <v>2700.03637342514</v>
          </cell>
          <cell r="J55">
            <v>2340.6111933769298</v>
          </cell>
          <cell r="K55">
            <v>1767.48965413357</v>
          </cell>
          <cell r="L55">
            <v>731.05163426602803</v>
          </cell>
          <cell r="M55">
            <v>343.99245668471701</v>
          </cell>
          <cell r="N55">
            <v>253.33599199157399</v>
          </cell>
          <cell r="O55">
            <v>218.074751307648</v>
          </cell>
          <cell r="P55">
            <v>192.853071949835</v>
          </cell>
        </row>
        <row r="56">
          <cell r="B56" t="str">
            <v>CO2_T</v>
          </cell>
          <cell r="C56" t="str">
            <v>VAR_fout</v>
          </cell>
          <cell r="D56" t="str">
            <v>T_B_u-ICENGAEXT</v>
          </cell>
          <cell r="E56">
            <v>1.7810166721553999E-2</v>
          </cell>
          <cell r="F56">
            <v>1.7878168785104599E-2</v>
          </cell>
          <cell r="G56">
            <v>1.7821096953658501E-2</v>
          </cell>
        </row>
        <row r="57">
          <cell r="B57" t="str">
            <v>CO2_T</v>
          </cell>
          <cell r="C57" t="str">
            <v>VAR_fout</v>
          </cell>
          <cell r="D57" t="str">
            <v>TFHGV-ICENGA</v>
          </cell>
          <cell r="E57">
            <v>1.0198654452716931</v>
          </cell>
          <cell r="F57">
            <v>0.13101466920322255</v>
          </cell>
          <cell r="G57">
            <v>0.16636065107984685</v>
          </cell>
          <cell r="H57">
            <v>0.16294075257279619</v>
          </cell>
          <cell r="I57">
            <v>0.14598247331000369</v>
          </cell>
          <cell r="J57">
            <v>0.1528903764561681</v>
          </cell>
          <cell r="K57">
            <v>0.14066960993366009</v>
          </cell>
          <cell r="L57">
            <v>6.3819466969517902E-2</v>
          </cell>
        </row>
        <row r="58">
          <cell r="B58" t="str">
            <v>CO2_T</v>
          </cell>
          <cell r="C58" t="str">
            <v>VAR_fout</v>
          </cell>
          <cell r="D58" t="str">
            <v>T-Plg-GSL-mix_S1</v>
          </cell>
          <cell r="E58">
            <v>2.1822436273961101E-2</v>
          </cell>
          <cell r="F58">
            <v>5.3289699615470004E-2</v>
          </cell>
          <cell r="G58">
            <v>6.5926748593475776E-2</v>
          </cell>
          <cell r="H58">
            <v>7.0928758140300086E-2</v>
          </cell>
          <cell r="I58">
            <v>6.3008808870291755E-2</v>
          </cell>
          <cell r="J58">
            <v>3.049850601625597E-2</v>
          </cell>
          <cell r="K58">
            <v>2.6452097434913599E-2</v>
          </cell>
          <cell r="L58">
            <v>1.0404868165897131E-2</v>
          </cell>
          <cell r="M58">
            <v>7.3403490088662302E-2</v>
          </cell>
          <cell r="N58">
            <v>0.1176497908209261</v>
          </cell>
          <cell r="O58">
            <v>0.13869004726691481</v>
          </cell>
          <cell r="P58">
            <v>0.167710062479761</v>
          </cell>
        </row>
        <row r="59">
          <cell r="B59" t="str">
            <v>CO2_T</v>
          </cell>
          <cell r="C59" t="str">
            <v>VAR_fout</v>
          </cell>
          <cell r="D59" t="str">
            <v>T-Plg-GSL-mix_S2</v>
          </cell>
          <cell r="E59">
            <v>6.1907736432493703</v>
          </cell>
          <cell r="F59">
            <v>12.31136860915672</v>
          </cell>
          <cell r="G59">
            <v>8.7056202532103146</v>
          </cell>
          <cell r="H59">
            <v>9.7570759205275497</v>
          </cell>
          <cell r="I59">
            <v>1.0560503305743063</v>
          </cell>
          <cell r="J59">
            <v>0.11831905894631213</v>
          </cell>
          <cell r="K59">
            <v>9.6248306401719691E-2</v>
          </cell>
          <cell r="L59">
            <v>5.5480222787125201E-2</v>
          </cell>
          <cell r="M59">
            <v>0.29602625338416433</v>
          </cell>
          <cell r="N59">
            <v>0.29369425842684921</v>
          </cell>
          <cell r="O59">
            <v>0.23199093951937333</v>
          </cell>
          <cell r="P59">
            <v>0.109701506099821</v>
          </cell>
        </row>
        <row r="60">
          <cell r="B60" t="str">
            <v>CO2_T</v>
          </cell>
          <cell r="C60" t="str">
            <v>VAR_fout</v>
          </cell>
          <cell r="D60" t="str">
            <v>T-Plg-GSL-mix_S3</v>
          </cell>
          <cell r="E60">
            <v>6.6253515633950801</v>
          </cell>
          <cell r="F60">
            <v>17.933459771377301</v>
          </cell>
          <cell r="G60">
            <v>131.29170010903692</v>
          </cell>
          <cell r="H60">
            <v>344.0378860107848</v>
          </cell>
          <cell r="I60">
            <v>887.61981498816272</v>
          </cell>
          <cell r="J60">
            <v>562.60275225615737</v>
          </cell>
          <cell r="K60">
            <v>483.01701673567879</v>
          </cell>
          <cell r="L60">
            <v>142.02482198027326</v>
          </cell>
          <cell r="M60">
            <v>62.310280106921326</v>
          </cell>
          <cell r="N60">
            <v>0.3779137745450013</v>
          </cell>
          <cell r="O60">
            <v>0.32700141025646579</v>
          </cell>
          <cell r="P60">
            <v>0.17741126077699801</v>
          </cell>
        </row>
        <row r="61">
          <cell r="B61" t="str">
            <v>CO2_T</v>
          </cell>
          <cell r="C61" t="str">
            <v>VAR_fout</v>
          </cell>
          <cell r="D61" t="str">
            <v>T-Plg-GSL-mix_S4</v>
          </cell>
          <cell r="E61">
            <v>12.6546812670838</v>
          </cell>
          <cell r="F61">
            <v>22.518295794492801</v>
          </cell>
          <cell r="G61">
            <v>21.539277433794034</v>
          </cell>
          <cell r="H61">
            <v>16.335073737264253</v>
          </cell>
          <cell r="I61">
            <v>2.7829160418389001</v>
          </cell>
          <cell r="J61">
            <v>0.29346063708372144</v>
          </cell>
          <cell r="K61">
            <v>0.18145548534327918</v>
          </cell>
          <cell r="L61">
            <v>7.9150897997145003E-2</v>
          </cell>
          <cell r="M61">
            <v>38.121444835632381</v>
          </cell>
          <cell r="N61">
            <v>99.268760116140541</v>
          </cell>
          <cell r="O61">
            <v>90.541304572551937</v>
          </cell>
          <cell r="P61">
            <v>76.862033648528197</v>
          </cell>
        </row>
        <row r="62">
          <cell r="B62" t="str">
            <v>CO2_T</v>
          </cell>
          <cell r="C62" t="str">
            <v>VAR_fout</v>
          </cell>
          <cell r="D62" t="str">
            <v>TFLGV-HYBDSL</v>
          </cell>
          <cell r="F62">
            <v>31.617983367487799</v>
          </cell>
          <cell r="G62">
            <v>143.84733940594418</v>
          </cell>
          <cell r="H62">
            <v>234.20808547218371</v>
          </cell>
          <cell r="I62">
            <v>201.97955717716991</v>
          </cell>
          <cell r="J62">
            <v>7.5990879258997501E-3</v>
          </cell>
        </row>
        <row r="63">
          <cell r="B63" t="str">
            <v>CO2_T</v>
          </cell>
          <cell r="C63" t="str">
            <v>VAR_fout</v>
          </cell>
          <cell r="D63" t="str">
            <v>TFLGV-ICEGSLExt</v>
          </cell>
          <cell r="E63">
            <v>53.244223902276303</v>
          </cell>
          <cell r="F63">
            <v>105.539669281827</v>
          </cell>
          <cell r="G63">
            <v>40.023483470316798</v>
          </cell>
          <cell r="H63">
            <v>19.996019150301599</v>
          </cell>
        </row>
        <row r="64">
          <cell r="B64" t="str">
            <v>CO2_T</v>
          </cell>
          <cell r="C64" t="str">
            <v>VAR_fout</v>
          </cell>
          <cell r="D64" t="str">
            <v>TFLGV-ICEDSLExt</v>
          </cell>
          <cell r="E64">
            <v>812.12242357702996</v>
          </cell>
          <cell r="F64">
            <v>571.10750265899298</v>
          </cell>
          <cell r="G64">
            <v>399.59212387393802</v>
          </cell>
          <cell r="H64">
            <v>199.77241895800501</v>
          </cell>
        </row>
        <row r="65">
          <cell r="B65" t="str">
            <v>CO2_T</v>
          </cell>
          <cell r="C65" t="str">
            <v>VAR_fout</v>
          </cell>
          <cell r="D65" t="str">
            <v>T_C-ICE-NGA-S1</v>
          </cell>
          <cell r="E65">
            <v>0.2026383082334251</v>
          </cell>
          <cell r="F65">
            <v>0.11581913704776139</v>
          </cell>
          <cell r="G65">
            <v>0.11099622807638784</v>
          </cell>
          <cell r="H65">
            <v>6.4034043899403297E-3</v>
          </cell>
          <cell r="I65">
            <v>1.2173147603705501E-3</v>
          </cell>
        </row>
        <row r="66">
          <cell r="B66" t="str">
            <v>CO2_T</v>
          </cell>
          <cell r="C66" t="str">
            <v>VAR_fout</v>
          </cell>
          <cell r="D66" t="str">
            <v>T_C-ICE-NGA-S2</v>
          </cell>
          <cell r="E66">
            <v>3.1566239331597932</v>
          </cell>
          <cell r="F66">
            <v>3.0323871305306125</v>
          </cell>
          <cell r="G66">
            <v>3.3440877895291106</v>
          </cell>
        </row>
        <row r="67">
          <cell r="B67" t="str">
            <v>CO2_T</v>
          </cell>
          <cell r="C67" t="str">
            <v>VAR_fout</v>
          </cell>
          <cell r="D67" t="str">
            <v>TFLGV-ICEDSL</v>
          </cell>
          <cell r="E67">
            <v>325.96322118260366</v>
          </cell>
          <cell r="F67">
            <v>384.71639603228346</v>
          </cell>
          <cell r="G67">
            <v>373.6111431049124</v>
          </cell>
          <cell r="H67">
            <v>152.82482218838487</v>
          </cell>
          <cell r="I67">
            <v>0.19303548271519738</v>
          </cell>
          <cell r="J67">
            <v>9.1382462232322201E-3</v>
          </cell>
        </row>
        <row r="68">
          <cell r="B68" t="str">
            <v>CO2_T</v>
          </cell>
          <cell r="C68" t="str">
            <v>VAR_fout</v>
          </cell>
          <cell r="D68" t="str">
            <v>T_C-ICE-NGA-S3</v>
          </cell>
          <cell r="E68">
            <v>0.2425471078320828</v>
          </cell>
          <cell r="F68">
            <v>0.23915079907053519</v>
          </cell>
          <cell r="G68">
            <v>0.27022878819080559</v>
          </cell>
          <cell r="H68">
            <v>2.07037405920255E-2</v>
          </cell>
          <cell r="I68">
            <v>3.3477040498293802E-3</v>
          </cell>
        </row>
        <row r="69">
          <cell r="B69" t="str">
            <v>CO2_T</v>
          </cell>
          <cell r="C69" t="str">
            <v>VAR_fout</v>
          </cell>
          <cell r="D69" t="str">
            <v>T_C-ICE-NGA-S4</v>
          </cell>
          <cell r="E69">
            <v>2.7237823447036273</v>
          </cell>
          <cell r="F69">
            <v>2.6594163664185171</v>
          </cell>
          <cell r="G69">
            <v>2.4743061738851129</v>
          </cell>
        </row>
        <row r="70">
          <cell r="B70" t="str">
            <v>CO2_T</v>
          </cell>
          <cell r="C70" t="str">
            <v>VAR_fout</v>
          </cell>
          <cell r="D70" t="str">
            <v>T_C-MHY-GSL-S1</v>
          </cell>
          <cell r="F70">
            <v>2.35203678120522E-2</v>
          </cell>
          <cell r="G70">
            <v>8.7592288145536212E-2</v>
          </cell>
          <cell r="H70">
            <v>0.1085774631882665</v>
          </cell>
          <cell r="I70">
            <v>7.6719759338016572E-2</v>
          </cell>
          <cell r="J70">
            <v>2.4003462111772303E-2</v>
          </cell>
        </row>
        <row r="71">
          <cell r="B71" t="str">
            <v>CO2_T</v>
          </cell>
          <cell r="C71" t="str">
            <v>VAR_fout</v>
          </cell>
          <cell r="D71" t="str">
            <v>T_C-MHY-GSL-S2</v>
          </cell>
          <cell r="F71">
            <v>2.2000326128508701E-2</v>
          </cell>
          <cell r="G71">
            <v>8.8713405346600396E-2</v>
          </cell>
          <cell r="H71">
            <v>0.12293892655024891</v>
          </cell>
          <cell r="I71">
            <v>8.3717728340042763E-2</v>
          </cell>
          <cell r="J71">
            <v>2.857384387285062E-2</v>
          </cell>
        </row>
        <row r="72">
          <cell r="B72" t="str">
            <v>CO2_T</v>
          </cell>
          <cell r="C72" t="str">
            <v>VAR_fout</v>
          </cell>
          <cell r="D72" t="str">
            <v>T_C-MHY-DSL-S1</v>
          </cell>
          <cell r="F72">
            <v>2.1519507170873201E-2</v>
          </cell>
          <cell r="G72">
            <v>6.8852872399921508E-2</v>
          </cell>
          <cell r="H72">
            <v>9.5183433449579496E-2</v>
          </cell>
          <cell r="I72">
            <v>6.7964601386638984E-2</v>
          </cell>
          <cell r="J72">
            <v>2.3601262058755939E-2</v>
          </cell>
        </row>
        <row r="73">
          <cell r="B73" t="str">
            <v>CO2_T</v>
          </cell>
          <cell r="C73" t="str">
            <v>VAR_fout</v>
          </cell>
          <cell r="D73" t="str">
            <v>T_C-MHY-GSL-S3</v>
          </cell>
          <cell r="F73">
            <v>3.09644163800415E-2</v>
          </cell>
          <cell r="G73">
            <v>0.1047631229007962</v>
          </cell>
          <cell r="H73">
            <v>0.13258220048753588</v>
          </cell>
          <cell r="I73">
            <v>8.7213116952408382E-2</v>
          </cell>
          <cell r="J73">
            <v>2.657787095259442E-2</v>
          </cell>
        </row>
        <row r="74">
          <cell r="B74" t="str">
            <v>CO2_T</v>
          </cell>
          <cell r="C74" t="str">
            <v>VAR_fout</v>
          </cell>
          <cell r="D74" t="str">
            <v>T_C-MHY-DSL-S2</v>
          </cell>
          <cell r="F74">
            <v>2.0071249514665698E-2</v>
          </cell>
          <cell r="G74">
            <v>7.3195584544991504E-2</v>
          </cell>
          <cell r="H74">
            <v>0.10082204450362159</v>
          </cell>
          <cell r="I74">
            <v>6.6555653394526834E-2</v>
          </cell>
          <cell r="J74">
            <v>2.2386301871506212E-2</v>
          </cell>
        </row>
        <row r="75">
          <cell r="B75" t="str">
            <v>CO2_T</v>
          </cell>
          <cell r="C75" t="str">
            <v>VAR_fout</v>
          </cell>
          <cell r="D75" t="str">
            <v>T_C-MHY-GSL-S4</v>
          </cell>
          <cell r="F75">
            <v>3.6764292883290001E-2</v>
          </cell>
          <cell r="G75">
            <v>0.1344947104850473</v>
          </cell>
          <cell r="H75">
            <v>0.19242923089056102</v>
          </cell>
          <cell r="I75">
            <v>0.1253226790653228</v>
          </cell>
          <cell r="J75">
            <v>4.2453525469322261E-2</v>
          </cell>
        </row>
        <row r="76">
          <cell r="B76" t="str">
            <v>CO2_T</v>
          </cell>
          <cell r="C76" t="str">
            <v>VAR_fout</v>
          </cell>
          <cell r="D76" t="str">
            <v>T_C-MHY-DSL-S3</v>
          </cell>
          <cell r="F76">
            <v>2.7144393677161399E-2</v>
          </cell>
          <cell r="G76">
            <v>8.0139771331722703E-2</v>
          </cell>
          <cell r="H76">
            <v>0.10103183334947549</v>
          </cell>
          <cell r="I76">
            <v>6.5793855605802171E-2</v>
          </cell>
          <cell r="J76">
            <v>1.9894167967319451E-2</v>
          </cell>
        </row>
        <row r="77">
          <cell r="B77" t="str">
            <v>CO2_T</v>
          </cell>
          <cell r="C77" t="str">
            <v>VAR_fout</v>
          </cell>
          <cell r="D77" t="str">
            <v>T_B_c-HYBDSL-S1</v>
          </cell>
          <cell r="F77">
            <v>0.13123117359513101</v>
          </cell>
          <cell r="G77">
            <v>0.1503310070666975</v>
          </cell>
          <cell r="H77">
            <v>1.1838401423066122E-4</v>
          </cell>
          <cell r="J77">
            <v>1.22789141181071E-4</v>
          </cell>
          <cell r="K77">
            <v>2.9131873984200734E-2</v>
          </cell>
          <cell r="L77">
            <v>2.90559648383713E-2</v>
          </cell>
        </row>
        <row r="78">
          <cell r="B78" t="str">
            <v>CO2_T</v>
          </cell>
          <cell r="C78" t="str">
            <v>VAR_fout</v>
          </cell>
          <cell r="D78" t="str">
            <v>T_C-MHY-DSL-S4</v>
          </cell>
          <cell r="F78">
            <v>1.8621691714534001E-2</v>
          </cell>
          <cell r="G78">
            <v>4.5044847047779502E-2</v>
          </cell>
          <cell r="H78">
            <v>5.9424471163830699E-2</v>
          </cell>
          <cell r="I78">
            <v>3.8299442737210088E-2</v>
          </cell>
          <cell r="J78">
            <v>1.229001622533573E-2</v>
          </cell>
        </row>
        <row r="79">
          <cell r="B79" t="str">
            <v>CO2_T</v>
          </cell>
          <cell r="C79" t="str">
            <v>VAR_fout</v>
          </cell>
          <cell r="D79" t="str">
            <v>T_B_c-HYBDSL-S2</v>
          </cell>
          <cell r="F79">
            <v>1.15207555987904E-2</v>
          </cell>
          <cell r="G79">
            <v>2.2444024879356803E-2</v>
          </cell>
        </row>
        <row r="80">
          <cell r="B80" t="str">
            <v>CO2_T</v>
          </cell>
          <cell r="C80" t="str">
            <v>VAR_fout</v>
          </cell>
          <cell r="D80" t="str">
            <v>T_B_c-HYBDSL-S3</v>
          </cell>
          <cell r="F80">
            <v>7.79704510819951E-3</v>
          </cell>
          <cell r="G80">
            <v>1.4169194622993229E-2</v>
          </cell>
        </row>
        <row r="81">
          <cell r="B81" t="str">
            <v>CO2_T</v>
          </cell>
          <cell r="C81" t="str">
            <v>VAR_fout</v>
          </cell>
          <cell r="D81" t="str">
            <v>T_B_c-HYBDSL-S4</v>
          </cell>
          <cell r="F81">
            <v>1.8679314448056699E-3</v>
          </cell>
          <cell r="G81">
            <v>3.4574218939324801E-3</v>
          </cell>
        </row>
        <row r="82">
          <cell r="B82" t="str">
            <v>CO2_T</v>
          </cell>
          <cell r="C82" t="str">
            <v>VAR_fout</v>
          </cell>
          <cell r="D82" t="str">
            <v>TFHGV-ICEDSLExt</v>
          </cell>
          <cell r="E82">
            <v>1410.0553541462</v>
          </cell>
          <cell r="F82">
            <v>865.25504047953996</v>
          </cell>
          <cell r="G82">
            <v>842.01924234196497</v>
          </cell>
          <cell r="H82">
            <v>362.56161935386399</v>
          </cell>
        </row>
        <row r="83">
          <cell r="B83" t="str">
            <v>CO2_T</v>
          </cell>
          <cell r="C83" t="str">
            <v>VAR_fout</v>
          </cell>
          <cell r="D83" t="str">
            <v>TPSHPGSLEXT</v>
          </cell>
          <cell r="E83">
            <v>129.873812963153</v>
          </cell>
          <cell r="F83">
            <v>58.769130239461397</v>
          </cell>
          <cell r="G83">
            <v>117.82325226772601</v>
          </cell>
          <cell r="H83">
            <v>155.16898808489199</v>
          </cell>
          <cell r="I83">
            <v>155.170448199183</v>
          </cell>
          <cell r="J83">
            <v>79.181654740692096</v>
          </cell>
          <cell r="K83">
            <v>0.37877772003881</v>
          </cell>
        </row>
        <row r="84">
          <cell r="B84" t="str">
            <v>CO2_T</v>
          </cell>
          <cell r="C84" t="str">
            <v>VAR_fout</v>
          </cell>
          <cell r="D84" t="str">
            <v>T_TW-ICEGSL-S1</v>
          </cell>
          <cell r="E84">
            <v>3.2649110226074969</v>
          </cell>
          <cell r="F84">
            <v>36.573000721611486</v>
          </cell>
          <cell r="G84">
            <v>36.984986665743435</v>
          </cell>
          <cell r="H84">
            <v>45.815502893666704</v>
          </cell>
          <cell r="I84">
            <v>62.475773097437745</v>
          </cell>
          <cell r="J84">
            <v>65.881392245656841</v>
          </cell>
          <cell r="K84">
            <v>65.775766735589102</v>
          </cell>
          <cell r="L84">
            <v>27.676972997187313</v>
          </cell>
          <cell r="M84">
            <v>10.554110011284015</v>
          </cell>
          <cell r="N84">
            <v>0.33667247035613967</v>
          </cell>
          <cell r="O84">
            <v>0.35647152083203298</v>
          </cell>
          <cell r="P84">
            <v>0.52478680095538799</v>
          </cell>
        </row>
        <row r="85">
          <cell r="B85" t="str">
            <v>CO2_T</v>
          </cell>
          <cell r="C85" t="str">
            <v>VAR_fout</v>
          </cell>
          <cell r="D85" t="str">
            <v>TPSHPDSLEXT</v>
          </cell>
          <cell r="E85">
            <v>1273.9831592043399</v>
          </cell>
          <cell r="F85">
            <v>1273.98377127817</v>
          </cell>
          <cell r="G85">
            <v>1155.4099610794799</v>
          </cell>
          <cell r="H85">
            <v>1056.60557972539</v>
          </cell>
          <cell r="I85">
            <v>1017.07232142176</v>
          </cell>
          <cell r="J85">
            <v>778.40555645992197</v>
          </cell>
          <cell r="K85">
            <v>356.45141142820398</v>
          </cell>
          <cell r="L85">
            <v>149.74619228010101</v>
          </cell>
          <cell r="M85">
            <v>149.74599046574801</v>
          </cell>
          <cell r="N85">
            <v>149.74617970032699</v>
          </cell>
          <cell r="O85">
            <v>149.74599737580601</v>
          </cell>
          <cell r="P85">
            <v>149.74606380747801</v>
          </cell>
        </row>
        <row r="86">
          <cell r="B86" t="str">
            <v>CO2_T</v>
          </cell>
          <cell r="C86" t="str">
            <v>VAR_fout</v>
          </cell>
          <cell r="D86" t="str">
            <v>T_TW-ICEGSL-S2</v>
          </cell>
          <cell r="E86">
            <v>8.2853225760532503</v>
          </cell>
          <cell r="F86">
            <v>12.027429129998453</v>
          </cell>
          <cell r="G86">
            <v>11.373967365104145</v>
          </cell>
          <cell r="H86">
            <v>7.5150495902958729</v>
          </cell>
          <cell r="I86">
            <v>0.74246674579305272</v>
          </cell>
          <cell r="J86">
            <v>3.7158561348415928E-2</v>
          </cell>
          <cell r="K86">
            <v>4.1069617394901795E-2</v>
          </cell>
          <cell r="L86">
            <v>4.1955321268221504E-2</v>
          </cell>
          <cell r="M86">
            <v>4.1214919444246101E-2</v>
          </cell>
          <cell r="N86">
            <v>5.2610895550291498E-2</v>
          </cell>
          <cell r="O86">
            <v>5.0992983839082309E-2</v>
          </cell>
          <cell r="P86">
            <v>7.6245307045039401E-2</v>
          </cell>
        </row>
        <row r="87">
          <cell r="B87" t="str">
            <v>CO2_T</v>
          </cell>
          <cell r="C87" t="str">
            <v>VAR_fout</v>
          </cell>
          <cell r="D87" t="str">
            <v>T_TW-ICEGSL-S3</v>
          </cell>
          <cell r="E87">
            <v>11.984228230812191</v>
          </cell>
          <cell r="F87">
            <v>14.527024277959383</v>
          </cell>
          <cell r="G87">
            <v>14.615547869354742</v>
          </cell>
          <cell r="H87">
            <v>14.546282273392492</v>
          </cell>
          <cell r="I87">
            <v>13.921700678104312</v>
          </cell>
          <cell r="J87">
            <v>4.0292140256665707</v>
          </cell>
          <cell r="K87">
            <v>3.8619880824196727E-2</v>
          </cell>
          <cell r="L87">
            <v>4.1603938086061484E-2</v>
          </cell>
          <cell r="M87">
            <v>4.4212836356802648E-2</v>
          </cell>
          <cell r="N87">
            <v>4.9129852435041102E-2</v>
          </cell>
          <cell r="O87">
            <v>5.4075485438607102E-2</v>
          </cell>
          <cell r="P87">
            <v>6.9030803567966703E-2</v>
          </cell>
        </row>
        <row r="88">
          <cell r="B88" t="str">
            <v>CO2_T</v>
          </cell>
          <cell r="C88" t="str">
            <v>VAR_fout</v>
          </cell>
          <cell r="D88" t="str">
            <v>T_C-ICEGSLEXT</v>
          </cell>
          <cell r="E88">
            <v>4722.2884709025302</v>
          </cell>
          <cell r="F88">
            <v>4009.00715055211</v>
          </cell>
          <cell r="G88">
            <v>3603.3762789448101</v>
          </cell>
          <cell r="H88">
            <v>1302.1561944371899</v>
          </cell>
        </row>
        <row r="89">
          <cell r="B89" t="str">
            <v>CO2_T</v>
          </cell>
          <cell r="C89" t="str">
            <v>VAR_fout</v>
          </cell>
          <cell r="D89" t="str">
            <v>T_TW-ICEGSL-S4</v>
          </cell>
          <cell r="E89">
            <v>7.8105237514929202</v>
          </cell>
          <cell r="F89">
            <v>9.2850679697062297</v>
          </cell>
          <cell r="G89">
            <v>9.3577485986533908</v>
          </cell>
          <cell r="H89">
            <v>9.3029041986451233</v>
          </cell>
          <cell r="I89">
            <v>9.3276202617034265</v>
          </cell>
          <cell r="J89">
            <v>8.9744992876381229</v>
          </cell>
          <cell r="K89">
            <v>2.0003566807682294</v>
          </cell>
          <cell r="L89">
            <v>3.1598892204428561E-2</v>
          </cell>
          <cell r="M89">
            <v>3.3301554486577734E-2</v>
          </cell>
          <cell r="N89">
            <v>3.8207108254908952E-2</v>
          </cell>
          <cell r="O89">
            <v>4.0349671320910926E-2</v>
          </cell>
          <cell r="P89">
            <v>5.1206373544481529E-2</v>
          </cell>
        </row>
        <row r="90">
          <cell r="B90" t="str">
            <v>CO2_T</v>
          </cell>
          <cell r="C90" t="str">
            <v>VAR_fout</v>
          </cell>
          <cell r="D90" t="str">
            <v>T_C-ICEDSLEXT</v>
          </cell>
          <cell r="E90">
            <v>3821.3280545354701</v>
          </cell>
          <cell r="F90">
            <v>3569.7775266716399</v>
          </cell>
          <cell r="G90">
            <v>2582.9153317872301</v>
          </cell>
          <cell r="H90">
            <v>847.77280723057004</v>
          </cell>
        </row>
        <row r="91">
          <cell r="B91" t="str">
            <v>CO2_T</v>
          </cell>
          <cell r="C91" t="str">
            <v>VAR_fout</v>
          </cell>
          <cell r="D91" t="str">
            <v>T_TW-ICEGSLEXT</v>
          </cell>
          <cell r="E91">
            <v>146.50758360489999</v>
          </cell>
          <cell r="F91">
            <v>52.647000231206803</v>
          </cell>
          <cell r="G91">
            <v>51.102453645190401</v>
          </cell>
          <cell r="H91">
            <v>33.440666430555503</v>
          </cell>
        </row>
        <row r="92">
          <cell r="B92" t="str">
            <v>CO2_T</v>
          </cell>
          <cell r="C92" t="str">
            <v>VAR_fout</v>
          </cell>
          <cell r="D92" t="str">
            <v>TFLGV-ICENGA</v>
          </cell>
          <cell r="E92">
            <v>1.4301526770129629</v>
          </cell>
          <cell r="F92">
            <v>1.2628897505176055</v>
          </cell>
          <cell r="G92">
            <v>1.7672174495855479</v>
          </cell>
        </row>
        <row r="93">
          <cell r="B93" t="str">
            <v>CO2_T</v>
          </cell>
          <cell r="C93" t="str">
            <v>VAR_fout</v>
          </cell>
          <cell r="D93" t="str">
            <v>T_B_c-ICENGA-S1</v>
          </cell>
          <cell r="F93">
            <v>1.2624944031536601E-2</v>
          </cell>
          <cell r="G93">
            <v>0.19883824668329511</v>
          </cell>
          <cell r="H93">
            <v>0.18731214951211189</v>
          </cell>
          <cell r="J93">
            <v>2.3191371359017199E-4</v>
          </cell>
          <cell r="K93">
            <v>8.3121869575498705E-2</v>
          </cell>
          <cell r="L93">
            <v>8.2940007544437006E-2</v>
          </cell>
        </row>
        <row r="94">
          <cell r="B94" t="str">
            <v>CO2_T</v>
          </cell>
          <cell r="C94" t="str">
            <v>VAR_fout</v>
          </cell>
          <cell r="D94" t="str">
            <v>T_B_c-ICENGA-S2</v>
          </cell>
          <cell r="F94">
            <v>5.0652748352853398E-3</v>
          </cell>
          <cell r="G94">
            <v>2.354129325669134E-2</v>
          </cell>
          <cell r="K94">
            <v>4.9081367187627303E-4</v>
          </cell>
          <cell r="L94">
            <v>5.54239382907521E-4</v>
          </cell>
        </row>
        <row r="95">
          <cell r="B95" t="str">
            <v>CO2_T</v>
          </cell>
          <cell r="C95" t="str">
            <v>VAR_fout</v>
          </cell>
          <cell r="D95" t="str">
            <v>T_B_u-ICEDSL-S1</v>
          </cell>
          <cell r="E95">
            <v>1.9070146349273061E-2</v>
          </cell>
          <cell r="F95">
            <v>14.506699604311418</v>
          </cell>
          <cell r="G95">
            <v>29.529622263525294</v>
          </cell>
          <cell r="H95">
            <v>3.2009275056626E-3</v>
          </cell>
        </row>
        <row r="96">
          <cell r="B96" t="str">
            <v>CO2_T</v>
          </cell>
          <cell r="C96" t="str">
            <v>VAR_fout</v>
          </cell>
          <cell r="D96" t="str">
            <v>T_B_c-ICENGA-S3</v>
          </cell>
          <cell r="F96">
            <v>4.1805007080465001E-3</v>
          </cell>
          <cell r="G96">
            <v>1.5592583866956802E-2</v>
          </cell>
        </row>
        <row r="97">
          <cell r="B97" t="str">
            <v>CO2_T</v>
          </cell>
          <cell r="C97" t="str">
            <v>VAR_fout</v>
          </cell>
          <cell r="D97" t="str">
            <v>T_B_u-ICEDSL-S2</v>
          </cell>
          <cell r="E97">
            <v>8.0307267157520315</v>
          </cell>
          <cell r="F97">
            <v>9.9033424010469666</v>
          </cell>
          <cell r="G97">
            <v>17.360315051667296</v>
          </cell>
        </row>
        <row r="98">
          <cell r="B98" t="str">
            <v>CO2_T</v>
          </cell>
          <cell r="C98" t="str">
            <v>VAR_fout</v>
          </cell>
          <cell r="D98" t="str">
            <v>T_B_c-ICENGA-S4</v>
          </cell>
          <cell r="F98">
            <v>1.2291468220812999E-3</v>
          </cell>
          <cell r="G98">
            <v>3.2706781938383897E-3</v>
          </cell>
        </row>
        <row r="99">
          <cell r="B99" t="str">
            <v>CO2_T</v>
          </cell>
          <cell r="C99" t="str">
            <v>VAR_fout</v>
          </cell>
          <cell r="D99" t="str">
            <v>T_B_u-ICEDSL-S3</v>
          </cell>
          <cell r="E99">
            <v>45.433365723834996</v>
          </cell>
          <cell r="F99">
            <v>66.980367568415332</v>
          </cell>
          <cell r="G99">
            <v>117.24377499801719</v>
          </cell>
        </row>
        <row r="100">
          <cell r="B100" t="str">
            <v>CO2_T</v>
          </cell>
          <cell r="C100" t="str">
            <v>VAR_fout</v>
          </cell>
          <cell r="D100" t="str">
            <v>T_B_u-ICEDSL-S4</v>
          </cell>
          <cell r="E100">
            <v>0.29600548533638493</v>
          </cell>
          <cell r="F100">
            <v>2.9761494429163073E-2</v>
          </cell>
          <cell r="G100">
            <v>2.8228100087825482E-2</v>
          </cell>
        </row>
        <row r="101">
          <cell r="B101" t="str">
            <v>CO2_T</v>
          </cell>
          <cell r="C101" t="str">
            <v>VAR_fout</v>
          </cell>
          <cell r="D101" t="str">
            <v>T_B_c-ICENGAEXT</v>
          </cell>
          <cell r="E101">
            <v>7.7338534970140997E-3</v>
          </cell>
          <cell r="F101">
            <v>7.7428678450374598E-3</v>
          </cell>
          <cell r="G101">
            <v>7.6921232954051096E-3</v>
          </cell>
        </row>
        <row r="102">
          <cell r="B102" t="str">
            <v>CO2_T</v>
          </cell>
          <cell r="C102" t="str">
            <v>VAR_fout</v>
          </cell>
          <cell r="D102" t="str">
            <v>T_B_u-ICEDSLEXT</v>
          </cell>
          <cell r="E102">
            <v>1.27092707585909</v>
          </cell>
          <cell r="F102">
            <v>1.26941579248669</v>
          </cell>
          <cell r="G102">
            <v>1.26443634512894</v>
          </cell>
        </row>
        <row r="103">
          <cell r="B103" t="str">
            <v>CO2_T</v>
          </cell>
          <cell r="C103" t="str">
            <v>VAR_fout</v>
          </cell>
          <cell r="D103" t="str">
            <v>T_C-HYBGSLEXT</v>
          </cell>
          <cell r="E103">
            <v>92.550129026075894</v>
          </cell>
          <cell r="F103">
            <v>91.724477551265693</v>
          </cell>
          <cell r="G103">
            <v>68.278255327634099</v>
          </cell>
          <cell r="H103">
            <v>32.3953566094563</v>
          </cell>
        </row>
        <row r="104">
          <cell r="B104" t="str">
            <v>CO2_T</v>
          </cell>
          <cell r="C104" t="str">
            <v>VAR_fout</v>
          </cell>
          <cell r="D104" t="str">
            <v>TPAVDKEREXT</v>
          </cell>
          <cell r="E104">
            <v>79.576349423418094</v>
          </cell>
          <cell r="F104">
            <v>100.796237247683</v>
          </cell>
          <cell r="G104">
            <v>132.626068984081</v>
          </cell>
          <cell r="H104">
            <v>185.675788544743</v>
          </cell>
          <cell r="I104">
            <v>170.02894982493601</v>
          </cell>
          <cell r="J104">
            <v>154.38211110512901</v>
          </cell>
          <cell r="K104">
            <v>138.735272385321</v>
          </cell>
          <cell r="L104">
            <v>123.088433665514</v>
          </cell>
          <cell r="M104">
            <v>109.90751284479499</v>
          </cell>
          <cell r="N104">
            <v>98.138070491291401</v>
          </cell>
          <cell r="O104">
            <v>87.628958480337403</v>
          </cell>
          <cell r="P104">
            <v>78.245214379164594</v>
          </cell>
        </row>
        <row r="105">
          <cell r="B105" t="str">
            <v>CO2_T</v>
          </cell>
          <cell r="C105" t="str">
            <v>VAR_fout</v>
          </cell>
          <cell r="D105" t="str">
            <v>T_C-ICE-GSL-S1</v>
          </cell>
          <cell r="E105">
            <v>36.653874917550041</v>
          </cell>
          <cell r="F105">
            <v>40.65387294874855</v>
          </cell>
          <cell r="G105">
            <v>99.767673366517485</v>
          </cell>
          <cell r="H105">
            <v>84.344660565973044</v>
          </cell>
          <cell r="I105">
            <v>45.970863308033564</v>
          </cell>
          <cell r="J105">
            <v>7.2151248210449266</v>
          </cell>
        </row>
        <row r="106">
          <cell r="B106" t="str">
            <v>CO2_T</v>
          </cell>
          <cell r="C106" t="str">
            <v>VAR_fout</v>
          </cell>
          <cell r="D106" t="str">
            <v>TFLGV-ICEGSL</v>
          </cell>
          <cell r="E106">
            <v>26.681364396577191</v>
          </cell>
          <cell r="F106">
            <v>42.593679981712874</v>
          </cell>
          <cell r="G106">
            <v>57.071720892783404</v>
          </cell>
          <cell r="H106">
            <v>100.51024049891217</v>
          </cell>
          <cell r="I106">
            <v>71.786422884332495</v>
          </cell>
          <cell r="J106">
            <v>8.9431958050777294E-3</v>
          </cell>
        </row>
        <row r="107">
          <cell r="B107" t="str">
            <v>CO2_T</v>
          </cell>
          <cell r="C107" t="str">
            <v>VAR_fout</v>
          </cell>
          <cell r="D107" t="str">
            <v>T_C-ICE-GSL-S2</v>
          </cell>
          <cell r="E107">
            <v>277.57998218742284</v>
          </cell>
          <cell r="F107">
            <v>391.66754960103788</v>
          </cell>
          <cell r="G107">
            <v>326.72618355498594</v>
          </cell>
          <cell r="H107">
            <v>303.75161503789809</v>
          </cell>
          <cell r="I107">
            <v>12.484812238355252</v>
          </cell>
          <cell r="J107">
            <v>0.1325408442601462</v>
          </cell>
        </row>
        <row r="108">
          <cell r="B108" t="str">
            <v>CO2_T</v>
          </cell>
          <cell r="C108" t="str">
            <v>VAR_fout</v>
          </cell>
          <cell r="D108" t="str">
            <v>T_C-ICE-DSL-S1</v>
          </cell>
          <cell r="E108">
            <v>0.37707117241981042</v>
          </cell>
          <cell r="F108">
            <v>0.44877636017987338</v>
          </cell>
          <cell r="G108">
            <v>0.35852161279650541</v>
          </cell>
          <cell r="H108">
            <v>0.28502491062252239</v>
          </cell>
          <cell r="I108">
            <v>6.1599248000108284E-2</v>
          </cell>
          <cell r="J108">
            <v>1.9995794857043711E-2</v>
          </cell>
        </row>
        <row r="109">
          <cell r="B109" t="str">
            <v>CO2_T</v>
          </cell>
          <cell r="C109" t="str">
            <v>VAR_fout</v>
          </cell>
          <cell r="D109" t="str">
            <v>T_C-ICE-GSL-S3</v>
          </cell>
          <cell r="E109">
            <v>278.2173489691487</v>
          </cell>
          <cell r="F109">
            <v>423.68706206592162</v>
          </cell>
          <cell r="G109">
            <v>524.12198273803699</v>
          </cell>
          <cell r="H109">
            <v>430.04916581672518</v>
          </cell>
          <cell r="I109">
            <v>86.090446027903639</v>
          </cell>
          <cell r="J109">
            <v>10.749322841326222</v>
          </cell>
        </row>
        <row r="110">
          <cell r="B110" t="str">
            <v>CO2_T</v>
          </cell>
          <cell r="C110" t="str">
            <v>VAR_fout</v>
          </cell>
          <cell r="D110" t="str">
            <v>T_C-ICE-DSL-S2</v>
          </cell>
          <cell r="E110">
            <v>89.560884498032195</v>
          </cell>
          <cell r="F110">
            <v>94.066942932072081</v>
          </cell>
          <cell r="G110">
            <v>81.556776631623364</v>
          </cell>
          <cell r="H110">
            <v>60.804409079103401</v>
          </cell>
          <cell r="I110">
            <v>1.5638649532193676</v>
          </cell>
          <cell r="J110">
            <v>2.0334186979026343E-2</v>
          </cell>
        </row>
        <row r="111">
          <cell r="B111" t="str">
            <v>CO2_T</v>
          </cell>
          <cell r="C111" t="str">
            <v>VAR_fout</v>
          </cell>
          <cell r="D111" t="str">
            <v>T_C-ICE-GSL-S4</v>
          </cell>
          <cell r="E111">
            <v>287.50774173565435</v>
          </cell>
          <cell r="F111">
            <v>387.81356493700213</v>
          </cell>
          <cell r="G111">
            <v>820.01151471767673</v>
          </cell>
          <cell r="H111">
            <v>688.25970626985816</v>
          </cell>
          <cell r="I111">
            <v>288.81953134374356</v>
          </cell>
          <cell r="J111">
            <v>32.121857367993734</v>
          </cell>
        </row>
        <row r="112">
          <cell r="B112" t="str">
            <v>CO2_T</v>
          </cell>
          <cell r="C112" t="str">
            <v>VAR_fout</v>
          </cell>
          <cell r="D112" t="str">
            <v>T_C-ICE-DSL-S3</v>
          </cell>
          <cell r="E112">
            <v>369.64369964140906</v>
          </cell>
          <cell r="F112">
            <v>390.47286497774161</v>
          </cell>
          <cell r="G112">
            <v>386.76249748746346</v>
          </cell>
          <cell r="H112">
            <v>295.37196205373425</v>
          </cell>
          <cell r="I112">
            <v>10.161803974913218</v>
          </cell>
          <cell r="J112">
            <v>1.8377347110308931E-2</v>
          </cell>
        </row>
        <row r="113">
          <cell r="B113" t="str">
            <v>CO2_T</v>
          </cell>
          <cell r="C113" t="str">
            <v>VAR_fout</v>
          </cell>
          <cell r="D113" t="str">
            <v>T_C-ICE-DSL-S4</v>
          </cell>
          <cell r="E113">
            <v>142.0277682544334</v>
          </cell>
          <cell r="F113">
            <v>162.05565523455039</v>
          </cell>
          <cell r="G113">
            <v>159.25869420128376</v>
          </cell>
          <cell r="H113">
            <v>122.59238804233469</v>
          </cell>
          <cell r="I113">
            <v>6.2303151308673153</v>
          </cell>
          <cell r="J113">
            <v>1.2127479851691329E-2</v>
          </cell>
        </row>
        <row r="114">
          <cell r="B114" t="str">
            <v>CO2_T</v>
          </cell>
          <cell r="C114" t="str">
            <v>VAR_fout</v>
          </cell>
          <cell r="D114" t="str">
            <v>TFLGV-ICENGAExt</v>
          </cell>
          <cell r="E114">
            <v>6.0533264884958804</v>
          </cell>
          <cell r="F114">
            <v>1.8281494928973301</v>
          </cell>
          <cell r="G114">
            <v>3.9496682219755601</v>
          </cell>
        </row>
        <row r="115">
          <cell r="B115" t="str">
            <v>CO2_T</v>
          </cell>
          <cell r="C115" t="str">
            <v>VAR_fout</v>
          </cell>
          <cell r="D115" t="str">
            <v>T_B_u-HYBDSL-S1</v>
          </cell>
          <cell r="F115">
            <v>4.0652627138863098</v>
          </cell>
          <cell r="G115">
            <v>4.0904320096694695</v>
          </cell>
        </row>
        <row r="116">
          <cell r="B116" t="str">
            <v>CO2_T</v>
          </cell>
          <cell r="C116" t="str">
            <v>VAR_fout</v>
          </cell>
          <cell r="D116" t="str">
            <v>T_B_u-HYBDSL-S2</v>
          </cell>
          <cell r="F116">
            <v>3.3338037874754797E-2</v>
          </cell>
          <cell r="G116">
            <v>4.9649667917094603E-2</v>
          </cell>
        </row>
        <row r="117">
          <cell r="B117" t="str">
            <v>CO2_T</v>
          </cell>
          <cell r="C117" t="str">
            <v>VAR_fout</v>
          </cell>
          <cell r="D117" t="str">
            <v>T_B_u-HYBDSL-S3</v>
          </cell>
          <cell r="F117">
            <v>3.5381493400826802E-2</v>
          </cell>
          <cell r="G117">
            <v>5.1226340296587597E-2</v>
          </cell>
        </row>
        <row r="118">
          <cell r="B118" t="str">
            <v>CO2_T</v>
          </cell>
          <cell r="C118" t="str">
            <v>VAR_fout</v>
          </cell>
          <cell r="D118" t="str">
            <v>T_C-HY-GSL-S1</v>
          </cell>
          <cell r="E118">
            <v>3.3785989025289909</v>
          </cell>
          <cell r="F118">
            <v>3.9781281827044572</v>
          </cell>
          <cell r="G118">
            <v>2.8611322792383609</v>
          </cell>
          <cell r="H118">
            <v>2.22496879466151</v>
          </cell>
          <cell r="I118">
            <v>0.2154372512795297</v>
          </cell>
          <cell r="J118">
            <v>2.3839596794849899E-2</v>
          </cell>
        </row>
        <row r="119">
          <cell r="B119" t="str">
            <v>CO2_T</v>
          </cell>
          <cell r="C119" t="str">
            <v>VAR_fout</v>
          </cell>
          <cell r="D119" t="str">
            <v>T_B_u-HYBDSL-S4</v>
          </cell>
          <cell r="F119">
            <v>1.78264074728927E-3</v>
          </cell>
          <cell r="G119">
            <v>3.4025747169364601E-3</v>
          </cell>
        </row>
        <row r="120">
          <cell r="B120" t="str">
            <v>CO2_T</v>
          </cell>
          <cell r="C120" t="str">
            <v>VAR_fout</v>
          </cell>
          <cell r="D120" t="str">
            <v>TFRLFDSLEXT</v>
          </cell>
          <cell r="E120">
            <v>29.033495517667198</v>
          </cell>
          <cell r="F120">
            <v>2.2398290004656402E-2</v>
          </cell>
          <cell r="G120">
            <v>2.4212767380065999E-2</v>
          </cell>
          <cell r="H120">
            <v>2.5256070028423401E-2</v>
          </cell>
          <cell r="I120">
            <v>2.4577982293164002E-2</v>
          </cell>
          <cell r="J120">
            <v>2.45678730575669E-2</v>
          </cell>
          <cell r="K120">
            <v>2.3484951008842798E-2</v>
          </cell>
          <cell r="L120">
            <v>3.6184583302616602E-3</v>
          </cell>
          <cell r="N120">
            <v>6.6147208806283803E-3</v>
          </cell>
          <cell r="O120">
            <v>6.6254518503115704E-3</v>
          </cell>
          <cell r="P120">
            <v>3.4137939013120601E-2</v>
          </cell>
        </row>
        <row r="121">
          <cell r="B121" t="str">
            <v>CO2_T</v>
          </cell>
          <cell r="C121" t="str">
            <v>VAR_fout</v>
          </cell>
          <cell r="D121" t="str">
            <v>T_C-HY-GSL-S2</v>
          </cell>
          <cell r="E121">
            <v>10.221978002329021</v>
          </cell>
          <cell r="F121">
            <v>16.943335777858</v>
          </cell>
          <cell r="G121">
            <v>56.985976006500266</v>
          </cell>
          <cell r="H121">
            <v>49.252599404333353</v>
          </cell>
          <cell r="I121">
            <v>20.922678366836838</v>
          </cell>
          <cell r="J121">
            <v>3.0510484872220487</v>
          </cell>
        </row>
        <row r="122">
          <cell r="B122" t="str">
            <v>CO2_T</v>
          </cell>
          <cell r="C122" t="str">
            <v>VAR_fout</v>
          </cell>
          <cell r="D122" t="str">
            <v>T_C-HY-DSL-S1</v>
          </cell>
          <cell r="E122">
            <v>2.2647287324559901E-3</v>
          </cell>
          <cell r="F122">
            <v>12.041829471369352</v>
          </cell>
          <cell r="G122">
            <v>8.3419747821689754</v>
          </cell>
          <cell r="H122">
            <v>6.770358575236604</v>
          </cell>
          <cell r="I122">
            <v>2.4665529299786457</v>
          </cell>
          <cell r="J122">
            <v>5.92277118559262E-2</v>
          </cell>
        </row>
        <row r="123">
          <cell r="B123" t="str">
            <v>CO2_T</v>
          </cell>
          <cell r="C123" t="str">
            <v>VAR_fout</v>
          </cell>
          <cell r="D123" t="str">
            <v>T_C-HY-GSL-S3</v>
          </cell>
          <cell r="E123">
            <v>7.5802109294378921</v>
          </cell>
          <cell r="F123">
            <v>82.676281291977119</v>
          </cell>
          <cell r="G123">
            <v>78.217933409950831</v>
          </cell>
          <cell r="H123">
            <v>62.534601002790431</v>
          </cell>
          <cell r="I123">
            <v>19.793267582299727</v>
          </cell>
          <cell r="J123">
            <v>9.5276497982962009E-3</v>
          </cell>
        </row>
        <row r="124">
          <cell r="B124" t="str">
            <v>CO2_T</v>
          </cell>
          <cell r="C124" t="str">
            <v>VAR_fout</v>
          </cell>
          <cell r="D124" t="str">
            <v>T_C-HY-DSL-S2</v>
          </cell>
          <cell r="E124">
            <v>0.20356199559551269</v>
          </cell>
          <cell r="F124">
            <v>41.438603739589851</v>
          </cell>
          <cell r="G124">
            <v>85.558821164107059</v>
          </cell>
          <cell r="H124">
            <v>72.276354170755795</v>
          </cell>
          <cell r="I124">
            <v>35.48523623845923</v>
          </cell>
          <cell r="J124">
            <v>3.3949051716153269</v>
          </cell>
        </row>
        <row r="125">
          <cell r="B125" t="str">
            <v>CO2_T</v>
          </cell>
          <cell r="C125" t="str">
            <v>VAR_fout</v>
          </cell>
          <cell r="D125" t="str">
            <v>T_C-HY-GSL-S4</v>
          </cell>
          <cell r="E125">
            <v>6.6998105282942166</v>
          </cell>
          <cell r="F125">
            <v>9.9927837020547035</v>
          </cell>
          <cell r="G125">
            <v>9.439726092372144</v>
          </cell>
          <cell r="H125">
            <v>7.9744697004592142</v>
          </cell>
          <cell r="I125">
            <v>1.1708315615134899</v>
          </cell>
          <cell r="J125">
            <v>1.0643868770846179E-2</v>
          </cell>
        </row>
        <row r="126">
          <cell r="B126" t="str">
            <v>CO2_T</v>
          </cell>
          <cell r="C126" t="str">
            <v>VAR_fout</v>
          </cell>
          <cell r="D126" t="str">
            <v>T_C-HY-DSL-S3</v>
          </cell>
          <cell r="E126">
            <v>2.1501408391887842</v>
          </cell>
          <cell r="F126">
            <v>3.3436824914322756</v>
          </cell>
          <cell r="G126">
            <v>3.2109505917047922</v>
          </cell>
          <cell r="H126">
            <v>2.4137320317929474</v>
          </cell>
          <cell r="I126">
            <v>0.47010135873129166</v>
          </cell>
          <cell r="J126">
            <v>9.6490300096921597E-3</v>
          </cell>
        </row>
        <row r="127">
          <cell r="B127" t="str">
            <v>CO2_T</v>
          </cell>
          <cell r="C127" t="str">
            <v>VAR_fout</v>
          </cell>
          <cell r="D127" t="str">
            <v>T_C-HY-DSL-S4</v>
          </cell>
          <cell r="E127">
            <v>2.5848228848112313</v>
          </cell>
          <cell r="F127">
            <v>5.2134048442713175</v>
          </cell>
          <cell r="G127">
            <v>4.9495782889457089</v>
          </cell>
          <cell r="H127">
            <v>4.0716709166336162</v>
          </cell>
          <cell r="I127">
            <v>0.92195869116741302</v>
          </cell>
          <cell r="J127">
            <v>1.0615499080692181E-2</v>
          </cell>
        </row>
        <row r="128">
          <cell r="B128" t="str">
            <v>CO2_T</v>
          </cell>
          <cell r="C128" t="str">
            <v>VAR_fout</v>
          </cell>
          <cell r="D128" t="str">
            <v>TFHGV-HYBDSL</v>
          </cell>
          <cell r="F128">
            <v>224.799058970375</v>
          </cell>
          <cell r="G128">
            <v>307.87335677166732</v>
          </cell>
          <cell r="H128">
            <v>822.14035554718521</v>
          </cell>
          <cell r="I128">
            <v>888.22473478555298</v>
          </cell>
          <cell r="J128">
            <v>793.30717831574896</v>
          </cell>
          <cell r="K128">
            <v>362.64292618837203</v>
          </cell>
          <cell r="L128">
            <v>146.73139925232499</v>
          </cell>
        </row>
        <row r="129">
          <cell r="B129" t="str">
            <v>CO2_T</v>
          </cell>
          <cell r="C129" t="str">
            <v>VAR_fout</v>
          </cell>
          <cell r="D129" t="str">
            <v>TFHGV-ICEDSL</v>
          </cell>
          <cell r="E129">
            <v>384.65316015362077</v>
          </cell>
          <cell r="F129">
            <v>450.39876372487259</v>
          </cell>
          <cell r="G129">
            <v>351.8585261718635</v>
          </cell>
          <cell r="H129">
            <v>32.346591421631487</v>
          </cell>
          <cell r="I129">
            <v>5.3352458756437099E-2</v>
          </cell>
          <cell r="J129">
            <v>5.34921625106115E-2</v>
          </cell>
          <cell r="K129">
            <v>4.9025900436419703E-2</v>
          </cell>
          <cell r="L129">
            <v>2.31222313727408E-2</v>
          </cell>
        </row>
        <row r="130">
          <cell r="B130" t="str">
            <v>CO2_T</v>
          </cell>
          <cell r="C130" t="str">
            <v>VAR_fout</v>
          </cell>
          <cell r="D130" t="str">
            <v>T-Plg-DSL-mix_S1</v>
          </cell>
          <cell r="E130">
            <v>1.2372586741572101E-3</v>
          </cell>
          <cell r="F130">
            <v>3.8537670730814801E-2</v>
          </cell>
          <cell r="G130">
            <v>5.4422553371059341E-2</v>
          </cell>
          <cell r="H130">
            <v>7.3761949865471216E-2</v>
          </cell>
          <cell r="I130">
            <v>7.0547097204149284E-2</v>
          </cell>
          <cell r="J130">
            <v>3.3543117227051222E-2</v>
          </cell>
          <cell r="K130">
            <v>9.4004159828346895E-2</v>
          </cell>
          <cell r="L130">
            <v>5.8446979021818599E-2</v>
          </cell>
          <cell r="M130">
            <v>0.25666868001259008</v>
          </cell>
          <cell r="N130">
            <v>1.36992376980459E-2</v>
          </cell>
          <cell r="O130">
            <v>8.4146167165812386E-3</v>
          </cell>
          <cell r="P130">
            <v>8.0291554210345957E-3</v>
          </cell>
        </row>
        <row r="131">
          <cell r="B131" t="str">
            <v>CO2_T</v>
          </cell>
          <cell r="C131" t="str">
            <v>VAR_fout</v>
          </cell>
          <cell r="D131" t="str">
            <v>T-Plg-DSL-mix_S2</v>
          </cell>
          <cell r="E131">
            <v>3.8557175985439699E-4</v>
          </cell>
          <cell r="F131">
            <v>4.6217702422676601E-2</v>
          </cell>
          <cell r="G131">
            <v>0.1576104520794607</v>
          </cell>
          <cell r="H131">
            <v>0.42702208813246711</v>
          </cell>
          <cell r="I131">
            <v>0.33346690069464385</v>
          </cell>
          <cell r="J131">
            <v>0.1607679376198137</v>
          </cell>
          <cell r="K131">
            <v>0.42290921170142409</v>
          </cell>
          <cell r="L131">
            <v>0.27343145889586851</v>
          </cell>
          <cell r="M131">
            <v>0.1591035224637381</v>
          </cell>
          <cell r="N131">
            <v>2.43485031250892E-2</v>
          </cell>
          <cell r="O131">
            <v>2.1098892382624412E-2</v>
          </cell>
          <cell r="P131">
            <v>1.3222175813191807E-2</v>
          </cell>
        </row>
        <row r="132">
          <cell r="B132" t="str">
            <v>CO2_T</v>
          </cell>
          <cell r="C132" t="str">
            <v>VAR_fout</v>
          </cell>
          <cell r="D132" t="str">
            <v>T-Plg-DSL-mix_S3</v>
          </cell>
          <cell r="E132">
            <v>6.9478883825907899E-3</v>
          </cell>
          <cell r="F132">
            <v>52.417292554148403</v>
          </cell>
          <cell r="G132">
            <v>105.05576405852959</v>
          </cell>
          <cell r="H132">
            <v>511.71077693134009</v>
          </cell>
          <cell r="I132">
            <v>695.91347346237217</v>
          </cell>
          <cell r="J132">
            <v>397.43205913768003</v>
          </cell>
          <cell r="K132">
            <v>330.08014191282393</v>
          </cell>
          <cell r="L132">
            <v>97.113919025292333</v>
          </cell>
          <cell r="M132">
            <v>46.033343020502954</v>
          </cell>
          <cell r="N132">
            <v>3.0465277568252302E-2</v>
          </cell>
          <cell r="O132">
            <v>2.567192223653933E-2</v>
          </cell>
          <cell r="P132">
            <v>1.4219081564980546E-2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T_B_c-ICEDSL-S1</v>
          </cell>
          <cell r="E133">
            <v>8.3080429854307205</v>
          </cell>
          <cell r="F133">
            <v>22.54405645407418</v>
          </cell>
          <cell r="G133">
            <v>27.239359063296302</v>
          </cell>
          <cell r="H133">
            <v>7.2184155885405235E-2</v>
          </cell>
          <cell r="K133">
            <v>4.5933568968098198E-4</v>
          </cell>
          <cell r="L133">
            <v>3.1829028609191398E-4</v>
          </cell>
        </row>
        <row r="134">
          <cell r="B134" t="str">
            <v>CO2_T</v>
          </cell>
          <cell r="C134" t="str">
            <v>VAR_fout</v>
          </cell>
          <cell r="D134" t="str">
            <v>T-Plg-DSL-mix_S4</v>
          </cell>
          <cell r="E134">
            <v>0.41654080891526102</v>
          </cell>
          <cell r="F134">
            <v>1.407981242357468</v>
          </cell>
          <cell r="G134">
            <v>1.4907646081664683</v>
          </cell>
          <cell r="H134">
            <v>4.3795149020788404</v>
          </cell>
          <cell r="I134">
            <v>2.419476051941821</v>
          </cell>
          <cell r="J134">
            <v>1.0789223516698241</v>
          </cell>
          <cell r="K134">
            <v>0.92990617716920199</v>
          </cell>
          <cell r="L134">
            <v>0.49476599363846774</v>
          </cell>
          <cell r="M134">
            <v>22.010891461564277</v>
          </cell>
          <cell r="N134">
            <v>68.553622163859927</v>
          </cell>
          <cell r="O134">
            <v>62.547492403864219</v>
          </cell>
          <cell r="P134">
            <v>53.014757399318221</v>
          </cell>
        </row>
        <row r="135">
          <cell r="B135" t="str">
            <v>CO2_T</v>
          </cell>
          <cell r="C135" t="str">
            <v>VAR_fout</v>
          </cell>
          <cell r="D135" t="str">
            <v>T_B_c-ICEDSL-S2</v>
          </cell>
          <cell r="E135">
            <v>38.068854967071999</v>
          </cell>
          <cell r="F135">
            <v>29.236248329238126</v>
          </cell>
          <cell r="G135">
            <v>36.110949087555205</v>
          </cell>
          <cell r="H135">
            <v>5.9341552139998712E-4</v>
          </cell>
          <cell r="K135">
            <v>5.60991418658212E-5</v>
          </cell>
          <cell r="L135">
            <v>8.5611719361128503E-5</v>
          </cell>
        </row>
        <row r="136">
          <cell r="B136" t="str">
            <v>CO2_T</v>
          </cell>
          <cell r="C136" t="str">
            <v>VAR_fout</v>
          </cell>
          <cell r="D136" t="str">
            <v>T_B_c-ICEDSL-S3</v>
          </cell>
          <cell r="E136">
            <v>11.73180059674004</v>
          </cell>
          <cell r="F136">
            <v>9.4142312577984733</v>
          </cell>
          <cell r="G136">
            <v>11.613127063983853</v>
          </cell>
        </row>
        <row r="137">
          <cell r="B137" t="str">
            <v>CO2_T</v>
          </cell>
          <cell r="C137" t="str">
            <v>VAR_fout</v>
          </cell>
          <cell r="D137" t="str">
            <v>T_B_c-ICEDSL-S4</v>
          </cell>
          <cell r="E137">
            <v>0.97533244892250015</v>
          </cell>
          <cell r="F137">
            <v>2.6609775520017198E-2</v>
          </cell>
          <cell r="G137">
            <v>2.851423186184485E-2</v>
          </cell>
        </row>
        <row r="138">
          <cell r="B138" t="str">
            <v>CO2_T</v>
          </cell>
          <cell r="C138" t="str">
            <v>VAR_fout</v>
          </cell>
          <cell r="D138" t="str">
            <v>T_B_u-ICENGA-S1</v>
          </cell>
          <cell r="F138">
            <v>8.0823805348991598E-3</v>
          </cell>
          <cell r="G138">
            <v>3.503213746591359E-2</v>
          </cell>
        </row>
        <row r="139">
          <cell r="B139" t="str">
            <v>CO2_T</v>
          </cell>
          <cell r="C139" t="str">
            <v>VAR_fout</v>
          </cell>
          <cell r="D139" t="str">
            <v>T_B_u-ICENGA-S2</v>
          </cell>
          <cell r="F139">
            <v>6.67052520854154E-3</v>
          </cell>
          <cell r="G139">
            <v>7.5702002947255903E-2</v>
          </cell>
        </row>
        <row r="140">
          <cell r="B140" t="str">
            <v>CO2_T</v>
          </cell>
          <cell r="C140" t="str">
            <v>VAR_fout</v>
          </cell>
          <cell r="D140" t="str">
            <v>T_B_c-ICEDSLEXT</v>
          </cell>
          <cell r="E140">
            <v>0.44180732411705098</v>
          </cell>
          <cell r="F140">
            <v>0.44076516951394301</v>
          </cell>
          <cell r="G140">
            <v>0.43753415757904701</v>
          </cell>
        </row>
        <row r="141">
          <cell r="B141" t="str">
            <v>CO2_T</v>
          </cell>
          <cell r="C141" t="str">
            <v>VAR_fout</v>
          </cell>
          <cell r="D141" t="str">
            <v>T_B_u-ICENGA-S3</v>
          </cell>
          <cell r="F141">
            <v>6.5702094822625004E-3</v>
          </cell>
          <cell r="G141">
            <v>1.0526723629145753</v>
          </cell>
        </row>
        <row r="142">
          <cell r="B142" t="str">
            <v>CO2_T</v>
          </cell>
          <cell r="C142" t="str">
            <v>VAR_fout</v>
          </cell>
          <cell r="D142" t="str">
            <v>T_B_u-ICENGA-S4</v>
          </cell>
          <cell r="F142">
            <v>7.6696008559750501E-4</v>
          </cell>
          <cell r="G142">
            <v>2.7170300282050698E-3</v>
          </cell>
          <cell r="J142">
            <v>5.3310998803104402E-5</v>
          </cell>
        </row>
        <row r="143">
          <cell r="B143" t="str">
            <v>CO2_T</v>
          </cell>
          <cell r="C143" t="str">
            <v>VAR_comnet</v>
          </cell>
          <cell r="D143" t="str">
            <v>-</v>
          </cell>
          <cell r="E143">
            <v>15008.9437025359</v>
          </cell>
          <cell r="F143">
            <v>14246.5690144685</v>
          </cell>
          <cell r="G143">
            <v>13475.715538541799</v>
          </cell>
          <cell r="H143">
            <v>8695.9167018839107</v>
          </cell>
          <cell r="I143">
            <v>4714.8511492156404</v>
          </cell>
          <cell r="J143">
            <v>2903.2650448491299</v>
          </cell>
          <cell r="K143">
            <v>1741.2387751763299</v>
          </cell>
          <cell r="L143">
            <v>687.67209204320102</v>
          </cell>
          <cell r="M143">
            <v>439.58750400268502</v>
          </cell>
          <cell r="N143">
            <v>417.04763836128001</v>
          </cell>
          <cell r="O143">
            <v>391.72513577421898</v>
          </cell>
          <cell r="P143">
            <v>359.113769700771</v>
          </cell>
        </row>
        <row r="144">
          <cell r="B144" t="str">
            <v>CO2</v>
          </cell>
          <cell r="C144" t="str">
            <v>VAR_fout</v>
          </cell>
          <cell r="D144" t="str">
            <v>EWSTINCCS</v>
          </cell>
          <cell r="J144">
            <v>-485.96756950055698</v>
          </cell>
          <cell r="K144">
            <v>-1107.59628173231</v>
          </cell>
          <cell r="L144">
            <v>-1152.3341509694701</v>
          </cell>
          <cell r="M144">
            <v>-1140.9251510619099</v>
          </cell>
          <cell r="N144">
            <v>-1140.9250811230399</v>
          </cell>
          <cell r="O144">
            <v>-1140.9250007211699</v>
          </cell>
          <cell r="P144">
            <v>-1140.9250805684501</v>
          </cell>
        </row>
        <row r="145">
          <cell r="B145" t="str">
            <v>CO2</v>
          </cell>
          <cell r="C145" t="str">
            <v>VAR_fout</v>
          </cell>
          <cell r="D145" t="str">
            <v>othGHG</v>
          </cell>
          <cell r="E145">
            <v>9468.5879275113693</v>
          </cell>
          <cell r="F145">
            <v>9016.1649007544693</v>
          </cell>
          <cell r="G145">
            <v>8563.7418739975801</v>
          </cell>
          <cell r="H145">
            <v>8788.4886751038102</v>
          </cell>
          <cell r="I145">
            <v>7713.5706102321701</v>
          </cell>
          <cell r="J145">
            <v>6768.8204363701498</v>
          </cell>
          <cell r="K145">
            <v>5890.0980237089598</v>
          </cell>
          <cell r="L145">
            <v>5011.3756110477598</v>
          </cell>
          <cell r="M145">
            <v>5011.3756110477598</v>
          </cell>
          <cell r="N145">
            <v>5011.3756110477598</v>
          </cell>
          <cell r="O145">
            <v>5011.3756110477598</v>
          </cell>
          <cell r="P145">
            <v>5011.3756110477598</v>
          </cell>
        </row>
        <row r="146">
          <cell r="B146" t="str">
            <v>CO2</v>
          </cell>
          <cell r="C146" t="str">
            <v>VAR_fout</v>
          </cell>
          <cell r="D146" t="str">
            <v>D-ICOA</v>
          </cell>
          <cell r="E146">
            <v>330.012262578692</v>
          </cell>
          <cell r="F146">
            <v>321.17927597154198</v>
          </cell>
          <cell r="G146">
            <v>50.062541502064299</v>
          </cell>
          <cell r="H146">
            <v>2.4783721097884098E-2</v>
          </cell>
          <cell r="I146">
            <v>1.51062554048124E-2</v>
          </cell>
          <cell r="J146">
            <v>9.4003867108908207E-2</v>
          </cell>
          <cell r="K146">
            <v>5.8267583793617198E-2</v>
          </cell>
          <cell r="L146">
            <v>3.4867321465925902E-2</v>
          </cell>
          <cell r="M146">
            <v>2.68235265243763E-2</v>
          </cell>
          <cell r="N146">
            <v>5.7579953359597501E-2</v>
          </cell>
          <cell r="O146">
            <v>3.0365852583169501E-2</v>
          </cell>
          <cell r="P146">
            <v>1.21350130275521E-2</v>
          </cell>
        </row>
        <row r="147">
          <cell r="B147" t="str">
            <v>CO2</v>
          </cell>
          <cell r="C147" t="str">
            <v>VAR_fout</v>
          </cell>
          <cell r="D147" t="str">
            <v>ENGA-CCS</v>
          </cell>
          <cell r="K147">
            <v>-2.8418549212220801E-4</v>
          </cell>
          <cell r="L147">
            <v>-7.9230558300299805E-3</v>
          </cell>
          <cell r="M147">
            <v>-4.4428734557800196</v>
          </cell>
          <cell r="N147">
            <v>-4.9456949342713399</v>
          </cell>
          <cell r="O147">
            <v>-4.8210114045922303</v>
          </cell>
          <cell r="P147">
            <v>-4.8700327355606996</v>
          </cell>
        </row>
        <row r="148">
          <cell r="B148" t="str">
            <v>CO2</v>
          </cell>
          <cell r="C148" t="str">
            <v>VAR_fout</v>
          </cell>
          <cell r="D148" t="str">
            <v>CHPWSTCCS</v>
          </cell>
          <cell r="J148">
            <v>-542.08489995502998</v>
          </cell>
          <cell r="K148">
            <v>-1143.85294878995</v>
          </cell>
          <cell r="L148">
            <v>-1099.49703597744</v>
          </cell>
          <cell r="M148">
            <v>-1088.6110334878299</v>
          </cell>
          <cell r="N148">
            <v>-1088.61106366115</v>
          </cell>
          <cell r="O148">
            <v>-1088.61093427164</v>
          </cell>
          <cell r="P148">
            <v>-1088.6110381588401</v>
          </cell>
        </row>
        <row r="149">
          <cell r="B149" t="str">
            <v>CO2</v>
          </cell>
          <cell r="C149" t="str">
            <v>VAR_fout</v>
          </cell>
          <cell r="D149" t="str">
            <v>D-ENGA</v>
          </cell>
          <cell r="E149">
            <v>310.75001025823701</v>
          </cell>
          <cell r="F149">
            <v>105.152287795612</v>
          </cell>
          <cell r="G149">
            <v>84.243249422823197</v>
          </cell>
        </row>
        <row r="150">
          <cell r="B150" t="str">
            <v>CO2</v>
          </cell>
          <cell r="C150" t="str">
            <v>VAR_fout</v>
          </cell>
          <cell r="D150" t="str">
            <v>D-ILFO</v>
          </cell>
          <cell r="E150">
            <v>688.96238654799095</v>
          </cell>
          <cell r="F150">
            <v>659.57558948130202</v>
          </cell>
          <cell r="G150">
            <v>602.37714611080696</v>
          </cell>
          <cell r="H150">
            <v>426.77246905502801</v>
          </cell>
          <cell r="I150">
            <v>304.86228156979598</v>
          </cell>
          <cell r="J150">
            <v>160.04445051209899</v>
          </cell>
          <cell r="K150">
            <v>27.190797926484301</v>
          </cell>
          <cell r="M150">
            <v>1.1830807514132799E-2</v>
          </cell>
          <cell r="N150">
            <v>2.05072243741393E-2</v>
          </cell>
          <cell r="O150">
            <v>1.0634787937598001E-2</v>
          </cell>
          <cell r="P150">
            <v>4.4370635094578698E-3</v>
          </cell>
        </row>
        <row r="151">
          <cell r="B151" t="str">
            <v>CO2</v>
          </cell>
          <cell r="C151" t="str">
            <v>VAR_fout</v>
          </cell>
          <cell r="D151" t="str">
            <v>ITOT-CHPWSTCCS</v>
          </cell>
          <cell r="J151">
            <v>-58.352515701655598</v>
          </cell>
          <cell r="K151">
            <v>-753.861148839252</v>
          </cell>
          <cell r="L151">
            <v>-715.12262405461104</v>
          </cell>
          <cell r="M151">
            <v>-715.06072198667198</v>
          </cell>
          <cell r="N151">
            <v>-714.89664186399796</v>
          </cell>
          <cell r="O151">
            <v>-715.05472921015098</v>
          </cell>
          <cell r="P151">
            <v>-715.17166059681301</v>
          </cell>
        </row>
        <row r="152">
          <cell r="B152" t="str">
            <v>CO2</v>
          </cell>
          <cell r="C152" t="str">
            <v>VAR_fout</v>
          </cell>
          <cell r="D152" t="str">
            <v>ITOT-CHPNGACCS</v>
          </cell>
          <cell r="J152">
            <v>-0.70307075519273099</v>
          </cell>
          <cell r="K152">
            <v>-37.858718360384998</v>
          </cell>
          <cell r="L152">
            <v>-37.972353470244698</v>
          </cell>
          <cell r="M152">
            <v>-37.949802380163902</v>
          </cell>
          <cell r="N152">
            <v>-31.846153246754898</v>
          </cell>
          <cell r="O152">
            <v>-37.958992247443597</v>
          </cell>
          <cell r="P152">
            <v>-37.983419163188699</v>
          </cell>
        </row>
        <row r="153">
          <cell r="B153" t="str">
            <v>CO2</v>
          </cell>
          <cell r="C153" t="str">
            <v>VAR_fout</v>
          </cell>
          <cell r="D153" t="str">
            <v>D-TDSL</v>
          </cell>
          <cell r="E153">
            <v>8688.5354271433698</v>
          </cell>
          <cell r="F153">
            <v>8196.1036438101692</v>
          </cell>
          <cell r="G153">
            <v>7017.7276928834799</v>
          </cell>
          <cell r="H153">
            <v>4635.8958298498901</v>
          </cell>
          <cell r="I153">
            <v>2685.4874703120399</v>
          </cell>
          <cell r="J153">
            <v>1782.5619159585699</v>
          </cell>
          <cell r="K153">
            <v>778.690737531781</v>
          </cell>
          <cell r="L153">
            <v>3.14347453868166E-2</v>
          </cell>
          <cell r="M153">
            <v>6.03780488708556E-2</v>
          </cell>
          <cell r="N153">
            <v>0.11437983699165701</v>
          </cell>
          <cell r="O153">
            <v>8.0017387672263796E-2</v>
          </cell>
          <cell r="P153">
            <v>0.171950122529133</v>
          </cell>
        </row>
        <row r="154">
          <cell r="B154" t="str">
            <v>CO2</v>
          </cell>
          <cell r="C154" t="str">
            <v>VAR_fout</v>
          </cell>
          <cell r="D154" t="str">
            <v>ITOT-PROCESSCO2</v>
          </cell>
          <cell r="E154">
            <v>2089.34680048464</v>
          </cell>
          <cell r="F154">
            <v>2111.0131698740802</v>
          </cell>
          <cell r="G154">
            <v>2102.26947106126</v>
          </cell>
          <cell r="H154">
            <v>2093.6571972331999</v>
          </cell>
          <cell r="I154">
            <v>2085.5351269845</v>
          </cell>
          <cell r="J154">
            <v>2077.4146512658499</v>
          </cell>
          <cell r="K154">
            <v>2070.58126809634</v>
          </cell>
          <cell r="L154">
            <v>2063.7494535333199</v>
          </cell>
          <cell r="M154">
            <v>2063.7495591718898</v>
          </cell>
          <cell r="N154">
            <v>2063.7491802370801</v>
          </cell>
          <cell r="O154">
            <v>2063.7493618446802</v>
          </cell>
          <cell r="P154">
            <v>2063.7497022121702</v>
          </cell>
        </row>
        <row r="155">
          <cell r="B155" t="str">
            <v>CO2</v>
          </cell>
          <cell r="C155" t="str">
            <v>VAR_fout</v>
          </cell>
          <cell r="D155" t="str">
            <v>D-ELFO</v>
          </cell>
          <cell r="E155">
            <v>26.603114501798</v>
          </cell>
          <cell r="F155">
            <v>16.401403321686299</v>
          </cell>
          <cell r="G155">
            <v>5.7208924489583701</v>
          </cell>
          <cell r="H155">
            <v>4.9288004254224296</v>
          </cell>
          <cell r="I155">
            <v>0.186849520861328</v>
          </cell>
          <cell r="J155">
            <v>37.348034795564502</v>
          </cell>
          <cell r="K155">
            <v>37.484326419086003</v>
          </cell>
          <cell r="L155">
            <v>5.7239424726750702E-3</v>
          </cell>
          <cell r="M155">
            <v>0.366298314144621</v>
          </cell>
          <cell r="N155">
            <v>0.46170978239802801</v>
          </cell>
          <cell r="O155">
            <v>0.304361723718861</v>
          </cell>
          <cell r="P155">
            <v>0.60967656973357998</v>
          </cell>
        </row>
        <row r="156">
          <cell r="B156" t="str">
            <v>CO2</v>
          </cell>
          <cell r="C156" t="str">
            <v>VAR_fout</v>
          </cell>
          <cell r="D156" t="str">
            <v>D-TNGA</v>
          </cell>
          <cell r="E156">
            <v>13.7674585798372</v>
          </cell>
          <cell r="F156">
            <v>8.1089549514801398</v>
          </cell>
          <cell r="G156">
            <v>13.283520268632699</v>
          </cell>
          <cell r="H156">
            <v>0.37215982541199799</v>
          </cell>
          <cell r="I156">
            <v>0.14564039399533599</v>
          </cell>
          <cell r="J156">
            <v>5.5637894274019099E-2</v>
          </cell>
          <cell r="K156">
            <v>0.220880107374781</v>
          </cell>
          <cell r="L156">
            <v>7.4747401203162797E-2</v>
          </cell>
        </row>
        <row r="157">
          <cell r="B157" t="str">
            <v>CO2</v>
          </cell>
          <cell r="C157" t="str">
            <v>VAR_fout</v>
          </cell>
          <cell r="D157" t="str">
            <v>D-SNGA</v>
          </cell>
          <cell r="E157">
            <v>1522.2449924058899</v>
          </cell>
          <cell r="F157">
            <v>1415.7305115297499</v>
          </cell>
          <cell r="G157">
            <v>1654.9090391418299</v>
          </cell>
          <cell r="H157">
            <v>1606.1786998871501</v>
          </cell>
          <cell r="I157">
            <v>1607.6175318582</v>
          </cell>
          <cell r="J157">
            <v>1560.02025747178</v>
          </cell>
          <cell r="K157">
            <v>1308.15156683282</v>
          </cell>
          <cell r="L157">
            <v>410.98344335493999</v>
          </cell>
          <cell r="M157">
            <v>179.493323821117</v>
          </cell>
          <cell r="N157">
            <v>88.085060296522798</v>
          </cell>
          <cell r="O157">
            <v>52.685107244897402</v>
          </cell>
          <cell r="P157">
            <v>27.368687717795599</v>
          </cell>
        </row>
        <row r="158">
          <cell r="B158" t="str">
            <v>CO2</v>
          </cell>
          <cell r="C158" t="str">
            <v>VAR_fout</v>
          </cell>
          <cell r="D158" t="str">
            <v>CO2compabroad</v>
          </cell>
          <cell r="H158">
            <v>-5953.5490631806097</v>
          </cell>
          <cell r="I158">
            <v>-6411.66709049364</v>
          </cell>
          <cell r="J158">
            <v>-5901.9634158318504</v>
          </cell>
          <cell r="K158">
            <v>-5470.5567930247798</v>
          </cell>
          <cell r="L158">
            <v>-5000</v>
          </cell>
          <cell r="M158">
            <v>-4603.9825734379001</v>
          </cell>
          <cell r="N158">
            <v>-4207.9650542387999</v>
          </cell>
          <cell r="O158">
            <v>-3874.67956404196</v>
          </cell>
          <cell r="P158">
            <v>-3541.3939518685402</v>
          </cell>
        </row>
        <row r="159">
          <cell r="B159" t="str">
            <v>CO2</v>
          </cell>
          <cell r="C159" t="str">
            <v>VAR_fout</v>
          </cell>
          <cell r="D159" t="str">
            <v>D-RNGA</v>
          </cell>
          <cell r="E159">
            <v>2651.5216819888201</v>
          </cell>
          <cell r="F159">
            <v>2731.78261189676</v>
          </cell>
          <cell r="G159">
            <v>2745.2157713813399</v>
          </cell>
          <cell r="H159">
            <v>2988.70090714863</v>
          </cell>
          <cell r="I159">
            <v>2942.5214702940302</v>
          </cell>
          <cell r="J159">
            <v>2939.7872246042798</v>
          </cell>
          <cell r="K159">
            <v>2354.9706416504</v>
          </cell>
          <cell r="L159">
            <v>1020.4589809635</v>
          </cell>
          <cell r="M159">
            <v>314.84406717642702</v>
          </cell>
          <cell r="N159">
            <v>199.23070685847199</v>
          </cell>
          <cell r="O159">
            <v>199.12922880855101</v>
          </cell>
          <cell r="P159">
            <v>118.429889385045</v>
          </cell>
        </row>
        <row r="160">
          <cell r="B160" t="str">
            <v>CO2</v>
          </cell>
          <cell r="C160" t="str">
            <v>VAR_fout</v>
          </cell>
          <cell r="D160" t="str">
            <v>D-IHFO</v>
          </cell>
          <cell r="E160">
            <v>213.78048958746501</v>
          </cell>
          <cell r="F160">
            <v>194.23464607737901</v>
          </cell>
          <cell r="G160">
            <v>0.18610788979998699</v>
          </cell>
          <cell r="H160">
            <v>2.67157287504638E-2</v>
          </cell>
          <cell r="I160">
            <v>1.77222621313513E-2</v>
          </cell>
          <cell r="J160">
            <v>9.5437097915178501E-2</v>
          </cell>
          <cell r="K160">
            <v>6.6865156034180501E-2</v>
          </cell>
        </row>
        <row r="161">
          <cell r="B161" t="str">
            <v>CO2</v>
          </cell>
          <cell r="C161" t="str">
            <v>VAR_fout</v>
          </cell>
          <cell r="D161" t="str">
            <v>SUP_WSTHTGBIOCCS</v>
          </cell>
          <cell r="J161">
            <v>-4.34333546225011E-3</v>
          </cell>
          <cell r="K161">
            <v>-5.9303765571936898E-3</v>
          </cell>
          <cell r="L161">
            <v>-4.2857096435326203E-2</v>
          </cell>
          <cell r="M161">
            <v>-4.0760678857430503E-2</v>
          </cell>
          <cell r="N161">
            <v>-2.7240218056360201E-2</v>
          </cell>
          <cell r="O161">
            <v>-3.0895116037391899E-2</v>
          </cell>
          <cell r="P161">
            <v>-2.9081567623065602E-2</v>
          </cell>
        </row>
        <row r="162">
          <cell r="B162" t="str">
            <v>CO2</v>
          </cell>
          <cell r="C162" t="str">
            <v>VAR_fout</v>
          </cell>
          <cell r="D162" t="str">
            <v>D-SLFO</v>
          </cell>
          <cell r="E162">
            <v>2267.78872880361</v>
          </cell>
          <cell r="F162">
            <v>1996.6206161401301</v>
          </cell>
          <cell r="G162">
            <v>1866.7692317132801</v>
          </cell>
          <cell r="H162">
            <v>1462.87184008139</v>
          </cell>
          <cell r="I162">
            <v>1116.1336310607301</v>
          </cell>
          <cell r="J162">
            <v>792.123585808244</v>
          </cell>
          <cell r="K162">
            <v>464.613510743088</v>
          </cell>
          <cell r="M162">
            <v>1.6317502501919701E-2</v>
          </cell>
          <cell r="N162">
            <v>2.88674611404315E-2</v>
          </cell>
          <cell r="O162">
            <v>1.8494098891078399E-2</v>
          </cell>
          <cell r="P162">
            <v>3.5095934403409697E-2</v>
          </cell>
        </row>
        <row r="163">
          <cell r="B163" t="str">
            <v>CO2</v>
          </cell>
          <cell r="C163" t="str">
            <v>VAR_fout</v>
          </cell>
          <cell r="D163" t="str">
            <v>D-RCOA</v>
          </cell>
          <cell r="E163">
            <v>9.2700514778087495</v>
          </cell>
          <cell r="F163">
            <v>9.2700100273891604</v>
          </cell>
          <cell r="G163">
            <v>0.13695117262047901</v>
          </cell>
          <cell r="H163">
            <v>8.6216880868625001E-2</v>
          </cell>
          <cell r="I163">
            <v>3.3755115495356702E-2</v>
          </cell>
        </row>
        <row r="164">
          <cell r="B164" t="str">
            <v>CO2</v>
          </cell>
          <cell r="C164" t="str">
            <v>VAR_fout</v>
          </cell>
          <cell r="D164" t="str">
            <v>ITOT-CHPWODCCS</v>
          </cell>
          <cell r="J164">
            <v>-755.69638269811696</v>
          </cell>
          <cell r="K164">
            <v>-1069.7403589923399</v>
          </cell>
          <cell r="L164">
            <v>-1239.91717150403</v>
          </cell>
          <cell r="M164">
            <v>-1229.68557405915</v>
          </cell>
          <cell r="N164">
            <v>-1239.91724827803</v>
          </cell>
          <cell r="O164">
            <v>-1237.01489019974</v>
          </cell>
          <cell r="P164">
            <v>-1239.9183237934601</v>
          </cell>
        </row>
        <row r="165">
          <cell r="B165" t="str">
            <v>CO2</v>
          </cell>
          <cell r="C165" t="str">
            <v>VAR_fout</v>
          </cell>
          <cell r="D165" t="str">
            <v>D-RLFO</v>
          </cell>
          <cell r="E165">
            <v>4514.4828221692896</v>
          </cell>
          <cell r="F165">
            <v>3846.5253505034598</v>
          </cell>
          <cell r="G165">
            <v>3753.3610951453202</v>
          </cell>
          <cell r="H165">
            <v>3105.9338492912898</v>
          </cell>
          <cell r="I165">
            <v>1563.3451089821101</v>
          </cell>
          <cell r="J165">
            <v>774.17554641820595</v>
          </cell>
          <cell r="K165">
            <v>493.59612819470698</v>
          </cell>
          <cell r="M165">
            <v>1.6171445504074799E-2</v>
          </cell>
          <cell r="N165">
            <v>2.87366833278541E-2</v>
          </cell>
          <cell r="O165">
            <v>1.8334579401455001E-2</v>
          </cell>
          <cell r="P165">
            <v>3.4544216691709498E-2</v>
          </cell>
        </row>
        <row r="166">
          <cell r="B166" t="str">
            <v>CO2</v>
          </cell>
          <cell r="C166" t="str">
            <v>VAR_fout</v>
          </cell>
          <cell r="D166" t="str">
            <v>D-TGSL</v>
          </cell>
          <cell r="E166">
            <v>5886.4483500444903</v>
          </cell>
          <cell r="F166">
            <v>5605.5636773666502</v>
          </cell>
          <cell r="G166">
            <v>5842.6408818654099</v>
          </cell>
          <cell r="H166">
            <v>3568.6986189211898</v>
          </cell>
          <cell r="I166">
            <v>1607.9813501316</v>
          </cell>
          <cell r="J166">
            <v>743.03589166257598</v>
          </cell>
          <cell r="K166">
            <v>223.46139751962599</v>
          </cell>
          <cell r="L166">
            <v>25.884668214966101</v>
          </cell>
          <cell r="M166">
            <v>16.9836168356779</v>
          </cell>
          <cell r="N166">
            <v>15.330210745150801</v>
          </cell>
          <cell r="O166">
            <v>13.983796935825399</v>
          </cell>
          <cell r="P166">
            <v>11.918048699922799</v>
          </cell>
        </row>
        <row r="167">
          <cell r="B167" t="str">
            <v>CO2</v>
          </cell>
          <cell r="C167" t="str">
            <v>VAR_fout</v>
          </cell>
          <cell r="D167" t="str">
            <v>EWOD-CCS</v>
          </cell>
          <cell r="J167">
            <v>-0.16555458448909899</v>
          </cell>
          <cell r="K167">
            <v>-10.7516687501984</v>
          </cell>
          <cell r="L167">
            <v>-168.53619896210199</v>
          </cell>
          <cell r="M167">
            <v>-181.57038057702999</v>
          </cell>
          <cell r="N167">
            <v>-181.869262357601</v>
          </cell>
          <cell r="O167">
            <v>-182.00309109385501</v>
          </cell>
          <cell r="P167">
            <v>-182.21006656732001</v>
          </cell>
        </row>
        <row r="168">
          <cell r="B168" t="str">
            <v>CO2</v>
          </cell>
          <cell r="C168" t="str">
            <v>VAR_fout</v>
          </cell>
          <cell r="D168" t="str">
            <v>ITOT-PROCESSCO2CCS</v>
          </cell>
          <cell r="J168">
            <v>-6.7566693411557202E-2</v>
          </cell>
          <cell r="K168">
            <v>-1035.2511329839001</v>
          </cell>
          <cell r="L168">
            <v>-1031.8775711267999</v>
          </cell>
          <cell r="M168">
            <v>-1031.87891463497</v>
          </cell>
          <cell r="N168">
            <v>-1031.88011367128</v>
          </cell>
          <cell r="O168">
            <v>-1031.8806322473699</v>
          </cell>
          <cell r="P168">
            <v>-1031.8814857693401</v>
          </cell>
        </row>
        <row r="169">
          <cell r="B169" t="str">
            <v>CO2</v>
          </cell>
          <cell r="C169" t="str">
            <v>VAR_fout</v>
          </cell>
          <cell r="D169" t="str">
            <v>D-IWST</v>
          </cell>
          <cell r="E169">
            <v>1068.1283395570699</v>
          </cell>
          <cell r="F169">
            <v>1094.4819967216599</v>
          </cell>
          <cell r="G169">
            <v>1024.6412553080099</v>
          </cell>
          <cell r="H169">
            <v>1013.19794062091</v>
          </cell>
          <cell r="I169">
            <v>1001.75482837487</v>
          </cell>
          <cell r="J169">
            <v>996.69836191542697</v>
          </cell>
          <cell r="K169">
            <v>991.64180134147102</v>
          </cell>
          <cell r="L169">
            <v>986.58524749727098</v>
          </cell>
          <cell r="M169">
            <v>986.585185144055</v>
          </cell>
          <cell r="N169">
            <v>986.58525372729696</v>
          </cell>
          <cell r="O169">
            <v>986.58520975067199</v>
          </cell>
          <cell r="P169">
            <v>986.585297881972</v>
          </cell>
        </row>
        <row r="170">
          <cell r="B170" t="str">
            <v>CO2</v>
          </cell>
          <cell r="C170" t="str">
            <v>VAR_fout</v>
          </cell>
          <cell r="D170" t="str">
            <v>SUP_WODH2CCS</v>
          </cell>
          <cell r="L170">
            <v>-838.57681068000602</v>
          </cell>
          <cell r="M170">
            <v>-839.29618472219295</v>
          </cell>
          <cell r="N170">
            <v>-930.18459636756404</v>
          </cell>
          <cell r="O170">
            <v>-930.20305962815803</v>
          </cell>
          <cell r="P170">
            <v>-930.11526600244804</v>
          </cell>
        </row>
        <row r="171">
          <cell r="B171" t="str">
            <v>CO2</v>
          </cell>
          <cell r="C171" t="str">
            <v>VAR_fout</v>
          </cell>
          <cell r="D171" t="str">
            <v>SUP_WODBIOCCS</v>
          </cell>
          <cell r="J171">
            <v>-2.2035311089550799E-2</v>
          </cell>
          <cell r="K171">
            <v>-3.1017321063914499E-2</v>
          </cell>
          <cell r="L171">
            <v>-6.6614422794923897E-2</v>
          </cell>
          <cell r="M171">
            <v>-6.5135919461198497E-2</v>
          </cell>
          <cell r="N171">
            <v>-6.0989249856987698E-2</v>
          </cell>
          <cell r="O171">
            <v>-6.2251622080272302E-2</v>
          </cell>
          <cell r="P171">
            <v>-9.7926750341969404E-2</v>
          </cell>
        </row>
        <row r="172">
          <cell r="B172" t="str">
            <v>CO2</v>
          </cell>
          <cell r="C172" t="str">
            <v>VAR_fout</v>
          </cell>
          <cell r="D172" t="str">
            <v>SUP_NGAH2CCS</v>
          </cell>
          <cell r="L172">
            <v>-9.3323023535850404E-3</v>
          </cell>
          <cell r="M172">
            <v>-9.62146449293339E-3</v>
          </cell>
          <cell r="N172">
            <v>-9.2552242319413804E-3</v>
          </cell>
          <cell r="O172">
            <v>-1.2141574890157899E-2</v>
          </cell>
          <cell r="P172">
            <v>-1.80392035995975E-2</v>
          </cell>
        </row>
        <row r="173">
          <cell r="B173" t="str">
            <v>CO2</v>
          </cell>
          <cell r="C173" t="str">
            <v>VAR_fout</v>
          </cell>
          <cell r="D173" t="str">
            <v>CT_CWODETHCCS</v>
          </cell>
          <cell r="J173">
            <v>-1.93209065075192E-3</v>
          </cell>
          <cell r="K173">
            <v>-1.6649606032863599E-3</v>
          </cell>
          <cell r="L173">
            <v>-1.9401740845663999E-3</v>
          </cell>
          <cell r="M173">
            <v>-1.9692729720361302E-3</v>
          </cell>
          <cell r="N173">
            <v>-1.4264527637842001E-2</v>
          </cell>
          <cell r="O173">
            <v>-3.0989392100065302E-3</v>
          </cell>
          <cell r="P173">
            <v>-1.2717103011634799E-2</v>
          </cell>
        </row>
        <row r="174">
          <cell r="B174" t="str">
            <v>CO2</v>
          </cell>
          <cell r="C174" t="str">
            <v>VAR_fout</v>
          </cell>
          <cell r="D174" t="str">
            <v>D-TKER</v>
          </cell>
          <cell r="E174">
            <v>80.700298112898295</v>
          </cell>
          <cell r="F174">
            <v>102.29851349649699</v>
          </cell>
          <cell r="G174">
            <v>134.523926470395</v>
          </cell>
          <cell r="H174">
            <v>186.17346549210399</v>
          </cell>
          <cell r="I174">
            <v>172.43937432773001</v>
          </cell>
          <cell r="J174">
            <v>156.66050862648001</v>
          </cell>
          <cell r="K174">
            <v>140.198658125241</v>
          </cell>
          <cell r="L174">
            <v>2.3116160726185501E-5</v>
          </cell>
          <cell r="M174">
            <v>1.9884384522516799E-2</v>
          </cell>
          <cell r="N174">
            <v>3.69794722773392E-2</v>
          </cell>
          <cell r="O174">
            <v>2.4833058090001199E-2</v>
          </cell>
          <cell r="P174">
            <v>4.9333019450546002E-2</v>
          </cell>
        </row>
        <row r="175">
          <cell r="B175" t="str">
            <v>CO2</v>
          </cell>
          <cell r="C175" t="str">
            <v>VAR_fout</v>
          </cell>
          <cell r="D175" t="str">
            <v>D-INGA</v>
          </cell>
          <cell r="E175">
            <v>2101.7172099296599</v>
          </cell>
          <cell r="F175">
            <v>1758.2311313919799</v>
          </cell>
          <cell r="G175">
            <v>1821.1186949835501</v>
          </cell>
          <cell r="H175">
            <v>1361.94483448183</v>
          </cell>
          <cell r="I175">
            <v>639.80866037515898</v>
          </cell>
          <cell r="J175">
            <v>638.27958386790897</v>
          </cell>
          <cell r="K175">
            <v>519.31606166868698</v>
          </cell>
          <cell r="L175">
            <v>134.242395835466</v>
          </cell>
          <cell r="M175">
            <v>5.2266298899995497E-2</v>
          </cell>
          <cell r="N175">
            <v>4.2050832817790998E-2</v>
          </cell>
          <cell r="O175">
            <v>1.95722329597144E-2</v>
          </cell>
          <cell r="P175">
            <v>8.0377824497095598E-3</v>
          </cell>
        </row>
        <row r="176">
          <cell r="B176" t="str">
            <v>CO2</v>
          </cell>
          <cell r="C176" t="str">
            <v>VAR_fout</v>
          </cell>
          <cell r="D176" t="str">
            <v>SUP_DAC</v>
          </cell>
          <cell r="J176">
            <v>-4.5787766727971597E-3</v>
          </cell>
          <cell r="K176">
            <v>-7.5479600779775101E-3</v>
          </cell>
          <cell r="L176">
            <v>-105.66361755237899</v>
          </cell>
          <cell r="M176">
            <v>-329.33504344701998</v>
          </cell>
          <cell r="N176">
            <v>-1505.0228173200301</v>
          </cell>
          <cell r="O176">
            <v>-2210.9432139250198</v>
          </cell>
          <cell r="P176">
            <v>-2918.41483259493</v>
          </cell>
        </row>
        <row r="177">
          <cell r="B177" t="str">
            <v>CO2</v>
          </cell>
          <cell r="C177" t="str">
            <v>VAR_fout</v>
          </cell>
          <cell r="D177" t="str">
            <v>CT_CWODBDSCCS</v>
          </cell>
          <cell r="J177">
            <v>-1.5925781768867001E-2</v>
          </cell>
          <cell r="K177">
            <v>-2.4031747771170599E-2</v>
          </cell>
          <cell r="L177">
            <v>-604.36600845463704</v>
          </cell>
          <cell r="M177">
            <v>-688.13682237515798</v>
          </cell>
          <cell r="N177">
            <v>-604.36589117880203</v>
          </cell>
          <cell r="O177">
            <v>-691.20421125113501</v>
          </cell>
          <cell r="P177">
            <v>-706.09471700090705</v>
          </cell>
        </row>
        <row r="178">
          <cell r="B178" t="str">
            <v>CO2</v>
          </cell>
          <cell r="C178" t="str">
            <v>VAR_fout</v>
          </cell>
          <cell r="D178" t="str">
            <v>D-EWST</v>
          </cell>
          <cell r="E178">
            <v>2266.2744782309801</v>
          </cell>
          <cell r="F178">
            <v>2235.40320359116</v>
          </cell>
          <cell r="G178">
            <v>2268.7798497736298</v>
          </cell>
          <cell r="H178">
            <v>2238.5108433600999</v>
          </cell>
          <cell r="I178">
            <v>2240.4529813753902</v>
          </cell>
          <cell r="J178">
            <v>2288.7580083091302</v>
          </cell>
          <cell r="K178">
            <v>2314.65845348941</v>
          </cell>
          <cell r="L178">
            <v>2340.5633667586899</v>
          </cell>
          <cell r="M178">
            <v>2317.3896646612402</v>
          </cell>
          <cell r="N178">
            <v>2317.3897890423</v>
          </cell>
          <cell r="O178">
            <v>2317.38969340415</v>
          </cell>
          <cell r="P178">
            <v>2317.3898928785302</v>
          </cell>
        </row>
        <row r="179">
          <cell r="B179" t="str">
            <v>CO2</v>
          </cell>
          <cell r="C179" t="str">
            <v>VAR_comnet</v>
          </cell>
          <cell r="D179" t="str">
            <v>-</v>
          </cell>
          <cell r="E179">
            <v>44198.922829913899</v>
          </cell>
          <cell r="F179">
            <v>41423.8414947032</v>
          </cell>
          <cell r="G179">
            <v>39551.7091925407</v>
          </cell>
          <cell r="H179">
            <v>27528.914788650101</v>
          </cell>
          <cell r="I179">
            <v>19270.242418632599</v>
          </cell>
          <cell r="J179">
            <v>13970.922217085899</v>
          </cell>
          <cell r="K179">
            <v>6985.4611085429497</v>
          </cell>
          <cell r="L179">
            <v>4.85832703795033E-4</v>
          </cell>
          <cell r="M179">
            <v>-1000.00001933179</v>
          </cell>
          <cell r="N179">
            <v>-1999.9997892198201</v>
          </cell>
          <cell r="O179">
            <v>-2500.0000262072999</v>
          </cell>
          <cell r="P179">
            <v>-2999.9999671135802</v>
          </cell>
        </row>
        <row r="180">
          <cell r="B180" t="str">
            <v>CO2</v>
          </cell>
          <cell r="C180" t="str">
            <v>EQ_combalM</v>
          </cell>
          <cell r="D180" t="str">
            <v>-</v>
          </cell>
          <cell r="H180">
            <v>-0.117153489792704</v>
          </cell>
          <cell r="I180">
            <v>-0.24569898408172899</v>
          </cell>
          <cell r="J180">
            <v>-0.26879675219439497</v>
          </cell>
          <cell r="K180">
            <v>-0.54482036995199601</v>
          </cell>
          <cell r="L180">
            <v>-2.26565035771254</v>
          </cell>
          <cell r="M180">
            <v>-1.23304507253272</v>
          </cell>
          <cell r="N180">
            <v>-1.29760883568684</v>
          </cell>
          <cell r="O180">
            <v>-1.35401155202024</v>
          </cell>
          <cell r="P180">
            <v>-1.40237460237435</v>
          </cell>
        </row>
        <row r="181">
          <cell r="B181" t="str">
            <v>CO2_X</v>
          </cell>
          <cell r="C181" t="str">
            <v>VAR_fout</v>
          </cell>
          <cell r="D181" t="str">
            <v>D-CO2_O</v>
          </cell>
          <cell r="J181">
            <v>988.74762618499813</v>
          </cell>
          <cell r="K181">
            <v>4803.3812836974048</v>
          </cell>
          <cell r="L181">
            <v>6307.196760793172</v>
          </cell>
          <cell r="M181">
            <v>6307.1985613125325</v>
          </cell>
          <cell r="N181">
            <v>6307.1985852219532</v>
          </cell>
          <cell r="O181">
            <v>6307.1996848561712</v>
          </cell>
          <cell r="P181">
            <v>6307.1994150691062</v>
          </cell>
        </row>
        <row r="182">
          <cell r="B182" t="str">
            <v>CO2_X</v>
          </cell>
          <cell r="C182" t="str">
            <v>VAR_fin</v>
          </cell>
          <cell r="D182" t="str">
            <v>CO2EXP</v>
          </cell>
          <cell r="J182">
            <v>988.74762618499813</v>
          </cell>
          <cell r="K182">
            <v>4803.3812836974048</v>
          </cell>
          <cell r="L182">
            <v>6307.196760793172</v>
          </cell>
          <cell r="M182">
            <v>6307.1985613125325</v>
          </cell>
          <cell r="N182">
            <v>6307.1985852219532</v>
          </cell>
          <cell r="O182">
            <v>6307.1996848561712</v>
          </cell>
          <cell r="P182">
            <v>6307.1994150691062</v>
          </cell>
        </row>
        <row r="183">
          <cell r="B183" t="str">
            <v>CO2_X</v>
          </cell>
          <cell r="C183" t="str">
            <v>EQ_combalM</v>
          </cell>
          <cell r="D183" t="str">
            <v>-</v>
          </cell>
          <cell r="J183">
            <v>-10.113688723964566</v>
          </cell>
          <cell r="K183">
            <v>9.2066963247847013</v>
          </cell>
          <cell r="L183">
            <v>4.1712732013640474</v>
          </cell>
          <cell r="M183">
            <v>-7.5902871548821391</v>
          </cell>
          <cell r="N183">
            <v>-16.190888305603707</v>
          </cell>
          <cell r="O183">
            <v>-24.026754635000195</v>
          </cell>
          <cell r="P183">
            <v>-32.1304555327104</v>
          </cell>
        </row>
        <row r="184">
          <cell r="B184" t="str">
            <v>CO2seq</v>
          </cell>
          <cell r="C184" t="str">
            <v>VAR_fout</v>
          </cell>
          <cell r="D184" t="str">
            <v>CO2SINK</v>
          </cell>
          <cell r="J184">
            <v>833.33183175048759</v>
          </cell>
          <cell r="K184">
            <v>343.4962982623436</v>
          </cell>
          <cell r="L184">
            <v>658.807688332167</v>
          </cell>
          <cell r="M184">
            <v>903.11782224240676</v>
          </cell>
          <cell r="N184">
            <v>2025.7846723133641</v>
          </cell>
          <cell r="O184">
            <v>2799.3845259214509</v>
          </cell>
          <cell r="P184">
            <v>3524.8961179298694</v>
          </cell>
        </row>
        <row r="185">
          <cell r="B185" t="str">
            <v>CO2seq</v>
          </cell>
          <cell r="C185" t="str">
            <v>VAR_comnet</v>
          </cell>
          <cell r="D185" t="str">
            <v>-</v>
          </cell>
          <cell r="J185">
            <v>833.33183175048759</v>
          </cell>
          <cell r="K185">
            <v>343.4962982623436</v>
          </cell>
          <cell r="L185">
            <v>658.807688332167</v>
          </cell>
          <cell r="M185">
            <v>903.11782224240676</v>
          </cell>
          <cell r="N185">
            <v>2025.7846723133641</v>
          </cell>
          <cell r="O185">
            <v>2799.3845259214509</v>
          </cell>
          <cell r="P185">
            <v>3524.8961179298694</v>
          </cell>
        </row>
        <row r="186">
          <cell r="B186" t="str">
            <v>CO2_SECTOR</v>
          </cell>
          <cell r="C186" t="str">
            <v>VAR_fout</v>
          </cell>
          <cell r="D186" t="str">
            <v>CO2_IND</v>
          </cell>
          <cell r="E186">
            <v>6491.9474886855151</v>
          </cell>
          <cell r="F186">
            <v>6138.7158095179439</v>
          </cell>
          <cell r="G186">
            <v>5600.6552168554836</v>
          </cell>
          <cell r="H186">
            <v>4895.6239408408246</v>
          </cell>
          <cell r="I186">
            <v>4031.9937258218615</v>
          </cell>
          <cell r="J186">
            <v>3872.6264885263049</v>
          </cell>
          <cell r="K186">
            <v>3608.8550617728079</v>
          </cell>
          <cell r="L186">
            <v>3184.6120242043826</v>
          </cell>
          <cell r="M186">
            <v>3050.4256649488793</v>
          </cell>
          <cell r="N186">
            <v>3050.4545719749271</v>
          </cell>
          <cell r="O186">
            <v>3050.3951444688337</v>
          </cell>
          <cell r="P186">
            <v>3050.3596099531314</v>
          </cell>
        </row>
        <row r="187">
          <cell r="B187" t="str">
            <v>CO2_SECTOR</v>
          </cell>
          <cell r="C187" t="str">
            <v>VAR_fout</v>
          </cell>
          <cell r="D187" t="str">
            <v>CO2_RES</v>
          </cell>
          <cell r="E187">
            <v>7175.2745556359141</v>
          </cell>
          <cell r="F187">
            <v>6587.5779724276126</v>
          </cell>
          <cell r="G187">
            <v>6498.7138176992785</v>
          </cell>
          <cell r="H187">
            <v>6094.7209733207892</v>
          </cell>
          <cell r="I187">
            <v>4505.9003343916293</v>
          </cell>
          <cell r="J187">
            <v>3713.9627710224836</v>
          </cell>
          <cell r="K187">
            <v>2848.5667698451116</v>
          </cell>
          <cell r="L187">
            <v>1020.4590469265321</v>
          </cell>
          <cell r="M187">
            <v>314.86023862193048</v>
          </cell>
          <cell r="N187">
            <v>199.25944354180004</v>
          </cell>
          <cell r="O187">
            <v>199.14756338795223</v>
          </cell>
          <cell r="P187">
            <v>118.46443360173707</v>
          </cell>
        </row>
        <row r="188">
          <cell r="B188" t="str">
            <v>CO2_SECTOR</v>
          </cell>
          <cell r="C188" t="str">
            <v>VAR_fout</v>
          </cell>
          <cell r="D188" t="str">
            <v>CO2_TRA</v>
          </cell>
          <cell r="E188">
            <v>14668.265553847801</v>
          </cell>
          <cell r="F188">
            <v>13910.571399956752</v>
          </cell>
          <cell r="G188">
            <v>13006.199043775841</v>
          </cell>
          <cell r="H188">
            <v>8388.404054064411</v>
          </cell>
          <cell r="I188">
            <v>4463.519657760703</v>
          </cell>
          <cell r="J188">
            <v>2680.0116604414857</v>
          </cell>
          <cell r="K188">
            <v>1140.5112991212354</v>
          </cell>
          <cell r="L188">
            <v>25.99087313799928</v>
          </cell>
          <cell r="M188">
            <v>17.063587046073842</v>
          </cell>
          <cell r="N188">
            <v>15.481026600222313</v>
          </cell>
          <cell r="O188">
            <v>14.088282432365204</v>
          </cell>
          <cell r="P188">
            <v>12.138606838682035</v>
          </cell>
        </row>
        <row r="189">
          <cell r="B189" t="str">
            <v>CO2_SECTOR</v>
          </cell>
          <cell r="C189" t="str">
            <v>VAR_fout</v>
          </cell>
          <cell r="D189" t="str">
            <v>CO2_ELC</v>
          </cell>
          <cell r="E189">
            <v>2603.627602991015</v>
          </cell>
          <cell r="F189">
            <v>2356.9568947084563</v>
          </cell>
          <cell r="G189">
            <v>2358.7439916454059</v>
          </cell>
          <cell r="H189">
            <v>2243.439643785523</v>
          </cell>
          <cell r="I189">
            <v>2240.6398308962466</v>
          </cell>
          <cell r="J189">
            <v>2326.1060431046958</v>
          </cell>
          <cell r="K189">
            <v>2352.1427799084986</v>
          </cell>
          <cell r="L189">
            <v>2340.5690907011654</v>
          </cell>
          <cell r="M189">
            <v>2317.7559629753878</v>
          </cell>
          <cell r="N189">
            <v>2317.851498824698</v>
          </cell>
          <cell r="O189">
            <v>2317.6940551278653</v>
          </cell>
          <cell r="P189">
            <v>2317.9995694482623</v>
          </cell>
        </row>
        <row r="190">
          <cell r="B190" t="str">
            <v>CO2_SECTOR</v>
          </cell>
          <cell r="C190" t="str">
            <v>VAR_fout</v>
          </cell>
          <cell r="D190" t="str">
            <v>CO2_SER</v>
          </cell>
          <cell r="E190">
            <v>3790.0337212095037</v>
          </cell>
          <cell r="F190">
            <v>3412.3511276698919</v>
          </cell>
          <cell r="G190">
            <v>3521.6782708551068</v>
          </cell>
          <cell r="H190">
            <v>3069.0505399685399</v>
          </cell>
          <cell r="I190">
            <v>2723.7511629189289</v>
          </cell>
          <cell r="J190">
            <v>2352.1438432800228</v>
          </cell>
          <cell r="K190">
            <v>1772.7650775759034</v>
          </cell>
          <cell r="L190">
            <v>410.98350320168976</v>
          </cell>
          <cell r="M190">
            <v>179.50964132361864</v>
          </cell>
          <cell r="N190">
            <v>88.113927757663205</v>
          </cell>
          <cell r="O190">
            <v>52.703601343788492</v>
          </cell>
          <cell r="P190">
            <v>27.403783652198971</v>
          </cell>
        </row>
        <row r="191">
          <cell r="B191" t="str">
            <v>CO2_SECTOR</v>
          </cell>
          <cell r="C191" t="str">
            <v>VAR_fout</v>
          </cell>
          <cell r="D191" t="str">
            <v>CO2_ELCCCS</v>
          </cell>
          <cell r="E191">
            <v>2603.627602991015</v>
          </cell>
          <cell r="F191">
            <v>2356.9568947084563</v>
          </cell>
          <cell r="G191">
            <v>2358.7439916454059</v>
          </cell>
          <cell r="H191">
            <v>2243.439643785523</v>
          </cell>
          <cell r="I191">
            <v>2240.6398308962466</v>
          </cell>
          <cell r="J191">
            <v>1297.8870683824994</v>
          </cell>
          <cell r="K191">
            <v>89.941028867075417</v>
          </cell>
          <cell r="L191">
            <v>-79.806704256736907</v>
          </cell>
          <cell r="M191">
            <v>-97.794009731483186</v>
          </cell>
          <cell r="N191">
            <v>-98.498895286218399</v>
          </cell>
          <cell r="O191">
            <v>-98.666705952117098</v>
          </cell>
          <cell r="P191">
            <v>-98.617347697032145</v>
          </cell>
        </row>
        <row r="192">
          <cell r="B192" t="str">
            <v>CO2_SECTOR</v>
          </cell>
          <cell r="C192" t="str">
            <v>VAR_fout</v>
          </cell>
          <cell r="D192" t="str">
            <v>CO2_H2CCS</v>
          </cell>
          <cell r="J192">
            <v>-4.3966929268862767E-2</v>
          </cell>
          <cell r="K192">
            <v>-6.2193936369330308E-2</v>
          </cell>
          <cell r="L192">
            <v>-1443.0630191066812</v>
          </cell>
          <cell r="M192">
            <v>-1527.5502687927478</v>
          </cell>
          <cell r="N192">
            <v>-1534.6627908165131</v>
          </cell>
          <cell r="O192">
            <v>-1621.5153560746717</v>
          </cell>
          <cell r="P192">
            <v>-1636.3666301630049</v>
          </cell>
        </row>
        <row r="193">
          <cell r="B193" t="str">
            <v>CO2_SECTOR</v>
          </cell>
          <cell r="C193" t="str">
            <v>VAR_fout</v>
          </cell>
          <cell r="D193" t="str">
            <v>CO2_INDCCS</v>
          </cell>
          <cell r="E193">
            <v>6491.9474886855151</v>
          </cell>
          <cell r="F193">
            <v>6138.7158095179439</v>
          </cell>
          <cell r="G193">
            <v>5600.6552168554836</v>
          </cell>
          <cell r="H193">
            <v>4895.5902734088795</v>
          </cell>
          <cell r="I193">
            <v>4032.0693733973708</v>
          </cell>
          <cell r="J193">
            <v>3057.8055941104203</v>
          </cell>
          <cell r="K193">
            <v>712.14457691779103</v>
          </cell>
          <cell r="L193">
            <v>159.7239276534055</v>
          </cell>
          <cell r="M193">
            <v>35.851526855073431</v>
          </cell>
          <cell r="N193">
            <v>31.917785934411576</v>
          </cell>
          <cell r="O193">
            <v>28.487495637951163</v>
          </cell>
          <cell r="P193">
            <v>25.416093144786281</v>
          </cell>
        </row>
        <row r="194">
          <cell r="B194" t="str">
            <v>CO2_SECTOR</v>
          </cell>
          <cell r="C194" t="str">
            <v>VAR_comnet</v>
          </cell>
          <cell r="D194" t="str">
            <v>-</v>
          </cell>
          <cell r="E194">
            <v>43824.724014046318</v>
          </cell>
          <cell r="F194">
            <v>40901.845908507043</v>
          </cell>
          <cell r="G194">
            <v>38945.389549332031</v>
          </cell>
          <cell r="H194">
            <v>31830.269069174476</v>
          </cell>
          <cell r="I194">
            <v>24238.513916082986</v>
          </cell>
          <cell r="J194">
            <v>19300.499501938652</v>
          </cell>
          <cell r="K194">
            <v>12524.864400072045</v>
          </cell>
          <cell r="L194">
            <v>5619.4687424617514</v>
          </cell>
          <cell r="M194">
            <v>4290.1223432467305</v>
          </cell>
          <cell r="N194">
            <v>4069.9165685309936</v>
          </cell>
          <cell r="O194">
            <v>3942.3340803719657</v>
          </cell>
          <cell r="P194">
            <v>3816.7981187787595</v>
          </cell>
        </row>
        <row r="195">
          <cell r="B195" t="str">
            <v>CO2SC</v>
          </cell>
          <cell r="C195" t="str">
            <v>VAR_fout</v>
          </cell>
          <cell r="D195" t="str">
            <v>CO2S1</v>
          </cell>
          <cell r="E195">
            <v>6307.1990227535098</v>
          </cell>
          <cell r="F195">
            <v>6307.1990227535098</v>
          </cell>
          <cell r="G195">
            <v>6307.1990227535098</v>
          </cell>
          <cell r="H195">
            <v>6307.1990227535098</v>
          </cell>
          <cell r="I195">
            <v>6307.1990227535098</v>
          </cell>
          <cell r="J195">
            <v>6307.1990227535098</v>
          </cell>
          <cell r="K195">
            <v>6307.1990227535098</v>
          </cell>
          <cell r="L195">
            <v>6307.1990227535098</v>
          </cell>
          <cell r="M195">
            <v>6307.1990227535098</v>
          </cell>
          <cell r="N195">
            <v>6307.1990227535098</v>
          </cell>
          <cell r="O195">
            <v>6307.1990227535098</v>
          </cell>
          <cell r="P195">
            <v>6307.1990227535098</v>
          </cell>
        </row>
        <row r="196">
          <cell r="B196" t="str">
            <v>CO2SC</v>
          </cell>
          <cell r="C196" t="str">
            <v>VAR_fout</v>
          </cell>
          <cell r="D196" t="str">
            <v>CO2S2</v>
          </cell>
          <cell r="K196">
            <v>4.5769666588839297E-5</v>
          </cell>
          <cell r="L196">
            <v>1.2819232965066601E-4</v>
          </cell>
          <cell r="M196">
            <v>6.7498832094895302E-5</v>
          </cell>
          <cell r="N196">
            <v>1.9607988152631E-4</v>
          </cell>
          <cell r="O196">
            <v>1.0048357802922099E-3</v>
          </cell>
          <cell r="P196">
            <v>9.3016065948999904E-4</v>
          </cell>
        </row>
        <row r="197">
          <cell r="B197" t="str">
            <v>CO2SC</v>
          </cell>
          <cell r="C197" t="str">
            <v>VAR_fin</v>
          </cell>
          <cell r="D197" t="str">
            <v>CO2EXP</v>
          </cell>
          <cell r="J197">
            <v>988.74762618499597</v>
          </cell>
          <cell r="K197">
            <v>4803.3812836974002</v>
          </cell>
          <cell r="L197">
            <v>6307.1967607931801</v>
          </cell>
          <cell r="M197">
            <v>6307.1985613125498</v>
          </cell>
          <cell r="N197">
            <v>6307.1985852219204</v>
          </cell>
          <cell r="O197">
            <v>6307.1996848561703</v>
          </cell>
          <cell r="P197">
            <v>6307.1994150691298</v>
          </cell>
        </row>
        <row r="198">
          <cell r="B198" t="str">
            <v>CO2SC</v>
          </cell>
          <cell r="C198" t="str">
            <v>EQ_combalM</v>
          </cell>
          <cell r="D198" t="str">
            <v>-</v>
          </cell>
          <cell r="K198">
            <v>-6.96519110280168E-7</v>
          </cell>
          <cell r="L198">
            <v>1.7936731322898001E-2</v>
          </cell>
          <cell r="M198">
            <v>3.98092371851579E-2</v>
          </cell>
          <cell r="N198">
            <v>6.7602526751478903E-2</v>
          </cell>
          <cell r="O198">
            <v>9.6071638712860202E-2</v>
          </cell>
          <cell r="P198">
            <v>0.12518213427533501</v>
          </cell>
        </row>
        <row r="199">
          <cell r="B199" t="str">
            <v>CO2P</v>
          </cell>
          <cell r="C199" t="str">
            <v>VAR_fout</v>
          </cell>
          <cell r="D199" t="str">
            <v>ITOT-PROCESSCO2</v>
          </cell>
          <cell r="E199">
            <v>2089.34680048464</v>
          </cell>
          <cell r="F199">
            <v>2111.0131698740802</v>
          </cell>
          <cell r="G199">
            <v>2102.26947106126</v>
          </cell>
          <cell r="H199">
            <v>2093.6571972332035</v>
          </cell>
          <cell r="I199">
            <v>2085.5351269845</v>
          </cell>
          <cell r="J199">
            <v>2077.4146512658472</v>
          </cell>
          <cell r="K199">
            <v>2070.5812680963404</v>
          </cell>
          <cell r="L199">
            <v>2063.749453533319</v>
          </cell>
          <cell r="M199">
            <v>2063.7495591718848</v>
          </cell>
          <cell r="N199">
            <v>2063.7491802370801</v>
          </cell>
          <cell r="O199">
            <v>2063.7493618446824</v>
          </cell>
          <cell r="P199">
            <v>2063.7497022121738</v>
          </cell>
        </row>
        <row r="200">
          <cell r="B200" t="str">
            <v>CO2P</v>
          </cell>
          <cell r="C200" t="str">
            <v>VAR_comnet</v>
          </cell>
          <cell r="D200" t="str">
            <v>-</v>
          </cell>
          <cell r="E200">
            <v>2089.34680048464</v>
          </cell>
          <cell r="F200">
            <v>2111.0131698740802</v>
          </cell>
          <cell r="G200">
            <v>2102.26947106126</v>
          </cell>
          <cell r="H200">
            <v>2093.6571972332035</v>
          </cell>
          <cell r="I200">
            <v>2085.5351269845</v>
          </cell>
          <cell r="J200">
            <v>2077.4146512658472</v>
          </cell>
          <cell r="K200">
            <v>2070.5812680963404</v>
          </cell>
          <cell r="L200">
            <v>2063.749453533319</v>
          </cell>
          <cell r="M200">
            <v>2063.7495591718848</v>
          </cell>
          <cell r="N200">
            <v>2063.7491802370801</v>
          </cell>
          <cell r="O200">
            <v>2063.7493618446824</v>
          </cell>
          <cell r="P200">
            <v>2063.7497022121738</v>
          </cell>
        </row>
        <row r="201">
          <cell r="B201" t="str">
            <v>CO2_E</v>
          </cell>
          <cell r="C201" t="str">
            <v>VAR_fout</v>
          </cell>
          <cell r="D201" t="str">
            <v>EWSTINCCS</v>
          </cell>
          <cell r="J201">
            <v>524.82792864947896</v>
          </cell>
          <cell r="K201">
            <v>1184.32191369048</v>
          </cell>
          <cell r="L201">
            <v>1220.07888462903</v>
          </cell>
          <cell r="M201">
            <v>1207.9991594293299</v>
          </cell>
          <cell r="N201">
            <v>1207.9990853788099</v>
          </cell>
          <cell r="O201">
            <v>1207.99900025018</v>
          </cell>
          <cell r="P201">
            <v>1207.9990847916199</v>
          </cell>
        </row>
        <row r="202">
          <cell r="B202" t="str">
            <v>CO2_E</v>
          </cell>
          <cell r="C202" t="str">
            <v>VAR_fout</v>
          </cell>
          <cell r="D202" t="str">
            <v>ENGA-CCS</v>
          </cell>
          <cell r="K202">
            <v>5.7181996334956504E-4</v>
          </cell>
          <cell r="L202">
            <v>2.0051991672262199E-2</v>
          </cell>
          <cell r="M202">
            <v>5.01117906269649</v>
          </cell>
          <cell r="N202">
            <v>5.6116286996589704</v>
          </cell>
          <cell r="O202">
            <v>5.4692519251221503</v>
          </cell>
          <cell r="P202">
            <v>5.5497292478768596</v>
          </cell>
        </row>
        <row r="203">
          <cell r="B203" t="str">
            <v>CO2_E</v>
          </cell>
          <cell r="C203" t="str">
            <v>VAR_fout</v>
          </cell>
          <cell r="D203" t="str">
            <v>CHPWSTCCS</v>
          </cell>
          <cell r="J203">
            <v>609.08415725284306</v>
          </cell>
          <cell r="K203">
            <v>1282.1630283142099</v>
          </cell>
          <cell r="L203">
            <v>1235.3899280645301</v>
          </cell>
          <cell r="M203">
            <v>1223.15846459306</v>
          </cell>
          <cell r="N203">
            <v>1223.1584984956701</v>
          </cell>
          <cell r="O203">
            <v>1223.1583531142001</v>
          </cell>
          <cell r="P203">
            <v>1223.1584698413999</v>
          </cell>
        </row>
        <row r="204">
          <cell r="B204" t="str">
            <v>CO2_E</v>
          </cell>
          <cell r="C204" t="str">
            <v>VAR_fout</v>
          </cell>
          <cell r="D204" t="str">
            <v>HPLNGA</v>
          </cell>
          <cell r="E204">
            <v>114.38350961273601</v>
          </cell>
          <cell r="F204">
            <v>104.75784283425099</v>
          </cell>
          <cell r="G204">
            <v>104.36002406837601</v>
          </cell>
        </row>
        <row r="205">
          <cell r="B205" t="str">
            <v>CO2_E</v>
          </cell>
          <cell r="C205" t="str">
            <v>VAR_fout</v>
          </cell>
          <cell r="D205" t="str">
            <v>CHPWST</v>
          </cell>
          <cell r="E205">
            <v>2843.2556910420799</v>
          </cell>
          <cell r="F205">
            <v>2574.9226239967602</v>
          </cell>
          <cell r="G205">
            <v>2613.3583952609101</v>
          </cell>
          <cell r="H205">
            <v>2556.3783799511102</v>
          </cell>
          <cell r="I205">
            <v>2535.9314916800499</v>
          </cell>
          <cell r="J205">
            <v>1931.0473090140599</v>
          </cell>
          <cell r="K205">
            <v>989.00728497726698</v>
          </cell>
          <cell r="L205">
            <v>1005.49298858297</v>
          </cell>
          <cell r="M205">
            <v>995.537862757222</v>
          </cell>
          <cell r="N205">
            <v>995.53765556995597</v>
          </cell>
          <cell r="O205">
            <v>995.53764095967597</v>
          </cell>
          <cell r="P205">
            <v>995.53798958691198</v>
          </cell>
        </row>
        <row r="206">
          <cell r="B206" t="str">
            <v>CO2_E</v>
          </cell>
          <cell r="C206" t="str">
            <v>VAR_fout</v>
          </cell>
          <cell r="D206" t="str">
            <v>CHPNGA</v>
          </cell>
          <cell r="E206">
            <v>207.300886794734</v>
          </cell>
          <cell r="F206">
            <v>6.1693867075263698E-2</v>
          </cell>
          <cell r="G206">
            <v>0.32556855714670102</v>
          </cell>
          <cell r="M206">
            <v>5.8646409074720801E-3</v>
          </cell>
          <cell r="N206">
            <v>9.8748619097097003E-3</v>
          </cell>
          <cell r="O206">
            <v>7.8706634678736703E-3</v>
          </cell>
          <cell r="P206">
            <v>1.5961797778508601E-2</v>
          </cell>
        </row>
        <row r="207">
          <cell r="B207" t="str">
            <v>CO2_E</v>
          </cell>
          <cell r="C207" t="str">
            <v>VAR_fout</v>
          </cell>
          <cell r="D207" t="str">
            <v>EWSTINC</v>
          </cell>
          <cell r="E207">
            <v>1689.2932654198901</v>
          </cell>
          <cell r="F207">
            <v>1895.8839676800101</v>
          </cell>
          <cell r="G207">
            <v>1924.20142245852</v>
          </cell>
          <cell r="H207">
            <v>1920.6432414271101</v>
          </cell>
          <cell r="I207">
            <v>1944.97453991422</v>
          </cell>
          <cell r="J207">
            <v>1512.5577100365699</v>
          </cell>
          <cell r="K207">
            <v>1173.8258938695101</v>
          </cell>
          <cell r="L207">
            <v>1220.1657185446199</v>
          </cell>
          <cell r="M207">
            <v>1208.08489256496</v>
          </cell>
          <cell r="N207">
            <v>1208.0850661705299</v>
          </cell>
          <cell r="O207">
            <v>1208.08490317678</v>
          </cell>
          <cell r="P207">
            <v>1208.0849663194799</v>
          </cell>
        </row>
        <row r="208">
          <cell r="B208" t="str">
            <v>CO2_E</v>
          </cell>
          <cell r="C208" t="str">
            <v>VAR_fout</v>
          </cell>
          <cell r="D208" t="str">
            <v>ENGA-GTCC</v>
          </cell>
          <cell r="J208">
            <v>6.0344210167569102E-4</v>
          </cell>
          <cell r="K208">
            <v>5.58046360660649E-4</v>
          </cell>
          <cell r="L208">
            <v>1.9527667295201102E-2</v>
          </cell>
          <cell r="M208">
            <v>0.15707974521915499</v>
          </cell>
          <cell r="N208">
            <v>0.19112114319735299</v>
          </cell>
          <cell r="O208">
            <v>0.18810119716933399</v>
          </cell>
          <cell r="P208">
            <v>0.302298061130719</v>
          </cell>
        </row>
        <row r="209">
          <cell r="B209" t="str">
            <v>CO2_E</v>
          </cell>
          <cell r="C209" t="str">
            <v>VAR_fout</v>
          </cell>
          <cell r="D209" t="str">
            <v>HPLOIL</v>
          </cell>
          <cell r="E209">
            <v>15.876436959333599</v>
          </cell>
          <cell r="F209">
            <v>16.0303768936819</v>
          </cell>
          <cell r="G209">
            <v>4.54368029668069</v>
          </cell>
          <cell r="H209">
            <v>4.5828886292486199</v>
          </cell>
          <cell r="I209">
            <v>5.0429931337110198E-2</v>
          </cell>
          <cell r="J209">
            <v>4.8287420390677599E-3</v>
          </cell>
          <cell r="K209">
            <v>2.6135053121086001E-2</v>
          </cell>
          <cell r="L209">
            <v>4.0116586589442702E-3</v>
          </cell>
          <cell r="M209">
            <v>1.32051632331814E-4</v>
          </cell>
          <cell r="N209">
            <v>1.3211287260902E-5</v>
          </cell>
          <cell r="O209">
            <v>8.1956725055756495E-5</v>
          </cell>
          <cell r="P209">
            <v>4.2548808043590697E-5</v>
          </cell>
        </row>
        <row r="210">
          <cell r="B210" t="str">
            <v>CO2_E</v>
          </cell>
          <cell r="C210" t="str">
            <v>VAR_fout</v>
          </cell>
          <cell r="D210" t="str">
            <v>EOIL-ENG</v>
          </cell>
          <cell r="E210">
            <v>8.7720332405382209</v>
          </cell>
          <cell r="F210">
            <v>4.4677260663891202E-2</v>
          </cell>
          <cell r="G210">
            <v>0.53688843529373198</v>
          </cell>
          <cell r="H210">
            <v>8.4051718220046798E-2</v>
          </cell>
          <cell r="I210">
            <v>6.3442167527866494E-2</v>
          </cell>
          <cell r="J210">
            <v>36.2579225309847</v>
          </cell>
          <cell r="K210">
            <v>36.555427015801698</v>
          </cell>
          <cell r="L210">
            <v>1.2220573086169999E-3</v>
          </cell>
          <cell r="M210">
            <v>0.31899548623497098</v>
          </cell>
          <cell r="N210">
            <v>0.40510923216891198</v>
          </cell>
          <cell r="O210">
            <v>0.25483440196223001</v>
          </cell>
          <cell r="P210">
            <v>0.538854309648227</v>
          </cell>
        </row>
        <row r="211">
          <cell r="B211" t="str">
            <v>CO2_E</v>
          </cell>
          <cell r="C211" t="str">
            <v>VAR_fout</v>
          </cell>
          <cell r="D211" t="str">
            <v>ENGA-GTOC</v>
          </cell>
          <cell r="J211">
            <v>4.57527837192715E-4</v>
          </cell>
          <cell r="K211">
            <v>2.2762888537588999E-4</v>
          </cell>
          <cell r="L211">
            <v>6.7021955840742304</v>
          </cell>
          <cell r="M211">
            <v>1.6610340655492799</v>
          </cell>
          <cell r="N211">
            <v>1.0232622691388</v>
          </cell>
          <cell r="O211">
            <v>1.17238437986331</v>
          </cell>
          <cell r="P211">
            <v>1.00969285555666</v>
          </cell>
        </row>
        <row r="212">
          <cell r="B212" t="str">
            <v>CO2_E</v>
          </cell>
          <cell r="C212" t="str">
            <v>VAR_fout</v>
          </cell>
          <cell r="D212" t="str">
            <v>CHPOIL</v>
          </cell>
          <cell r="E212">
            <v>1.5103412865985899</v>
          </cell>
          <cell r="F212">
            <v>5.2574174641678198E-2</v>
          </cell>
          <cell r="G212">
            <v>0.54492234358605596</v>
          </cell>
          <cell r="H212">
            <v>0.179584163225432</v>
          </cell>
          <cell r="I212">
            <v>6.9914525909298697E-2</v>
          </cell>
          <cell r="J212">
            <v>0.46156834733402002</v>
          </cell>
          <cell r="K212">
            <v>0.277539316997649</v>
          </cell>
          <cell r="L212">
            <v>9.9913609102221502E-4</v>
          </cell>
          <cell r="M212">
            <v>4.10341609456258E-2</v>
          </cell>
          <cell r="N212">
            <v>4.8664388441433802E-2</v>
          </cell>
          <cell r="O212">
            <v>4.4256314274426403E-2</v>
          </cell>
          <cell r="P212">
            <v>6.0571925297655198E-2</v>
          </cell>
        </row>
        <row r="213">
          <cell r="B213" t="str">
            <v>CO2_E</v>
          </cell>
          <cell r="C213" t="str">
            <v>VAR_comnet</v>
          </cell>
          <cell r="D213" t="str">
            <v>-</v>
          </cell>
          <cell r="E213">
            <v>4880.3921643558997</v>
          </cell>
          <cell r="F213">
            <v>4591.7537567070804</v>
          </cell>
          <cell r="G213">
            <v>4647.8709014205097</v>
          </cell>
          <cell r="H213">
            <v>4481.8681458889096</v>
          </cell>
          <cell r="I213">
            <v>4481.0898182190504</v>
          </cell>
          <cell r="J213">
            <v>4614.24248554325</v>
          </cell>
          <cell r="K213">
            <v>4666.1785797325902</v>
          </cell>
          <cell r="L213">
            <v>4687.8755279162497</v>
          </cell>
          <cell r="M213">
            <v>4641.9756985577596</v>
          </cell>
          <cell r="N213">
            <v>4642.0699794207703</v>
          </cell>
          <cell r="O213">
            <v>4641.9166783394203</v>
          </cell>
          <cell r="P213">
            <v>4642.2576612855</v>
          </cell>
        </row>
        <row r="214">
          <cell r="B214" t="str">
            <v>CO2_I</v>
          </cell>
          <cell r="C214" t="str">
            <v>VAR_fout</v>
          </cell>
          <cell r="D214" t="str">
            <v>ITOT-CHPNGA</v>
          </cell>
          <cell r="E214">
            <v>108.233152902998</v>
          </cell>
          <cell r="F214">
            <v>67.096414490999607</v>
          </cell>
          <cell r="G214">
            <v>8.5998413560286302</v>
          </cell>
          <cell r="H214">
            <v>65.172445687968604</v>
          </cell>
          <cell r="I214">
            <v>41.322414282370602</v>
          </cell>
          <cell r="J214">
            <v>103.921589429078</v>
          </cell>
          <cell r="K214">
            <v>66.924131731548698</v>
          </cell>
          <cell r="L214">
            <v>66.894073339360105</v>
          </cell>
          <cell r="M214">
            <v>66.830582260722906</v>
          </cell>
          <cell r="N214">
            <v>56.051371084325503</v>
          </cell>
          <cell r="O214">
            <v>66.900385260581999</v>
          </cell>
          <cell r="P214">
            <v>67.007623723713394</v>
          </cell>
        </row>
        <row r="215">
          <cell r="B215" t="str">
            <v>CO2_I</v>
          </cell>
          <cell r="C215" t="str">
            <v>VAR_fout</v>
          </cell>
          <cell r="D215" t="str">
            <v>ITOT-SWHNGABR</v>
          </cell>
          <cell r="E215">
            <v>2005.1531871628199</v>
          </cell>
          <cell r="F215">
            <v>1685.53724419265</v>
          </cell>
          <cell r="G215">
            <v>1930.4824936892601</v>
          </cell>
          <cell r="H215">
            <v>1437.5426389306999</v>
          </cell>
          <cell r="I215">
            <v>741.46929520452602</v>
          </cell>
          <cell r="J215">
            <v>620.92952127716899</v>
          </cell>
          <cell r="K215">
            <v>497.69700199145802</v>
          </cell>
          <cell r="L215">
            <v>168.085981089358</v>
          </cell>
          <cell r="M215">
            <v>34.279138955000597</v>
          </cell>
          <cell r="N215">
            <v>51.760808926017098</v>
          </cell>
          <cell r="O215">
            <v>34.113682125291703</v>
          </cell>
          <cell r="P215">
            <v>33.893595290071097</v>
          </cell>
        </row>
        <row r="216">
          <cell r="B216" t="str">
            <v>CO2_I</v>
          </cell>
          <cell r="C216" t="str">
            <v>VAR_fout</v>
          </cell>
          <cell r="D216" t="str">
            <v>ITOT-CHPWSTCCS</v>
          </cell>
          <cell r="J216">
            <v>76.374880527359906</v>
          </cell>
          <cell r="K216">
            <v>990.83940261054704</v>
          </cell>
          <cell r="L216">
            <v>986.44648231004396</v>
          </cell>
          <cell r="M216">
            <v>986.36109404919</v>
          </cell>
          <cell r="N216">
            <v>986.13476047452195</v>
          </cell>
          <cell r="O216">
            <v>986.35282756017205</v>
          </cell>
          <cell r="P216">
            <v>986.51412375073505</v>
          </cell>
        </row>
        <row r="217">
          <cell r="B217" t="str">
            <v>CO2_I</v>
          </cell>
          <cell r="C217" t="str">
            <v>VAR_fout</v>
          </cell>
          <cell r="D217" t="str">
            <v>ITOT-SWHLFOBR</v>
          </cell>
          <cell r="E217">
            <v>655.76821547268605</v>
          </cell>
          <cell r="F217">
            <v>597.318014403598</v>
          </cell>
          <cell r="G217">
            <v>589.70336886382097</v>
          </cell>
          <cell r="H217">
            <v>476.681027008966</v>
          </cell>
          <cell r="I217">
            <v>356.74945428194701</v>
          </cell>
          <cell r="J217">
            <v>262.252287163956</v>
          </cell>
          <cell r="K217">
            <v>131.617478050573</v>
          </cell>
          <cell r="L217">
            <v>104.880926083726</v>
          </cell>
          <cell r="M217">
            <v>71.803555242389706</v>
          </cell>
          <cell r="N217">
            <v>71.8023804710147</v>
          </cell>
          <cell r="O217">
            <v>57.038048477929401</v>
          </cell>
          <cell r="P217">
            <v>57.0312278386834</v>
          </cell>
        </row>
        <row r="218">
          <cell r="B218" t="str">
            <v>CO2_I</v>
          </cell>
          <cell r="C218" t="str">
            <v>VAR_fout</v>
          </cell>
          <cell r="D218" t="str">
            <v>ITOT-CHPNGACCS</v>
          </cell>
          <cell r="J218">
            <v>0.83751118024223203</v>
          </cell>
          <cell r="K218">
            <v>42.613072839489703</v>
          </cell>
          <cell r="L218">
            <v>42.7358576587608</v>
          </cell>
          <cell r="M218">
            <v>42.816275488202798</v>
          </cell>
          <cell r="N218">
            <v>35.960607856975699</v>
          </cell>
          <cell r="O218">
            <v>42.895230007535197</v>
          </cell>
          <cell r="P218">
            <v>43.0415118783406</v>
          </cell>
        </row>
        <row r="219">
          <cell r="B219" t="str">
            <v>CO2_I</v>
          </cell>
          <cell r="C219" t="str">
            <v>VAR_fout</v>
          </cell>
          <cell r="D219" t="str">
            <v>ITOT-CHPGFC</v>
          </cell>
          <cell r="H219">
            <v>3.2276889399323702E-2</v>
          </cell>
          <cell r="I219">
            <v>5.0044452804840003E-2</v>
          </cell>
          <cell r="J219">
            <v>0.44238911233008499</v>
          </cell>
          <cell r="K219">
            <v>0.30213610076096498</v>
          </cell>
          <cell r="L219">
            <v>9.7031421571876095E-2</v>
          </cell>
          <cell r="M219">
            <v>0.13537357378326101</v>
          </cell>
          <cell r="N219">
            <v>0.28028458496629499</v>
          </cell>
          <cell r="O219">
            <v>0.12027925483076</v>
          </cell>
          <cell r="P219">
            <v>7.8138827642729503E-2</v>
          </cell>
        </row>
        <row r="220">
          <cell r="B220" t="str">
            <v>CO2_I</v>
          </cell>
          <cell r="C220" t="str">
            <v>VAR_fout</v>
          </cell>
          <cell r="D220" t="str">
            <v>ITOT-SWHCOABR</v>
          </cell>
          <cell r="E220">
            <v>330.012262578692</v>
          </cell>
          <cell r="F220">
            <v>321.17927597154198</v>
          </cell>
          <cell r="G220">
            <v>50.062541502064299</v>
          </cell>
          <cell r="H220">
            <v>2.4783721097884098E-2</v>
          </cell>
          <cell r="I220">
            <v>1.51062554048124E-2</v>
          </cell>
          <cell r="J220">
            <v>9.4003867108908207E-2</v>
          </cell>
          <cell r="K220">
            <v>5.8267583793617198E-2</v>
          </cell>
          <cell r="L220">
            <v>3.4867321465925902E-2</v>
          </cell>
          <cell r="M220">
            <v>2.68235265243763E-2</v>
          </cell>
          <cell r="N220">
            <v>5.7579953359597501E-2</v>
          </cell>
          <cell r="O220">
            <v>3.0365852583169501E-2</v>
          </cell>
          <cell r="P220">
            <v>1.21350130275521E-2</v>
          </cell>
        </row>
        <row r="221">
          <cell r="B221" t="str">
            <v>CO2_I</v>
          </cell>
          <cell r="C221" t="str">
            <v>VAR_fout</v>
          </cell>
          <cell r="D221" t="str">
            <v>ITOT-CHPOIL</v>
          </cell>
          <cell r="E221">
            <v>21.687696306349501</v>
          </cell>
          <cell r="F221">
            <v>51.2424510619771</v>
          </cell>
          <cell r="G221">
            <v>2.61759488826082</v>
          </cell>
          <cell r="H221">
            <v>47.8451417595113</v>
          </cell>
          <cell r="I221">
            <v>47.902443712277503</v>
          </cell>
          <cell r="M221">
            <v>33.089358897540201</v>
          </cell>
          <cell r="N221">
            <v>33.099089858046497</v>
          </cell>
          <cell r="O221">
            <v>47.853751649684099</v>
          </cell>
          <cell r="P221">
            <v>47.854782822376798</v>
          </cell>
        </row>
        <row r="222">
          <cell r="B222" t="str">
            <v>CO2_I</v>
          </cell>
          <cell r="C222" t="str">
            <v>VAR_fout</v>
          </cell>
          <cell r="D222" t="str">
            <v>ITOT-SWHWSTBR</v>
          </cell>
          <cell r="E222">
            <v>723.65827670227497</v>
          </cell>
          <cell r="F222">
            <v>749.83761750969404</v>
          </cell>
          <cell r="G222">
            <v>520.44715814457402</v>
          </cell>
          <cell r="H222">
            <v>514.63441529482998</v>
          </cell>
          <cell r="I222">
            <v>508.82248637715799</v>
          </cell>
          <cell r="J222">
            <v>506.25351265153699</v>
          </cell>
          <cell r="K222">
            <v>0.56893123837844395</v>
          </cell>
          <cell r="L222">
            <v>4.7563627716020802E-2</v>
          </cell>
          <cell r="M222">
            <v>7.2534368880021405E-2</v>
          </cell>
          <cell r="N222">
            <v>0.18826423269786699</v>
          </cell>
          <cell r="O222">
            <v>6.9709563727245002E-2</v>
          </cell>
          <cell r="P222">
            <v>1.47495553506097E-2</v>
          </cell>
        </row>
        <row r="223">
          <cell r="B223" t="str">
            <v>CO2_I</v>
          </cell>
          <cell r="C223" t="str">
            <v>VAR_fout</v>
          </cell>
          <cell r="D223" t="str">
            <v>ITOT-SWHNGAHP</v>
          </cell>
          <cell r="G223">
            <v>0.18752609290480299</v>
          </cell>
          <cell r="H223">
            <v>8.0033090021908601E-2</v>
          </cell>
          <cell r="I223">
            <v>7.8004881507759805E-2</v>
          </cell>
          <cell r="J223">
            <v>55.2648331431241</v>
          </cell>
          <cell r="K223">
            <v>55.287420812739001</v>
          </cell>
          <cell r="L223">
            <v>1.2006636976652101</v>
          </cell>
          <cell r="M223">
            <v>1.2004864828684401</v>
          </cell>
          <cell r="N223">
            <v>1.20011772117954</v>
          </cell>
          <cell r="O223">
            <v>1.1998299799062799</v>
          </cell>
          <cell r="P223">
            <v>1.1995684052315001</v>
          </cell>
        </row>
        <row r="224">
          <cell r="B224" t="str">
            <v>CO2_I</v>
          </cell>
          <cell r="C224" t="str">
            <v>VAR_fout</v>
          </cell>
          <cell r="D224" t="str">
            <v>ITOT-CHPWST</v>
          </cell>
          <cell r="E224">
            <v>344.47006285479802</v>
          </cell>
          <cell r="F224">
            <v>344.64518929575098</v>
          </cell>
          <cell r="G224">
            <v>504.19519356215102</v>
          </cell>
          <cell r="H224">
            <v>498.56415656767399</v>
          </cell>
          <cell r="I224">
            <v>492.93346202547599</v>
          </cell>
          <cell r="J224">
            <v>414.07437725801202</v>
          </cell>
          <cell r="K224">
            <v>0.23777923463385101</v>
          </cell>
          <cell r="L224">
            <v>9.6100680337070907E-2</v>
          </cell>
          <cell r="M224">
            <v>0.15364417508314401</v>
          </cell>
          <cell r="N224">
            <v>0.26707025058657202</v>
          </cell>
          <cell r="O224">
            <v>0.16614723792359801</v>
          </cell>
          <cell r="P224">
            <v>6.07934521622681E-2</v>
          </cell>
        </row>
        <row r="225">
          <cell r="B225" t="str">
            <v>CO2_I</v>
          </cell>
          <cell r="C225" t="str">
            <v>VAR_fout</v>
          </cell>
          <cell r="D225" t="str">
            <v>ITOT-SWHHFOBR</v>
          </cell>
          <cell r="E225">
            <v>210.210106272552</v>
          </cell>
          <cell r="F225">
            <v>190.990701127721</v>
          </cell>
          <cell r="G225">
            <v>0.18299967115104601</v>
          </cell>
          <cell r="H225">
            <v>2.6269544945943399E-2</v>
          </cell>
          <cell r="I225">
            <v>1.7426279700314701E-2</v>
          </cell>
          <cell r="J225">
            <v>9.3843187158039104E-2</v>
          </cell>
          <cell r="K225">
            <v>6.5748430004063593E-2</v>
          </cell>
        </row>
        <row r="226">
          <cell r="B226" t="str">
            <v>CO2_I</v>
          </cell>
          <cell r="C226" t="str">
            <v>VAR_comnet</v>
          </cell>
          <cell r="D226" t="str">
            <v>-</v>
          </cell>
          <cell r="E226">
            <v>4399.19296025317</v>
          </cell>
          <cell r="F226">
            <v>4007.8469080539298</v>
          </cell>
          <cell r="G226">
            <v>3606.4787177702201</v>
          </cell>
          <cell r="H226">
            <v>3040.6031884951199</v>
          </cell>
          <cell r="I226">
            <v>2189.36013775317</v>
          </cell>
          <cell r="J226">
            <v>2040.53874879707</v>
          </cell>
          <cell r="K226">
            <v>1786.21137062393</v>
          </cell>
          <cell r="L226">
            <v>1370.5195472299999</v>
          </cell>
          <cell r="M226">
            <v>1236.7688670201801</v>
          </cell>
          <cell r="N226">
            <v>1236.8023354136899</v>
          </cell>
          <cell r="O226">
            <v>1236.7402569701701</v>
          </cell>
          <cell r="P226">
            <v>1236.7082505573301</v>
          </cell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3.54506641319674E-7</v>
          </cell>
          <cell r="I4">
            <v>7.26215838351604E-7</v>
          </cell>
          <cell r="J4">
            <v>9.1138103552504904E-7</v>
          </cell>
          <cell r="K4">
            <v>1.5082785698712999E-6</v>
          </cell>
          <cell r="L4">
            <v>8.1793927337889402E-5</v>
          </cell>
          <cell r="M4">
            <v>2.4880237916525302E-6</v>
          </cell>
          <cell r="N4">
            <v>4.5589037579631803E-5</v>
          </cell>
          <cell r="O4">
            <v>4.20418991001487E-6</v>
          </cell>
          <cell r="P4">
            <v>1.7103950889924501E-4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2.3346501258847699E-5</v>
          </cell>
          <cell r="K5">
            <v>3.9305390346510996E-6</v>
          </cell>
          <cell r="L5">
            <v>5.81560099537129E-5</v>
          </cell>
          <cell r="M5">
            <v>3.1246127054470998E-7</v>
          </cell>
          <cell r="N5">
            <v>7.2397295778803998E-7</v>
          </cell>
          <cell r="O5">
            <v>4.4274167269253899E-7</v>
          </cell>
          <cell r="P5">
            <v>8.4431047298706705E-5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2.41806097926477E-6</v>
          </cell>
          <cell r="I6">
            <v>2.0700551070471998E-5</v>
          </cell>
          <cell r="J6">
            <v>4.8488061566203703E-7</v>
          </cell>
          <cell r="K6">
            <v>9.1292931431392101E-7</v>
          </cell>
          <cell r="L6">
            <v>5.1980427792116899E-6</v>
          </cell>
          <cell r="M6">
            <v>5.5306135648784796E-6</v>
          </cell>
          <cell r="N6">
            <v>1.26972688168621E-5</v>
          </cell>
          <cell r="O6">
            <v>4.7756828730388702E-6</v>
          </cell>
          <cell r="P6">
            <v>3.41603122817761E-5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5.2706952082980205E-7</v>
          </cell>
          <cell r="I7">
            <v>1.87671752867249E-6</v>
          </cell>
          <cell r="J7">
            <v>1.04958275185342E-4</v>
          </cell>
          <cell r="K7">
            <v>6.3165586987045998E-6</v>
          </cell>
          <cell r="L7">
            <v>5.2687461804044296E-3</v>
          </cell>
          <cell r="M7">
            <v>0.16383842571173499</v>
          </cell>
          <cell r="N7">
            <v>0.13935466135730301</v>
          </cell>
          <cell r="O7">
            <v>5.3490959033180602E-2</v>
          </cell>
          <cell r="P7">
            <v>1.1503993014344099E-2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2.9923697892399401E-7</v>
          </cell>
          <cell r="F8">
            <v>1.59394461101026E-7</v>
          </cell>
          <cell r="G8">
            <v>1.80826835150914E-7</v>
          </cell>
          <cell r="H8">
            <v>2.14185306653526E-7</v>
          </cell>
          <cell r="I8">
            <v>3.9890832031560602E-7</v>
          </cell>
          <cell r="J8">
            <v>8.3774819382824497E-7</v>
          </cell>
          <cell r="K8">
            <v>1.30383453792789E-6</v>
          </cell>
          <cell r="L8">
            <v>3.67724516761063E-6</v>
          </cell>
          <cell r="M8">
            <v>4.2433422267725798E-6</v>
          </cell>
          <cell r="N8">
            <v>2.6235986195072801E-2</v>
          </cell>
          <cell r="O8">
            <v>4.8191574621019999E-4</v>
          </cell>
          <cell r="P8">
            <v>1.5958445184183299E-4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1.5663550453037199E-3</v>
          </cell>
          <cell r="K9">
            <v>1.16190238512024E-4</v>
          </cell>
          <cell r="L9">
            <v>0.74681554125036198</v>
          </cell>
          <cell r="M9">
            <v>1.58397822876904</v>
          </cell>
          <cell r="N9">
            <v>7.2992475034181998</v>
          </cell>
          <cell r="O9">
            <v>4.4618205702017004</v>
          </cell>
          <cell r="P9">
            <v>4.5105868998434602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4.0972934153102698E-3</v>
          </cell>
          <cell r="F10">
            <v>2.0325455720252399E-2</v>
          </cell>
          <cell r="G10">
            <v>4.6613271418425799E-7</v>
          </cell>
          <cell r="H10">
            <v>7.2849751829677206E-2</v>
          </cell>
          <cell r="I10">
            <v>0.11685389938525199</v>
          </cell>
          <cell r="J10">
            <v>1.6444164041340099E-2</v>
          </cell>
          <cell r="K10">
            <v>0.16514386111792101</v>
          </cell>
          <cell r="L10">
            <v>7.3469982128026398E-2</v>
          </cell>
          <cell r="M10">
            <v>0.100962426853686</v>
          </cell>
          <cell r="N10">
            <v>4.97777302596112E-2</v>
          </cell>
          <cell r="O10">
            <v>0.16515765096561399</v>
          </cell>
          <cell r="P10">
            <v>7.3477613944125997E-2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2.0384679883743299E-7</v>
          </cell>
          <cell r="F11">
            <v>1.73413012366297E-7</v>
          </cell>
          <cell r="G11">
            <v>1.9493074579000901E-7</v>
          </cell>
          <cell r="H11">
            <v>2.2876515420961199E-7</v>
          </cell>
          <cell r="I11">
            <v>3.6775603562639597E-7</v>
          </cell>
          <cell r="J11">
            <v>5.3959721389245196E-7</v>
          </cell>
          <cell r="K11">
            <v>1.06319712147806E-6</v>
          </cell>
          <cell r="L11">
            <v>5.0338733583956904E-4</v>
          </cell>
          <cell r="M11">
            <v>5.0169429981923397E-6</v>
          </cell>
          <cell r="N11">
            <v>1.4213497036402099E-4</v>
          </cell>
          <cell r="O11">
            <v>1.41174322788423E-5</v>
          </cell>
          <cell r="P11">
            <v>6.3151048540459798E-4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1.43823068282355E-2</v>
          </cell>
          <cell r="F12">
            <v>8.3261679468337998E-2</v>
          </cell>
          <cell r="G12">
            <v>2.2223097019553199E-7</v>
          </cell>
          <cell r="H12">
            <v>2.1666881075732101E-7</v>
          </cell>
          <cell r="I12">
            <v>1.15819626400175E-6</v>
          </cell>
          <cell r="J12">
            <v>3.4872658285528699E-2</v>
          </cell>
          <cell r="K12">
            <v>5.7080494862807897E-2</v>
          </cell>
          <cell r="L12">
            <v>7.9501193179728397E-2</v>
          </cell>
          <cell r="M12">
            <v>0.11552973322585899</v>
          </cell>
          <cell r="N12">
            <v>3.02574101558396E-2</v>
          </cell>
          <cell r="O12">
            <v>5.7086868268375002E-2</v>
          </cell>
          <cell r="P12">
            <v>7.9543746825010406E-2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L13">
            <v>3.2293764987349898E-5</v>
          </cell>
          <cell r="M13">
            <v>7.9955463897706301E-7</v>
          </cell>
          <cell r="N13">
            <v>1.2867577662636999E-5</v>
          </cell>
          <cell r="O13">
            <v>6.2168681509949105E-7</v>
          </cell>
          <cell r="P13">
            <v>5.0273963901233399E-5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H14">
            <v>0.18449520857288501</v>
          </cell>
          <cell r="I14">
            <v>1.65837950923456E-5</v>
          </cell>
          <cell r="J14">
            <v>8.7218521745690905E-2</v>
          </cell>
          <cell r="K14">
            <v>1.65801914461611E-6</v>
          </cell>
          <cell r="L14">
            <v>3.151764050534E-7</v>
          </cell>
          <cell r="M14">
            <v>4.5422435447955402E-7</v>
          </cell>
          <cell r="N14">
            <v>1.5636340161445501E-6</v>
          </cell>
          <cell r="O14">
            <v>5.6243287948845003E-4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5.4700588965006501E-8</v>
          </cell>
          <cell r="F15">
            <v>4.7172746997622501E-8</v>
          </cell>
          <cell r="G15">
            <v>4.9283022516316899E-8</v>
          </cell>
          <cell r="H15">
            <v>5.0198640479038103E-8</v>
          </cell>
          <cell r="I15">
            <v>6.8585953763043997E-8</v>
          </cell>
          <cell r="J15">
            <v>8.9545505459150505E-8</v>
          </cell>
          <cell r="K15">
            <v>1.1581627908054399E-7</v>
          </cell>
          <cell r="L15">
            <v>1.65796507658875E-7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5.1066276874071998E-6</v>
          </cell>
          <cell r="I16">
            <v>4.4005916796580299E-5</v>
          </cell>
          <cell r="J16">
            <v>1.05197470267405E-4</v>
          </cell>
          <cell r="K16">
            <v>2.37084826517503E-5</v>
          </cell>
          <cell r="L16">
            <v>3.5029274924720603E-5</v>
          </cell>
          <cell r="M16">
            <v>2.3388182005063598E-5</v>
          </cell>
          <cell r="N16">
            <v>1.2157750851964E-4</v>
          </cell>
          <cell r="O16">
            <v>3.4508478301255499E-6</v>
          </cell>
          <cell r="P16">
            <v>1.2596788428617499E-4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5.4391041733809403E-7</v>
          </cell>
          <cell r="I17">
            <v>4.5868797762921497E-6</v>
          </cell>
          <cell r="J17">
            <v>3.8276496208297997E-2</v>
          </cell>
          <cell r="K17">
            <v>3.01069284662445E-6</v>
          </cell>
          <cell r="L17">
            <v>5.0349113078370696E-3</v>
          </cell>
          <cell r="M17">
            <v>3.1326513365194901E-6</v>
          </cell>
          <cell r="N17">
            <v>5.6869266814581799E-3</v>
          </cell>
          <cell r="O17">
            <v>4.7091247174021697E-6</v>
          </cell>
          <cell r="P17">
            <v>3.33446118036473E-3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1.4410542542097001E-6</v>
          </cell>
          <cell r="I18">
            <v>1.3648570950935599E-4</v>
          </cell>
          <cell r="J18">
            <v>2.8371903563083502E-4</v>
          </cell>
          <cell r="K18">
            <v>4.6396917594602299E-5</v>
          </cell>
          <cell r="L18">
            <v>1.59536960993983E-6</v>
          </cell>
          <cell r="M18">
            <v>1.2002463969857999E-6</v>
          </cell>
          <cell r="N18">
            <v>1.97983741270223E-6</v>
          </cell>
          <cell r="O18">
            <v>7.8646866253613903E-6</v>
          </cell>
          <cell r="P18">
            <v>3.5772425456624598E-4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1.7236572036278899E-7</v>
          </cell>
          <cell r="F19">
            <v>8.3070444891318197E-8</v>
          </cell>
          <cell r="G19">
            <v>1.3519125229704299E-7</v>
          </cell>
          <cell r="H19">
            <v>1.5608146779384E-7</v>
          </cell>
          <cell r="I19">
            <v>2.44319936418109E-7</v>
          </cell>
          <cell r="J19">
            <v>3.6126851184273299E-7</v>
          </cell>
          <cell r="K19">
            <v>6.9671716597915203E-7</v>
          </cell>
          <cell r="L19">
            <v>0.49488809714565901</v>
          </cell>
          <cell r="M19">
            <v>3.4589857590082601E-7</v>
          </cell>
          <cell r="N19">
            <v>8.9371906720318196E-7</v>
          </cell>
          <cell r="O19">
            <v>9.7331947265338404E-7</v>
          </cell>
          <cell r="P19">
            <v>5.5330798312603998E-6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4.9551580918424001E-2</v>
          </cell>
          <cell r="F20">
            <v>7.8969309570930193E-2</v>
          </cell>
          <cell r="G20">
            <v>3.38677588339754E-2</v>
          </cell>
          <cell r="H20">
            <v>1.18525271411095E-5</v>
          </cell>
          <cell r="I20">
            <v>5.5546442977679398E-6</v>
          </cell>
          <cell r="J20">
            <v>5.9448328818441198E-2</v>
          </cell>
          <cell r="K20">
            <v>9.7705444146367407E-2</v>
          </cell>
          <cell r="L20">
            <v>8.6473566202514604E-2</v>
          </cell>
          <cell r="M20">
            <v>7.8801029607415297E-3</v>
          </cell>
          <cell r="N20">
            <v>5.1577268538194297E-2</v>
          </cell>
          <cell r="O20">
            <v>9.7704926918323706E-2</v>
          </cell>
          <cell r="P20">
            <v>8.6503039614919494E-2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1.5920506434558401E-7</v>
          </cell>
          <cell r="F21">
            <v>8.3053938629363E-8</v>
          </cell>
          <cell r="G21">
            <v>1.15927369075969E-7</v>
          </cell>
          <cell r="H21">
            <v>1.2486510591529299E-7</v>
          </cell>
          <cell r="I21">
            <v>3.71335153148094E-7</v>
          </cell>
          <cell r="J21">
            <v>1.8398523113111801E-7</v>
          </cell>
          <cell r="K21">
            <v>2.8051007550329398E-7</v>
          </cell>
          <cell r="L21">
            <v>0.14519549244605801</v>
          </cell>
          <cell r="M21">
            <v>0.433346066453143</v>
          </cell>
          <cell r="N21">
            <v>8.5385559408793605E-7</v>
          </cell>
          <cell r="O21">
            <v>8.8972360616771295E-7</v>
          </cell>
          <cell r="P21">
            <v>3.9214979033706296E-6</v>
          </cell>
        </row>
        <row r="22">
          <cell r="A22" t="str">
            <v>-</v>
          </cell>
          <cell r="B22" t="str">
            <v>VAR_ncap</v>
          </cell>
          <cell r="C22" t="str">
            <v>SUP_WSTHTGBIOCCS</v>
          </cell>
          <cell r="J22">
            <v>7.5011119197296602E-6</v>
          </cell>
          <cell r="K22">
            <v>8.4695144367619703E-7</v>
          </cell>
          <cell r="L22">
            <v>2.87793703360854E-5</v>
          </cell>
          <cell r="M22">
            <v>5.1191321911045899E-8</v>
          </cell>
          <cell r="N22">
            <v>2.9458740663385101E-7</v>
          </cell>
          <cell r="O22">
            <v>4.1915650367356502E-7</v>
          </cell>
          <cell r="P22">
            <v>3.3207939435262901E-5</v>
          </cell>
        </row>
        <row r="23">
          <cell r="A23" t="str">
            <v>-</v>
          </cell>
          <cell r="B23" t="str">
            <v>VAR_ncap</v>
          </cell>
          <cell r="C23" t="str">
            <v>SUP_WODBIO</v>
          </cell>
          <cell r="E23">
            <v>6.0626722242566997E-7</v>
          </cell>
          <cell r="F23">
            <v>1.87680351899114E-5</v>
          </cell>
          <cell r="G23">
            <v>2.7275709089576401E-6</v>
          </cell>
          <cell r="H23">
            <v>2.9748478958636499E-5</v>
          </cell>
          <cell r="I23">
            <v>6.3993639652523401E-6</v>
          </cell>
          <cell r="J23">
            <v>7.3066721337174203E-7</v>
          </cell>
          <cell r="K23">
            <v>1.2798835468103899E-5</v>
          </cell>
          <cell r="L23">
            <v>1.2749214443285601E-5</v>
          </cell>
          <cell r="M23">
            <v>1.2175540846119901E-6</v>
          </cell>
          <cell r="N23">
            <v>1.9735160103832E-5</v>
          </cell>
          <cell r="O23">
            <v>4.41689136095026E-6</v>
          </cell>
          <cell r="P23">
            <v>6.4918215583447596E-5</v>
          </cell>
        </row>
        <row r="24">
          <cell r="A24" t="str">
            <v>-</v>
          </cell>
          <cell r="B24" t="str">
            <v>VAR_ncap</v>
          </cell>
          <cell r="C24" t="str">
            <v>SUP_ELCH2_SOEC</v>
          </cell>
          <cell r="J24">
            <v>3.8803900912819903E-4</v>
          </cell>
          <cell r="K24">
            <v>1.2765613362541401E-4</v>
          </cell>
          <cell r="L24">
            <v>2.8387856943363099E-4</v>
          </cell>
          <cell r="M24">
            <v>2.19167766132111E-4</v>
          </cell>
          <cell r="N24">
            <v>6.8865370131050696E-4</v>
          </cell>
          <cell r="O24">
            <v>1.08761642407497E-5</v>
          </cell>
          <cell r="P24">
            <v>1.3857499463254699E-3</v>
          </cell>
        </row>
        <row r="25">
          <cell r="A25" t="str">
            <v>-</v>
          </cell>
          <cell r="B25" t="str">
            <v>VAR_ncap</v>
          </cell>
          <cell r="C25" t="str">
            <v>SUP_WODH2CCS</v>
          </cell>
          <cell r="L25">
            <v>0.16351028981016599</v>
          </cell>
          <cell r="M25">
            <v>1.96788920822597E-5</v>
          </cell>
          <cell r="N25">
            <v>1.5127776681762401E-2</v>
          </cell>
          <cell r="O25">
            <v>3.5700171202767798E-3</v>
          </cell>
          <cell r="P25">
            <v>1.0637481723662599E-2</v>
          </cell>
        </row>
        <row r="26">
          <cell r="A26" t="str">
            <v>-</v>
          </cell>
          <cell r="B26" t="str">
            <v>VAR_ncap</v>
          </cell>
          <cell r="C26" t="str">
            <v>SUP_WODBIOCCS</v>
          </cell>
          <cell r="J26">
            <v>1.9988291048735201E-5</v>
          </cell>
          <cell r="K26">
            <v>4.2327372091938002E-6</v>
          </cell>
          <cell r="L26">
            <v>2.3142485494736599E-5</v>
          </cell>
          <cell r="M26">
            <v>1.0665455896379501E-7</v>
          </cell>
          <cell r="N26">
            <v>2.0815050110267E-5</v>
          </cell>
          <cell r="O26">
            <v>9.9651360064104798E-7</v>
          </cell>
          <cell r="P26">
            <v>5.5639843047456999E-5</v>
          </cell>
        </row>
        <row r="27">
          <cell r="A27" t="str">
            <v>-</v>
          </cell>
          <cell r="B27" t="str">
            <v>VAR_ncap</v>
          </cell>
          <cell r="C27" t="str">
            <v>SUP_NGAH2CCS</v>
          </cell>
          <cell r="J27">
            <v>3.9270136469730202E-7</v>
          </cell>
          <cell r="K27">
            <v>9.07647367139897E-7</v>
          </cell>
          <cell r="L27">
            <v>6.3441422848567296E-5</v>
          </cell>
          <cell r="M27">
            <v>1.12384812397974E-6</v>
          </cell>
          <cell r="N27">
            <v>1.6810938561640699E-5</v>
          </cell>
          <cell r="O27">
            <v>1.7497481665161799E-6</v>
          </cell>
          <cell r="P27">
            <v>7.4212496738802896E-5</v>
          </cell>
        </row>
        <row r="28">
          <cell r="A28" t="str">
            <v>-</v>
          </cell>
          <cell r="B28" t="str">
            <v>VAR_ncap</v>
          </cell>
          <cell r="C28" t="str">
            <v>SUP_ELCH2</v>
          </cell>
          <cell r="E28">
            <v>2.5951966676221401E-4</v>
          </cell>
          <cell r="F28">
            <v>7.5016498502516394E-5</v>
          </cell>
          <cell r="G28">
            <v>2.8603630211939699E-6</v>
          </cell>
          <cell r="H28">
            <v>3.8446719420521299E-3</v>
          </cell>
          <cell r="I28">
            <v>0.50244567270110396</v>
          </cell>
          <cell r="J28">
            <v>7.4405663621433304E-2</v>
          </cell>
          <cell r="K28">
            <v>5.5324143457385899E-2</v>
          </cell>
          <cell r="L28">
            <v>0.131933814881835</v>
          </cell>
          <cell r="M28">
            <v>0.46400562555747699</v>
          </cell>
          <cell r="N28">
            <v>0.32270783826414001</v>
          </cell>
          <cell r="O28">
            <v>9.4732669024723007E-2</v>
          </cell>
          <cell r="P28">
            <v>0.15713143432731499</v>
          </cell>
        </row>
        <row r="29">
          <cell r="A29" t="str">
            <v>-</v>
          </cell>
          <cell r="B29" t="str">
            <v>VAR_ncap</v>
          </cell>
          <cell r="C29" t="str">
            <v>CT_CWODBDS</v>
          </cell>
          <cell r="E29">
            <v>1.45075395475384E-7</v>
          </cell>
          <cell r="F29">
            <v>9.5530545674104396E-8</v>
          </cell>
          <cell r="G29">
            <v>8.75900726836798E-8</v>
          </cell>
          <cell r="H29">
            <v>1.34270394295126E-7</v>
          </cell>
          <cell r="I29">
            <v>2.0098359409810601E-5</v>
          </cell>
          <cell r="J29">
            <v>1.56144366741014E-6</v>
          </cell>
          <cell r="K29">
            <v>1.9435719717709401E-6</v>
          </cell>
          <cell r="L29">
            <v>1.45952124316308E-5</v>
          </cell>
          <cell r="M29">
            <v>2.6312235650535602E-6</v>
          </cell>
          <cell r="N29">
            <v>4.56308801521234E-5</v>
          </cell>
          <cell r="O29">
            <v>3.44503293615063E-7</v>
          </cell>
          <cell r="P29">
            <v>4.3042222922071501E-5</v>
          </cell>
        </row>
        <row r="30">
          <cell r="A30" t="str">
            <v>-</v>
          </cell>
          <cell r="B30" t="str">
            <v>VAR_ncap</v>
          </cell>
          <cell r="C30" t="str">
            <v>CT_CWODETHCCS</v>
          </cell>
          <cell r="J30">
            <v>1.1704649805439E-5</v>
          </cell>
          <cell r="K30">
            <v>2.8429306918293498E-6</v>
          </cell>
          <cell r="L30">
            <v>7.2871662079908001E-6</v>
          </cell>
          <cell r="M30">
            <v>2.2682728877222301E-7</v>
          </cell>
          <cell r="N30">
            <v>2.9925160225528699E-5</v>
          </cell>
          <cell r="O30">
            <v>2.5707893177751702E-7</v>
          </cell>
          <cell r="P30">
            <v>3.4561589495253498E-5</v>
          </cell>
        </row>
        <row r="31">
          <cell r="A31" t="str">
            <v>-</v>
          </cell>
          <cell r="B31" t="str">
            <v>VAR_ncap</v>
          </cell>
          <cell r="C31" t="str">
            <v>CT_CWODPLT</v>
          </cell>
          <cell r="E31">
            <v>0.161257992684774</v>
          </cell>
          <cell r="F31">
            <v>4.6317196218040098E-2</v>
          </cell>
          <cell r="G31">
            <v>1.79449010306638E-6</v>
          </cell>
          <cell r="H31">
            <v>3.0474422541675499E-6</v>
          </cell>
          <cell r="I31">
            <v>0.17004407567148699</v>
          </cell>
          <cell r="J31">
            <v>0.191888023741659</v>
          </cell>
          <cell r="K31">
            <v>9.5373231397949398E-2</v>
          </cell>
          <cell r="L31">
            <v>1.40314300076458E-5</v>
          </cell>
          <cell r="M31">
            <v>0.128960009061243</v>
          </cell>
          <cell r="N31">
            <v>0.23162128533493501</v>
          </cell>
          <cell r="O31">
            <v>8.9247399300783306E-2</v>
          </cell>
          <cell r="P31">
            <v>1.04714702247746E-5</v>
          </cell>
        </row>
        <row r="32">
          <cell r="A32" t="str">
            <v>-</v>
          </cell>
          <cell r="B32" t="str">
            <v>VAR_ncap</v>
          </cell>
          <cell r="C32" t="str">
            <v>D-DH2</v>
          </cell>
          <cell r="H32">
            <v>2.4657676018387199E-5</v>
          </cell>
          <cell r="I32">
            <v>5.5198480375375297E-5</v>
          </cell>
          <cell r="J32">
            <v>1.7669635903633401E-4</v>
          </cell>
          <cell r="K32">
            <v>2.2196788763899199E-5</v>
          </cell>
          <cell r="L32">
            <v>1.1050312470418601E-4</v>
          </cell>
          <cell r="M32">
            <v>5.1883953779932501E-6</v>
          </cell>
          <cell r="N32">
            <v>7.7130944575780794E-5</v>
          </cell>
          <cell r="O32">
            <v>1.23174606231618E-5</v>
          </cell>
          <cell r="P32">
            <v>3.9958967751698999E-4</v>
          </cell>
        </row>
        <row r="33">
          <cell r="A33" t="str">
            <v>-</v>
          </cell>
          <cell r="B33" t="str">
            <v>VAR_ncap</v>
          </cell>
          <cell r="C33" t="str">
            <v>CT_CWODETH</v>
          </cell>
          <cell r="E33">
            <v>4.86188437213049E-3</v>
          </cell>
          <cell r="F33">
            <v>1.32843790702494E-7</v>
          </cell>
          <cell r="G33">
            <v>1.9856321945053E-7</v>
          </cell>
          <cell r="H33">
            <v>1.33275294827891E-7</v>
          </cell>
          <cell r="I33">
            <v>1.0330983515360799E-6</v>
          </cell>
          <cell r="J33">
            <v>5.0321074979166998E-6</v>
          </cell>
          <cell r="K33">
            <v>1.01998558885947E-5</v>
          </cell>
          <cell r="L33">
            <v>9.3942032441491008E-6</v>
          </cell>
          <cell r="M33">
            <v>9.3800050539052802E-7</v>
          </cell>
          <cell r="N33">
            <v>2.6976163011450001E-5</v>
          </cell>
          <cell r="O33">
            <v>5.7804680031269805E-7</v>
          </cell>
          <cell r="P33">
            <v>4.3292396164853599E-5</v>
          </cell>
        </row>
        <row r="34">
          <cell r="A34" t="str">
            <v>-</v>
          </cell>
          <cell r="B34" t="str">
            <v>VAR_ncap</v>
          </cell>
          <cell r="C34" t="str">
            <v>D-INGA</v>
          </cell>
          <cell r="E34">
            <v>4.3328316398497598E-7</v>
          </cell>
          <cell r="F34">
            <v>2.6021067413663503E-7</v>
          </cell>
          <cell r="G34">
            <v>3.45609014857563E-7</v>
          </cell>
          <cell r="H34">
            <v>5.1281648628189899E-7</v>
          </cell>
          <cell r="I34">
            <v>1.02778555525868E-6</v>
          </cell>
          <cell r="J34">
            <v>1.7538932673451999E-6</v>
          </cell>
          <cell r="K34">
            <v>2.4458405767554202E-6</v>
          </cell>
          <cell r="L34">
            <v>0.29091524808435498</v>
          </cell>
          <cell r="M34">
            <v>4.5310607659762E-6</v>
          </cell>
          <cell r="N34">
            <v>1.15503273367707E-5</v>
          </cell>
          <cell r="O34">
            <v>6.0609265816362603E-6</v>
          </cell>
          <cell r="P34">
            <v>4.1029487222181399E-5</v>
          </cell>
        </row>
        <row r="35">
          <cell r="A35" t="str">
            <v>-</v>
          </cell>
          <cell r="B35" t="str">
            <v>VAR_ncap</v>
          </cell>
          <cell r="C35" t="str">
            <v>SUP_H2DSL</v>
          </cell>
          <cell r="H35">
            <v>9.4680395690331398E-7</v>
          </cell>
          <cell r="I35">
            <v>4.8404033741506499E-6</v>
          </cell>
          <cell r="J35">
            <v>4.6312457368351799E-4</v>
          </cell>
          <cell r="K35">
            <v>3.2638808024077301E-6</v>
          </cell>
          <cell r="L35">
            <v>5.8655474085713204E-6</v>
          </cell>
          <cell r="M35">
            <v>4.4388131832894403E-6</v>
          </cell>
          <cell r="N35">
            <v>3.2935417847280302E-4</v>
          </cell>
          <cell r="O35">
            <v>5.3795720363232099E-6</v>
          </cell>
          <cell r="P35">
            <v>3.1781408812586802E-4</v>
          </cell>
        </row>
        <row r="36">
          <cell r="A36" t="str">
            <v>-</v>
          </cell>
          <cell r="B36" t="str">
            <v>VAR_ncap</v>
          </cell>
          <cell r="C36" t="str">
            <v>SUP_DAC</v>
          </cell>
          <cell r="J36">
            <v>1.2354844845363199E-3</v>
          </cell>
          <cell r="K36">
            <v>3.57382531829085E-4</v>
          </cell>
          <cell r="L36">
            <v>13.400742196905201</v>
          </cell>
          <cell r="M36">
            <v>28.371426249966401</v>
          </cell>
          <cell r="N36">
            <v>149.123721910298</v>
          </cell>
          <cell r="O36">
            <v>109.55970438468</v>
          </cell>
          <cell r="P36">
            <v>111.48608167093001</v>
          </cell>
        </row>
        <row r="37">
          <cell r="A37" t="str">
            <v>-</v>
          </cell>
          <cell r="B37" t="str">
            <v>VAR_ncap</v>
          </cell>
          <cell r="C37" t="str">
            <v>CT_CWODBDSCCS</v>
          </cell>
          <cell r="J37">
            <v>1.7565908250820099E-5</v>
          </cell>
          <cell r="K37">
            <v>1.7324558307897299E-6</v>
          </cell>
          <cell r="L37">
            <v>0.18858958540425799</v>
          </cell>
          <cell r="M37">
            <v>1.7262835584766201E-2</v>
          </cell>
          <cell r="N37">
            <v>5.6440252870777005E-7</v>
          </cell>
          <cell r="O37">
            <v>2.3263254711547599E-6</v>
          </cell>
          <cell r="P37">
            <v>0.187611657541564</v>
          </cell>
        </row>
        <row r="38">
          <cell r="A38" t="str">
            <v>-</v>
          </cell>
          <cell r="B38" t="str">
            <v>VAR_cap</v>
          </cell>
          <cell r="C38" t="str">
            <v>SUP_NGAH2</v>
          </cell>
          <cell r="H38">
            <v>3.54506641319674E-7</v>
          </cell>
          <cell r="I38">
            <v>8.9874932360617199E-7</v>
          </cell>
          <cell r="J38">
            <v>1.3850774800705982E-6</v>
          </cell>
          <cell r="K38">
            <v>2.2887934307785301E-6</v>
          </cell>
          <cell r="L38">
            <v>8.3878084171250481E-5</v>
          </cell>
          <cell r="M38">
            <v>8.5529145674384136E-5</v>
          </cell>
          <cell r="N38">
            <v>1.2947393039468963E-4</v>
          </cell>
          <cell r="O38">
            <v>1.313183767298016E-4</v>
          </cell>
          <cell r="P38">
            <v>2.9929908650579466E-4</v>
          </cell>
        </row>
        <row r="39">
          <cell r="A39" t="str">
            <v>-</v>
          </cell>
          <cell r="B39" t="str">
            <v>VAR_cap</v>
          </cell>
          <cell r="C39" t="str">
            <v>SUP_WSTHTGBIO</v>
          </cell>
          <cell r="J39">
            <v>2.3346501258847699E-5</v>
          </cell>
          <cell r="K39">
            <v>2.7201927281130159E-5</v>
          </cell>
          <cell r="L39">
            <v>8.5364258740689415E-5</v>
          </cell>
          <cell r="M39">
            <v>8.1461962712453428E-5</v>
          </cell>
          <cell r="N39">
            <v>6.2311488751529774E-5</v>
          </cell>
          <cell r="O39">
            <v>5.8891288009594807E-5</v>
          </cell>
          <cell r="P39">
            <v>8.5584775349933725E-5</v>
          </cell>
        </row>
        <row r="40">
          <cell r="A40" t="str">
            <v>-</v>
          </cell>
          <cell r="B40" t="str">
            <v>VAR_cap</v>
          </cell>
          <cell r="C40" t="str">
            <v>STG-H2</v>
          </cell>
          <cell r="H40">
            <v>2.41806097926477E-6</v>
          </cell>
          <cell r="I40">
            <v>2.3050599038866113E-5</v>
          </cell>
          <cell r="J40">
            <v>2.2688827814258568E-5</v>
          </cell>
          <cell r="K40">
            <v>2.2418631885490019E-5</v>
          </cell>
          <cell r="L40">
            <v>2.6065567881610319E-5</v>
          </cell>
          <cell r="M40">
            <v>1.7313796005083549E-5</v>
          </cell>
          <cell r="N40">
            <v>2.3266756616728323E-5</v>
          </cell>
          <cell r="O40">
            <v>2.6869478304669918E-5</v>
          </cell>
          <cell r="P40">
            <v>5.54349720161165E-5</v>
          </cell>
        </row>
        <row r="41">
          <cell r="A41" t="str">
            <v>-</v>
          </cell>
          <cell r="B41" t="str">
            <v>VAR_cap</v>
          </cell>
          <cell r="C41" t="str">
            <v>SUP_H2NGA</v>
          </cell>
          <cell r="H41">
            <v>5.2706952082980205E-7</v>
          </cell>
          <cell r="I41">
            <v>2.089801542344239E-6</v>
          </cell>
          <cell r="J41">
            <v>1.0687943691234424E-4</v>
          </cell>
          <cell r="K41">
            <v>1.121484506029945E-4</v>
          </cell>
          <cell r="L41">
            <v>5.3798109857895833E-3</v>
          </cell>
          <cell r="M41">
            <v>0.1692158915211886</v>
          </cell>
          <cell r="N41">
            <v>0.30856556013673914</v>
          </cell>
          <cell r="O41">
            <v>0.36195161772584578</v>
          </cell>
          <cell r="P41">
            <v>0.37344886919889803</v>
          </cell>
        </row>
        <row r="42">
          <cell r="A42" t="str">
            <v>-</v>
          </cell>
          <cell r="B42" t="str">
            <v>VAR_cap</v>
          </cell>
          <cell r="C42" t="str">
            <v>D-ENGA</v>
          </cell>
          <cell r="E42">
            <v>1.0275122937779591</v>
          </cell>
          <cell r="F42">
            <v>1.02751245317242</v>
          </cell>
          <cell r="G42">
            <v>1.0275126339992553</v>
          </cell>
          <cell r="H42">
            <v>1.0275128481845619</v>
          </cell>
          <cell r="I42">
            <v>1.0275132470928823</v>
          </cell>
          <cell r="J42">
            <v>1.027514084841076</v>
          </cell>
          <cell r="K42">
            <v>1.0275153886756139</v>
          </cell>
          <cell r="L42">
            <v>0.72894216650343546</v>
          </cell>
          <cell r="M42">
            <v>0.2582140083107603</v>
          </cell>
          <cell r="N42">
            <v>2.6247001552901699E-2</v>
          </cell>
          <cell r="O42">
            <v>2.6728541333758501E-2</v>
          </cell>
          <cell r="P42">
            <v>2.6887947471571302E-2</v>
          </cell>
        </row>
        <row r="43">
          <cell r="A43" t="str">
            <v>-</v>
          </cell>
          <cell r="B43" t="str">
            <v>VAR_cap</v>
          </cell>
          <cell r="C43" t="str">
            <v>D-CHEAT</v>
          </cell>
          <cell r="J43">
            <v>1.5663550453037199E-3</v>
          </cell>
          <cell r="K43">
            <v>1.6825452838157399E-3</v>
          </cell>
          <cell r="L43">
            <v>0.74849808653417704</v>
          </cell>
          <cell r="M43">
            <v>2.3324763153032202</v>
          </cell>
          <cell r="N43">
            <v>9.6317238187214205</v>
          </cell>
          <cell r="O43">
            <v>14.0935443889231</v>
          </cell>
          <cell r="P43">
            <v>18.604131288766599</v>
          </cell>
        </row>
        <row r="44">
          <cell r="A44" t="str">
            <v>-</v>
          </cell>
          <cell r="B44" t="str">
            <v>VAR_cap</v>
          </cell>
          <cell r="C44" t="str">
            <v>SUP_WSTBIO</v>
          </cell>
          <cell r="E44">
            <v>0.21266760303449433</v>
          </cell>
          <cell r="F44">
            <v>0.232992769899145</v>
          </cell>
          <cell r="G44">
            <v>0.23299168775530324</v>
          </cell>
          <cell r="H44">
            <v>0.23225720880814266</v>
          </cell>
          <cell r="I44">
            <v>0.23179768272160892</v>
          </cell>
          <cell r="J44">
            <v>0.2203417616522288</v>
          </cell>
          <cell r="K44">
            <v>0.34819652480258839</v>
          </cell>
          <cell r="L44">
            <v>0.37191106314934336</v>
          </cell>
          <cell r="M44">
            <v>0.38931262431325031</v>
          </cell>
          <cell r="N44">
            <v>0.38935274941666481</v>
          </cell>
          <cell r="O44">
            <v>0.38936656106223816</v>
          </cell>
          <cell r="P44">
            <v>0.38937380987658793</v>
          </cell>
        </row>
        <row r="45">
          <cell r="A45" t="str">
            <v>-</v>
          </cell>
          <cell r="B45" t="str">
            <v>VAR_cap</v>
          </cell>
          <cell r="C45" t="str">
            <v>D-CNGA</v>
          </cell>
          <cell r="E45">
            <v>2.0384679883743299E-7</v>
          </cell>
          <cell r="F45">
            <v>3.7725981120372999E-7</v>
          </cell>
          <cell r="G45">
            <v>5.72190556993739E-7</v>
          </cell>
          <cell r="H45">
            <v>8.0095571120334995E-7</v>
          </cell>
          <cell r="I45">
            <v>1.1687117468297501E-6</v>
          </cell>
          <cell r="J45">
            <v>1.7083089607222001E-6</v>
          </cell>
          <cell r="K45">
            <v>2.7715060822002601E-6</v>
          </cell>
          <cell r="L45">
            <v>5.0615884192176997E-4</v>
          </cell>
          <cell r="M45">
            <v>5.1117578491996203E-4</v>
          </cell>
          <cell r="N45">
            <v>6.5307520706510901E-4</v>
          </cell>
          <cell r="O45">
            <v>6.6681800182867102E-4</v>
          </cell>
          <cell r="P45">
            <v>1.2981377172562199E-3</v>
          </cell>
        </row>
        <row r="46">
          <cell r="A46" t="str">
            <v>-</v>
          </cell>
          <cell r="B46" t="str">
            <v>VAR_cap</v>
          </cell>
          <cell r="C46" t="str">
            <v>SUP_BIONGA</v>
          </cell>
          <cell r="E46">
            <v>4.2400615140657703E-2</v>
          </cell>
          <cell r="F46">
            <v>0.12566220592217481</v>
          </cell>
          <cell r="G46">
            <v>9.7834476225875294E-2</v>
          </cell>
          <cell r="H46">
            <v>9.7619971068663394E-2</v>
          </cell>
          <cell r="I46">
            <v>9.7613471999602783E-2</v>
          </cell>
          <cell r="J46">
            <v>9.2011428599475378E-2</v>
          </cell>
          <cell r="K46">
            <v>9.195403623921844E-2</v>
          </cell>
          <cell r="L46">
            <v>0.17145452663173993</v>
          </cell>
          <cell r="M46">
            <v>0.28236255282066047</v>
          </cell>
          <cell r="N46">
            <v>0.2823670775190798</v>
          </cell>
          <cell r="O46">
            <v>0.28237354841843404</v>
          </cell>
          <cell r="P46">
            <v>0.28241566012642766</v>
          </cell>
        </row>
        <row r="47">
          <cell r="A47" t="str">
            <v>-</v>
          </cell>
          <cell r="B47" t="str">
            <v>VAR_cap</v>
          </cell>
          <cell r="C47" t="str">
            <v>SUP_WODH2</v>
          </cell>
          <cell r="L47">
            <v>3.2293764987349898E-5</v>
          </cell>
          <cell r="M47">
            <v>3.2980533092581708E-5</v>
          </cell>
          <cell r="N47">
            <v>4.5617269595188269E-5</v>
          </cell>
          <cell r="O47">
            <v>4.5698094610645024E-5</v>
          </cell>
          <cell r="P47">
            <v>9.5301799522246343E-5</v>
          </cell>
        </row>
        <row r="48">
          <cell r="A48" t="str">
            <v>-</v>
          </cell>
          <cell r="B48" t="str">
            <v>VAR_cap</v>
          </cell>
          <cell r="C48" t="str">
            <v>ESOL-PV_A</v>
          </cell>
          <cell r="H48">
            <v>4.9500662975819197E-2</v>
          </cell>
          <cell r="I48">
            <v>0.18449520857288501</v>
          </cell>
          <cell r="J48">
            <v>0.18450830982179001</v>
          </cell>
          <cell r="K48">
            <v>0.27173057367651499</v>
          </cell>
          <cell r="L48">
            <v>0.27173197213281303</v>
          </cell>
          <cell r="M48">
            <v>0.22223165052816099</v>
          </cell>
          <cell r="N48">
            <v>8.7237532960687397E-2</v>
          </cell>
          <cell r="O48">
            <v>7.3659165108104996E-2</v>
          </cell>
          <cell r="P48">
            <v>5.66423933408744E-4</v>
          </cell>
        </row>
        <row r="49">
          <cell r="A49" t="str">
            <v>-</v>
          </cell>
          <cell r="B49" t="str">
            <v>VAR_cap</v>
          </cell>
          <cell r="C49" t="str">
            <v>D-TNGA</v>
          </cell>
          <cell r="E49">
            <v>0.95961774778223297</v>
          </cell>
          <cell r="F49">
            <v>0.95961779495498001</v>
          </cell>
          <cell r="G49">
            <v>0.95961784423800245</v>
          </cell>
          <cell r="H49">
            <v>0.95961789443664303</v>
          </cell>
          <cell r="I49">
            <v>0.95961796302259672</v>
          </cell>
          <cell r="J49">
            <v>0.95961805256810218</v>
          </cell>
          <cell r="K49">
            <v>0.9596181683843813</v>
          </cell>
          <cell r="L49">
            <v>0.3278033940459229</v>
          </cell>
          <cell r="M49">
            <v>6.4109924491959805E-7</v>
          </cell>
          <cell r="N49">
            <v>5.7758032409028595E-7</v>
          </cell>
          <cell r="O49">
            <v>4.8275833390433695E-7</v>
          </cell>
          <cell r="P49">
            <v>4.3974424596161399E-7</v>
          </cell>
        </row>
        <row r="50">
          <cell r="A50" t="str">
            <v>-</v>
          </cell>
          <cell r="B50" t="str">
            <v>VAR_cap</v>
          </cell>
          <cell r="C50" t="str">
            <v>SUP_ELCH2_D</v>
          </cell>
          <cell r="H50">
            <v>5.1066276874071998E-6</v>
          </cell>
          <cell r="I50">
            <v>4.9112544483987499E-5</v>
          </cell>
          <cell r="J50">
            <v>1.5431001475139301E-4</v>
          </cell>
          <cell r="K50">
            <v>1.7639962651474399E-4</v>
          </cell>
          <cell r="L50">
            <v>2.0794114464045701E-4</v>
          </cell>
          <cell r="M50">
            <v>1.8674368384973499E-4</v>
          </cell>
          <cell r="N50">
            <v>2.0370344810117499E-4</v>
          </cell>
          <cell r="O50">
            <v>1.8344581327955E-4</v>
          </cell>
          <cell r="P50">
            <v>2.7438442264100501E-4</v>
          </cell>
        </row>
        <row r="51">
          <cell r="A51" t="str">
            <v>-</v>
          </cell>
          <cell r="B51" t="str">
            <v>VAR_cap</v>
          </cell>
          <cell r="C51" t="str">
            <v>SUP_H2GSL</v>
          </cell>
          <cell r="H51">
            <v>5.4391041733809403E-7</v>
          </cell>
          <cell r="I51">
            <v>4.6118653133864144E-6</v>
          </cell>
          <cell r="J51">
            <v>3.8281105001780724E-2</v>
          </cell>
          <cell r="K51">
            <v>3.8282505833133501E-2</v>
          </cell>
          <cell r="L51">
            <v>4.3315692066674752E-2</v>
          </cell>
          <cell r="M51">
            <v>1.3148511357901502E-2</v>
          </cell>
          <cell r="N51">
            <v>1.072351385504338E-2</v>
          </cell>
          <cell r="O51">
            <v>1.0723886561576426E-2</v>
          </cell>
          <cell r="P51">
            <v>9.024788792150646E-3</v>
          </cell>
        </row>
        <row r="52">
          <cell r="A52" t="str">
            <v>-</v>
          </cell>
          <cell r="B52" t="str">
            <v>VAR_cap</v>
          </cell>
          <cell r="C52" t="str">
            <v>ESOL-PV_E</v>
          </cell>
          <cell r="H52">
            <v>1.4410542542097001E-6</v>
          </cell>
          <cell r="I52">
            <v>1.37926763763566E-4</v>
          </cell>
          <cell r="J52">
            <v>4.2164579939440099E-4</v>
          </cell>
          <cell r="K52">
            <v>4.68042716989003E-4</v>
          </cell>
          <cell r="L52">
            <v>4.69638086598943E-4</v>
          </cell>
          <cell r="M52">
            <v>4.70451693464641E-4</v>
          </cell>
          <cell r="N52">
            <v>4.7137711615442103E-4</v>
          </cell>
          <cell r="O52">
            <v>3.2251449818868701E-4</v>
          </cell>
          <cell r="P52">
            <v>4.1676131220583798E-4</v>
          </cell>
        </row>
        <row r="53">
          <cell r="A53" t="str">
            <v>-</v>
          </cell>
          <cell r="B53" t="str">
            <v>VAR_cap</v>
          </cell>
          <cell r="C53" t="str">
            <v>D-SNGA</v>
          </cell>
          <cell r="E53">
            <v>2.2350523739908605</v>
          </cell>
          <cell r="F53">
            <v>2.2350524570613053</v>
          </cell>
          <cell r="G53">
            <v>2.2350525922525577</v>
          </cell>
          <cell r="H53">
            <v>2.2350527483340255</v>
          </cell>
          <cell r="I53">
            <v>2.2350529926539617</v>
          </cell>
          <cell r="J53">
            <v>2.2350533539224737</v>
          </cell>
          <cell r="K53">
            <v>2.2350540506396399</v>
          </cell>
          <cell r="L53">
            <v>1.2583776037495649</v>
          </cell>
          <cell r="M53">
            <v>0.49489029205873503</v>
          </cell>
          <cell r="N53">
            <v>0.49489101760264498</v>
          </cell>
          <cell r="O53">
            <v>0.49489174293522997</v>
          </cell>
          <cell r="P53">
            <v>0.49489714546822</v>
          </cell>
        </row>
        <row r="54">
          <cell r="A54" t="str">
            <v>-</v>
          </cell>
          <cell r="B54" t="str">
            <v>VAR_cap</v>
          </cell>
          <cell r="C54" t="str">
            <v>SUP_MNRBIO</v>
          </cell>
          <cell r="E54">
            <v>4.9551580918424001E-2</v>
          </cell>
          <cell r="F54">
            <v>0.12852074124606708</v>
          </cell>
          <cell r="G54">
            <v>0.16238813612093919</v>
          </cell>
          <cell r="H54">
            <v>0.1623993144310196</v>
          </cell>
          <cell r="I54">
            <v>0.16240249273542381</v>
          </cell>
          <cell r="J54">
            <v>0.16243302158774864</v>
          </cell>
          <cell r="K54">
            <v>0.16316363659772271</v>
          </cell>
          <cell r="L54">
            <v>0.2436304729085797</v>
          </cell>
          <cell r="M54">
            <v>0.24362930372962666</v>
          </cell>
          <cell r="N54">
            <v>0.24363284333046678</v>
          </cell>
          <cell r="O54">
            <v>0.24363243985970892</v>
          </cell>
          <cell r="P54">
            <v>0.24366099848742565</v>
          </cell>
        </row>
        <row r="55">
          <cell r="A55" t="str">
            <v>-</v>
          </cell>
          <cell r="B55" t="str">
            <v>VAR_cap</v>
          </cell>
          <cell r="C55" t="str">
            <v>D-RNGA</v>
          </cell>
          <cell r="E55">
            <v>3.0972401666009843</v>
          </cell>
          <cell r="F55">
            <v>3.0972402496549232</v>
          </cell>
          <cell r="G55">
            <v>3.0972403655822922</v>
          </cell>
          <cell r="H55">
            <v>3.097240490447398</v>
          </cell>
          <cell r="I55">
            <v>3.0972408617825513</v>
          </cell>
          <cell r="J55">
            <v>3.0972410457677824</v>
          </cell>
          <cell r="K55">
            <v>3.097241326277858</v>
          </cell>
          <cell r="L55">
            <v>1.203205441515466</v>
          </cell>
          <cell r="M55">
            <v>0.578542877781139</v>
          </cell>
          <cell r="N55">
            <v>0.57854357321726901</v>
          </cell>
          <cell r="O55">
            <v>0.57854424412329797</v>
          </cell>
          <cell r="P55">
            <v>0.57854805980676505</v>
          </cell>
        </row>
        <row r="56">
          <cell r="A56" t="str">
            <v>-</v>
          </cell>
          <cell r="B56" t="str">
            <v>VAR_cap</v>
          </cell>
          <cell r="C56" t="str">
            <v>SUP_WSTHTGBIOCCS</v>
          </cell>
          <cell r="J56">
            <v>7.5011119197296602E-6</v>
          </cell>
          <cell r="K56">
            <v>8.2967392611233573E-6</v>
          </cell>
          <cell r="L56">
            <v>3.708174523298591E-5</v>
          </cell>
          <cell r="M56">
            <v>3.5715536167426659E-5</v>
          </cell>
          <cell r="N56">
            <v>2.9300801326598783E-5</v>
          </cell>
          <cell r="O56">
            <v>2.9036051145461968E-5</v>
          </cell>
          <cell r="P56">
            <v>3.3636510867397093E-5</v>
          </cell>
        </row>
        <row r="57">
          <cell r="A57" t="str">
            <v>-</v>
          </cell>
          <cell r="B57" t="str">
            <v>VAR_cap</v>
          </cell>
          <cell r="C57" t="str">
            <v>SUP_WODBIO</v>
          </cell>
          <cell r="E57">
            <v>6.0626722242566997E-7</v>
          </cell>
          <cell r="F57">
            <v>1.9338106911364588E-5</v>
          </cell>
          <cell r="G57">
            <v>2.1986815018385218E-5</v>
          </cell>
          <cell r="H57">
            <v>5.1658573220986816E-5</v>
          </cell>
          <cell r="I57">
            <v>5.7748371215884072E-5</v>
          </cell>
          <cell r="J57">
            <v>5.0366665865519405E-5</v>
          </cell>
          <cell r="K57">
            <v>4.0166058791352999E-5</v>
          </cell>
          <cell r="L57">
            <v>3.2200186420063444E-5</v>
          </cell>
          <cell r="M57">
            <v>2.8534703417938245E-5</v>
          </cell>
          <cell r="N57">
            <v>4.5724433213690288E-5</v>
          </cell>
          <cell r="O57">
            <v>3.7439049420170062E-5</v>
          </cell>
          <cell r="P57">
            <v>8.9607462771690188E-5</v>
          </cell>
        </row>
        <row r="58">
          <cell r="A58" t="str">
            <v>-</v>
          </cell>
          <cell r="B58" t="str">
            <v>VAR_cap</v>
          </cell>
          <cell r="C58" t="str">
            <v>SUP_ELCH2_SOEC</v>
          </cell>
          <cell r="J58">
            <v>3.8803900912819903E-4</v>
          </cell>
          <cell r="K58">
            <v>4.5479453694870025E-4</v>
          </cell>
          <cell r="L58">
            <v>4.1120176075798187E-4</v>
          </cell>
          <cell r="M58">
            <v>5.2207252655714234E-4</v>
          </cell>
          <cell r="N58">
            <v>8.5459631758681091E-4</v>
          </cell>
          <cell r="O58">
            <v>6.9911885838917179E-4</v>
          </cell>
          <cell r="P58">
            <v>1.3960362103164524E-3</v>
          </cell>
        </row>
        <row r="59">
          <cell r="A59" t="str">
            <v>-</v>
          </cell>
          <cell r="B59" t="str">
            <v>VAR_cap</v>
          </cell>
          <cell r="C59" t="str">
            <v>SUP_WODH2CCS</v>
          </cell>
          <cell r="L59">
            <v>0.16351028981016599</v>
          </cell>
          <cell r="M59">
            <v>0.16352988008394417</v>
          </cell>
          <cell r="N59">
            <v>0.17865736801072093</v>
          </cell>
          <cell r="O59">
            <v>0.18222692620398498</v>
          </cell>
          <cell r="P59">
            <v>0.19286367842784208</v>
          </cell>
        </row>
        <row r="60">
          <cell r="A60" t="str">
            <v>-</v>
          </cell>
          <cell r="B60" t="str">
            <v>VAR_cap</v>
          </cell>
          <cell r="C60" t="str">
            <v>SUP_WODBIOCCS</v>
          </cell>
          <cell r="J60">
            <v>1.9988291048735201E-5</v>
          </cell>
          <cell r="K60">
            <v>2.4221028257929001E-5</v>
          </cell>
          <cell r="L60">
            <v>4.73635137526656E-5</v>
          </cell>
          <cell r="M60">
            <v>4.4821811123967102E-5</v>
          </cell>
          <cell r="N60">
            <v>4.8296927373161201E-5</v>
          </cell>
          <cell r="O60">
            <v>4.5060703764608498E-5</v>
          </cell>
          <cell r="P60">
            <v>7.7558061317328797E-5</v>
          </cell>
        </row>
        <row r="61">
          <cell r="A61" t="str">
            <v>-</v>
          </cell>
          <cell r="B61" t="str">
            <v>VAR_cap</v>
          </cell>
          <cell r="C61" t="str">
            <v>SUP_NGAH2CCS</v>
          </cell>
          <cell r="J61">
            <v>3.9270136469730202E-7</v>
          </cell>
          <cell r="K61">
            <v>8.3029123694327314E-7</v>
          </cell>
          <cell r="L61">
            <v>6.4411908586828784E-5</v>
          </cell>
          <cell r="M61">
            <v>6.5350438716201703E-5</v>
          </cell>
          <cell r="N61">
            <v>8.1353028435001605E-5</v>
          </cell>
          <cell r="O61">
            <v>8.1949401007913383E-5</v>
          </cell>
          <cell r="P61">
            <v>1.5478004004864263E-4</v>
          </cell>
        </row>
        <row r="62">
          <cell r="A62" t="str">
            <v>-</v>
          </cell>
          <cell r="B62" t="str">
            <v>VAR_cap</v>
          </cell>
          <cell r="C62" t="str">
            <v>SUP_ELCH2</v>
          </cell>
          <cell r="E62">
            <v>2.5951966676221401E-4</v>
          </cell>
          <cell r="F62">
            <v>3.3444075317623002E-4</v>
          </cell>
          <cell r="G62">
            <v>3.3699079114821032E-4</v>
          </cell>
          <cell r="H62">
            <v>4.1812515703544117E-3</v>
          </cell>
          <cell r="I62">
            <v>0.50662569912514066</v>
          </cell>
          <cell r="J62">
            <v>0.58084941928379075</v>
          </cell>
          <cell r="K62">
            <v>0.63479984362562114</v>
          </cell>
          <cell r="L62">
            <v>0.76410588202028873</v>
          </cell>
          <cell r="M62">
            <v>0.86832861729498689</v>
          </cell>
          <cell r="N62">
            <v>0.97396669347098042</v>
          </cell>
          <cell r="O62">
            <v>1.0133754696055726</v>
          </cell>
          <cell r="P62">
            <v>1.0385717948858932</v>
          </cell>
        </row>
        <row r="63">
          <cell r="A63" t="str">
            <v>-</v>
          </cell>
          <cell r="B63" t="str">
            <v>VAR_cap</v>
          </cell>
          <cell r="C63" t="str">
            <v>CT_CWODBDS</v>
          </cell>
          <cell r="E63">
            <v>3.7889999489824973E-2</v>
          </cell>
          <cell r="F63">
            <v>3.3045380253522452E-2</v>
          </cell>
          <cell r="G63">
            <v>2.4807320632168027E-2</v>
          </cell>
          <cell r="H63">
            <v>3.4688151198725148E-5</v>
          </cell>
          <cell r="I63">
            <v>2.8949067987338317E-5</v>
          </cell>
          <cell r="J63">
            <v>2.1666508809229567E-5</v>
          </cell>
          <cell r="K63">
            <v>2.3369733257901567E-5</v>
          </cell>
          <cell r="L63">
            <v>3.7541396858926823E-5</v>
          </cell>
          <cell r="M63">
            <v>2.5623692070483649E-5</v>
          </cell>
          <cell r="N63">
            <v>6.409301230231246E-5</v>
          </cell>
          <cell r="O63">
            <v>6.119980548022864E-5</v>
          </cell>
          <cell r="P63">
            <v>9.0376431529072096E-5</v>
          </cell>
        </row>
        <row r="64">
          <cell r="A64" t="str">
            <v>-</v>
          </cell>
          <cell r="B64" t="str">
            <v>VAR_cap</v>
          </cell>
          <cell r="C64" t="str">
            <v>CT_CWODETHCCS</v>
          </cell>
          <cell r="J64">
            <v>1.1704649805439E-5</v>
          </cell>
          <cell r="K64">
            <v>1.4547580497268399E-5</v>
          </cell>
          <cell r="L64">
            <v>2.18347467052592E-5</v>
          </cell>
          <cell r="M64">
            <v>2.0510761402513401E-5</v>
          </cell>
          <cell r="N64">
            <v>4.0282084414121097E-5</v>
          </cell>
          <cell r="O64">
            <v>3.7696232654069302E-5</v>
          </cell>
          <cell r="P64">
            <v>6.49706559413319E-5</v>
          </cell>
        </row>
        <row r="65">
          <cell r="A65" t="str">
            <v>-</v>
          </cell>
          <cell r="B65" t="str">
            <v>VAR_cap</v>
          </cell>
          <cell r="C65" t="str">
            <v>CT_CWODPLT</v>
          </cell>
          <cell r="E65">
            <v>0.36355706380631542</v>
          </cell>
          <cell r="F65">
            <v>0.40987393620013385</v>
          </cell>
          <cell r="G65">
            <v>0.40987338603887435</v>
          </cell>
          <cell r="H65">
            <v>0.40987498978873949</v>
          </cell>
          <cell r="I65">
            <v>0.43008247372492808</v>
          </cell>
          <cell r="J65">
            <v>0.4573077025337573</v>
          </cell>
          <cell r="K65">
            <v>0.45730588769413233</v>
          </cell>
          <cell r="L65">
            <v>0.45731554099641636</v>
          </cell>
          <cell r="M65">
            <v>0.44242544997278677</v>
          </cell>
          <cell r="N65">
            <v>0.45596475077496179</v>
          </cell>
          <cell r="O65">
            <v>0.44983929125325262</v>
          </cell>
          <cell r="P65">
            <v>0.4498317792625246</v>
          </cell>
        </row>
        <row r="66">
          <cell r="A66" t="str">
            <v>-</v>
          </cell>
          <cell r="B66" t="str">
            <v>VAR_cap</v>
          </cell>
          <cell r="C66" t="str">
            <v>D-DH2</v>
          </cell>
          <cell r="H66">
            <v>2.4657676018387199E-5</v>
          </cell>
          <cell r="I66">
            <v>7.9856156393762499E-5</v>
          </cell>
          <cell r="J66">
            <v>2.5655251543009602E-4</v>
          </cell>
          <cell r="K66">
            <v>2.7874930419399498E-4</v>
          </cell>
          <cell r="L66">
            <v>3.8925242889818198E-4</v>
          </cell>
          <cell r="M66">
            <v>3.9444082427617501E-4</v>
          </cell>
          <cell r="N66">
            <v>4.7157176885195601E-4</v>
          </cell>
          <cell r="O66">
            <v>4.7607240860521701E-4</v>
          </cell>
          <cell r="P66">
            <v>8.5882123097372101E-4</v>
          </cell>
        </row>
        <row r="67">
          <cell r="A67" t="str">
            <v>-</v>
          </cell>
          <cell r="B67" t="str">
            <v>VAR_cap</v>
          </cell>
          <cell r="C67" t="str">
            <v>CT_CWODETH</v>
          </cell>
          <cell r="E67">
            <v>6.899205334769596E-3</v>
          </cell>
          <cell r="F67">
            <v>6.8986126851744729E-3</v>
          </cell>
          <cell r="G67">
            <v>6.8986439029183758E-3</v>
          </cell>
          <cell r="H67">
            <v>2.2892858503420314E-5</v>
          </cell>
          <cell r="I67">
            <v>2.3597336420549606E-5</v>
          </cell>
          <cell r="J67">
            <v>1.5347375301960273E-5</v>
          </cell>
          <cell r="K67">
            <v>1.6091628640068721E-5</v>
          </cell>
          <cell r="L67">
            <v>2.5065539853961202E-5</v>
          </cell>
          <cell r="M67">
            <v>2.393304209113335E-5</v>
          </cell>
          <cell r="N67">
            <v>4.6609691788183697E-5</v>
          </cell>
          <cell r="O67">
            <v>3.6634978978647146E-5</v>
          </cell>
          <cell r="P67">
            <v>7.0867592607833991E-5</v>
          </cell>
        </row>
        <row r="68">
          <cell r="A68" t="str">
            <v>-</v>
          </cell>
          <cell r="B68" t="str">
            <v>VAR_cap</v>
          </cell>
          <cell r="C68" t="str">
            <v>D-INGA</v>
          </cell>
          <cell r="E68">
            <v>1.984483803549264</v>
          </cell>
          <cell r="F68">
            <v>1.9844840637599381</v>
          </cell>
          <cell r="G68">
            <v>1.9844844093689529</v>
          </cell>
          <cell r="H68">
            <v>1.9844849221854393</v>
          </cell>
          <cell r="I68">
            <v>1.9844859499709946</v>
          </cell>
          <cell r="J68">
            <v>1.9844877038642619</v>
          </cell>
          <cell r="K68">
            <v>1.9844901497048386</v>
          </cell>
          <cell r="L68">
            <v>1.1843362827311399</v>
          </cell>
          <cell r="M68">
            <v>0.39777460778253904</v>
          </cell>
          <cell r="N68">
            <v>0.290937661099962</v>
          </cell>
          <cell r="O68">
            <v>0.29094302938001099</v>
          </cell>
          <cell r="P68">
            <v>0.29098364740566002</v>
          </cell>
        </row>
        <row r="69">
          <cell r="A69" t="str">
            <v>-</v>
          </cell>
          <cell r="B69" t="str">
            <v>VAR_cap</v>
          </cell>
          <cell r="C69" t="str">
            <v>SUP_H2DSL</v>
          </cell>
          <cell r="H69">
            <v>9.4680395690331398E-7</v>
          </cell>
          <cell r="I69">
            <v>5.5030679651609892E-6</v>
          </cell>
          <cell r="J69">
            <v>4.6830665943092809E-4</v>
          </cell>
          <cell r="K69">
            <v>4.691398861018053E-4</v>
          </cell>
          <cell r="L69">
            <v>4.6949064474754147E-4</v>
          </cell>
          <cell r="M69">
            <v>4.0358286835286979E-4</v>
          </cell>
          <cell r="N69">
            <v>3.389335148289995E-4</v>
          </cell>
          <cell r="O69">
            <v>3.4001836848799791E-4</v>
          </cell>
          <cell r="P69">
            <v>6.5176539070768984E-4</v>
          </cell>
        </row>
        <row r="70">
          <cell r="A70" t="str">
            <v>-</v>
          </cell>
          <cell r="B70" t="str">
            <v>VAR_cap</v>
          </cell>
          <cell r="C70" t="str">
            <v>SUP_DAC</v>
          </cell>
          <cell r="J70">
            <v>1.2354844845363199E-3</v>
          </cell>
          <cell r="K70">
            <v>1.5888176427985687E-3</v>
          </cell>
          <cell r="L70">
            <v>13.402300927153567</v>
          </cell>
          <cell r="M70">
            <v>41.772591988720635</v>
          </cell>
          <cell r="N70">
            <v>190.89585937646555</v>
          </cell>
          <cell r="O70">
            <v>280.43421070550056</v>
          </cell>
          <cell r="P70">
            <v>370.16948744419869</v>
          </cell>
        </row>
        <row r="71">
          <cell r="A71" t="str">
            <v>-</v>
          </cell>
          <cell r="B71" t="str">
            <v>VAR_cap</v>
          </cell>
          <cell r="C71" t="str">
            <v>CT_CWODBDSCCS</v>
          </cell>
          <cell r="J71">
            <v>1.7565908250820099E-5</v>
          </cell>
          <cell r="K71">
            <v>1.9298364081609801E-5</v>
          </cell>
          <cell r="L71">
            <v>0.18860888376834001</v>
          </cell>
          <cell r="M71">
            <v>0.205869391950565</v>
          </cell>
          <cell r="N71">
            <v>0.20585471784738399</v>
          </cell>
          <cell r="O71">
            <v>0.20585531171702401</v>
          </cell>
          <cell r="P71">
            <v>0.20487738385432999</v>
          </cell>
        </row>
        <row r="72">
          <cell r="A72" t="str">
            <v>CO2_M</v>
          </cell>
          <cell r="B72" t="str">
            <v>VAR_fin</v>
          </cell>
          <cell r="C72" t="str">
            <v>SUP_H2NGA</v>
          </cell>
          <cell r="J72">
            <v>3.2297811901758872E-2</v>
          </cell>
          <cell r="K72">
            <v>1.4368938819584506E-2</v>
          </cell>
          <cell r="L72">
            <v>2.0575219925096428</v>
          </cell>
          <cell r="M72">
            <v>71.721452293831476</v>
          </cell>
          <cell r="N72">
            <v>133.45514469501518</v>
          </cell>
          <cell r="O72">
            <v>156.72464481643647</v>
          </cell>
          <cell r="P72">
            <v>157.81326171503019</v>
          </cell>
        </row>
        <row r="73">
          <cell r="A73" t="str">
            <v>CO2_M</v>
          </cell>
          <cell r="B73" t="str">
            <v>VAR_fin</v>
          </cell>
          <cell r="C73" t="str">
            <v>SUP_H2GSL</v>
          </cell>
          <cell r="J73">
            <v>20.686723825180625</v>
          </cell>
          <cell r="K73">
            <v>11.93534188763325</v>
          </cell>
          <cell r="L73">
            <v>25.884668214966066</v>
          </cell>
          <cell r="M73">
            <v>4.9134900345239547</v>
          </cell>
          <cell r="N73">
            <v>8.0270713820588355</v>
          </cell>
          <cell r="O73">
            <v>7.3384924992522933</v>
          </cell>
          <cell r="P73">
            <v>6.2764678618216871</v>
          </cell>
        </row>
        <row r="74">
          <cell r="A74" t="str">
            <v>CO2_M</v>
          </cell>
          <cell r="B74" t="str">
            <v>VAR_fin</v>
          </cell>
          <cell r="C74" t="str">
            <v>SUP_H2DSL</v>
          </cell>
          <cell r="J74">
            <v>0.27698956484749465</v>
          </cell>
          <cell r="K74">
            <v>0.14277671313530493</v>
          </cell>
          <cell r="L74">
            <v>3.1458020312382935E-2</v>
          </cell>
          <cell r="M74">
            <v>4.8539960669073332E-2</v>
          </cell>
          <cell r="N74">
            <v>9.6446297611249482E-2</v>
          </cell>
          <cell r="O74">
            <v>6.9338162873739034E-2</v>
          </cell>
          <cell r="P74">
            <v>0.15433295249783099</v>
          </cell>
        </row>
        <row r="75">
          <cell r="A75" t="str">
            <v>ELC35</v>
          </cell>
          <cell r="B75" t="str">
            <v>VAR_fout</v>
          </cell>
          <cell r="C75" t="str">
            <v>SUP_WSTBIO</v>
          </cell>
          <cell r="E75">
            <v>0.11258824251652581</v>
          </cell>
          <cell r="F75">
            <v>0.12334905029475071</v>
          </cell>
          <cell r="G75">
            <v>0.11916557820962549</v>
          </cell>
          <cell r="H75">
            <v>0.12295965771977717</v>
          </cell>
          <cell r="I75">
            <v>0.122716301753463</v>
          </cell>
          <cell r="J75">
            <v>0.11665143470750833</v>
          </cell>
          <cell r="K75">
            <v>0.1843398524447836</v>
          </cell>
          <cell r="L75">
            <v>0.19689389266356283</v>
          </cell>
          <cell r="M75">
            <v>0.20610662425541842</v>
          </cell>
          <cell r="N75">
            <v>0.20612778905719986</v>
          </cell>
          <cell r="O75">
            <v>0.20613514090998303</v>
          </cell>
          <cell r="P75">
            <v>0.2061386547213471</v>
          </cell>
        </row>
        <row r="76">
          <cell r="A76" t="str">
            <v>ELC35</v>
          </cell>
          <cell r="B76" t="str">
            <v>VAR_fout</v>
          </cell>
          <cell r="C76" t="str">
            <v>ESOL-PV_A</v>
          </cell>
          <cell r="H76">
            <v>0.34127998258070291</v>
          </cell>
          <cell r="I76">
            <v>1.2719935003443339</v>
          </cell>
          <cell r="J76">
            <v>1.2720838340591312</v>
          </cell>
          <cell r="K76">
            <v>1.8734330696393273</v>
          </cell>
          <cell r="L76">
            <v>1.8734426581236687</v>
          </cell>
          <cell r="M76">
            <v>1.5321644660037261</v>
          </cell>
          <cell r="N76">
            <v>0.60145356385465554</v>
          </cell>
          <cell r="O76">
            <v>0.5078365262409269</v>
          </cell>
          <cell r="P76">
            <v>3.8999237914438042E-3</v>
          </cell>
        </row>
        <row r="77">
          <cell r="A77" t="str">
            <v>ELC35</v>
          </cell>
          <cell r="B77" t="str">
            <v>VAR_fout</v>
          </cell>
          <cell r="C77" t="str">
            <v>SUP_WODBIO</v>
          </cell>
          <cell r="G77">
            <v>1.9281576695879502E-6</v>
          </cell>
          <cell r="H77">
            <v>4.8165874956954779E-5</v>
          </cell>
          <cell r="I77">
            <v>4.8455906995021334E-5</v>
          </cell>
          <cell r="J77">
            <v>3.4821737871560392E-5</v>
          </cell>
          <cell r="K77">
            <v>2.9284073488266765E-5</v>
          </cell>
          <cell r="L77">
            <v>7.1224157243973309E-6</v>
          </cell>
          <cell r="M77">
            <v>8.0833412463168116E-6</v>
          </cell>
          <cell r="N77">
            <v>1.2680839557047596E-5</v>
          </cell>
          <cell r="O77">
            <v>1.1967201882461485E-5</v>
          </cell>
          <cell r="P77">
            <v>3.6738667550274633E-5</v>
          </cell>
        </row>
        <row r="78">
          <cell r="A78" t="str">
            <v>ELC35</v>
          </cell>
          <cell r="B78" t="str">
            <v>VAR_fout</v>
          </cell>
          <cell r="C78" t="str">
            <v>SUP_WODBIOCCS</v>
          </cell>
          <cell r="J78">
            <v>1.4064537336721861E-5</v>
          </cell>
          <cell r="K78">
            <v>1.9693038236667094E-5</v>
          </cell>
          <cell r="L78">
            <v>4.2054466069323496E-5</v>
          </cell>
          <cell r="M78">
            <v>4.1136123672183416E-5</v>
          </cell>
          <cell r="N78">
            <v>3.8523480980970144E-5</v>
          </cell>
          <cell r="O78">
            <v>3.9495351349602048E-5</v>
          </cell>
          <cell r="P78">
            <v>6.223820417949293E-5</v>
          </cell>
        </row>
        <row r="79">
          <cell r="A79" t="str">
            <v>ELC35</v>
          </cell>
          <cell r="B79" t="str">
            <v>VAR_fin</v>
          </cell>
          <cell r="C79" t="str">
            <v>D-CELC</v>
          </cell>
          <cell r="E79">
            <v>0.35903500552413209</v>
          </cell>
          <cell r="F79">
            <v>5.1619879748324805E-2</v>
          </cell>
          <cell r="G79">
            <v>0.34365866705756959</v>
          </cell>
          <cell r="H79">
            <v>5.7144473853457528E-2</v>
          </cell>
          <cell r="I79">
            <v>15.47417625576583</v>
          </cell>
          <cell r="J79">
            <v>15.021897641431371</v>
          </cell>
          <cell r="K79">
            <v>14.597639546525043</v>
          </cell>
          <cell r="L79">
            <v>16.830229824020329</v>
          </cell>
          <cell r="M79">
            <v>22.446207060012703</v>
          </cell>
          <cell r="N79">
            <v>25.112357706722957</v>
          </cell>
          <cell r="O79">
            <v>25.99628203282877</v>
          </cell>
          <cell r="P79">
            <v>26.701083911153685</v>
          </cell>
        </row>
        <row r="80">
          <cell r="A80" t="str">
            <v>CO2_O</v>
          </cell>
          <cell r="B80" t="str">
            <v>VAR_fout</v>
          </cell>
          <cell r="C80" t="str">
            <v>SUP_WSTHTGBIOCCS</v>
          </cell>
          <cell r="J80">
            <v>4.3433354622501134E-3</v>
          </cell>
          <cell r="K80">
            <v>5.9303765571936864E-3</v>
          </cell>
          <cell r="L80">
            <v>4.285709643532621E-2</v>
          </cell>
          <cell r="M80">
            <v>4.0760678857430524E-2</v>
          </cell>
          <cell r="N80">
            <v>2.7240218056360205E-2</v>
          </cell>
          <cell r="O80">
            <v>3.089511603739193E-2</v>
          </cell>
          <cell r="P80">
            <v>2.9081567623065612E-2</v>
          </cell>
        </row>
        <row r="81">
          <cell r="A81" t="str">
            <v>CO2_O</v>
          </cell>
          <cell r="B81" t="str">
            <v>VAR_fout</v>
          </cell>
          <cell r="C81" t="str">
            <v>SUP_WODH2CCS</v>
          </cell>
          <cell r="L81">
            <v>838.57681068000659</v>
          </cell>
          <cell r="M81">
            <v>839.29618472219397</v>
          </cell>
          <cell r="N81">
            <v>930.18459636756393</v>
          </cell>
          <cell r="O81">
            <v>930.20305962815723</v>
          </cell>
          <cell r="P81">
            <v>930.11526600244804</v>
          </cell>
        </row>
        <row r="82">
          <cell r="A82" t="str">
            <v>CO2_O</v>
          </cell>
          <cell r="B82" t="str">
            <v>VAR_fout</v>
          </cell>
          <cell r="C82" t="str">
            <v>SUP_WODBIOCCS</v>
          </cell>
          <cell r="J82">
            <v>2.2035311089550851E-2</v>
          </cell>
          <cell r="K82">
            <v>3.101732106391452E-2</v>
          </cell>
          <cell r="L82">
            <v>6.6614422794923966E-2</v>
          </cell>
          <cell r="M82">
            <v>6.5135919461198524E-2</v>
          </cell>
          <cell r="N82">
            <v>6.0989249856987678E-2</v>
          </cell>
          <cell r="O82">
            <v>6.2251622080272309E-2</v>
          </cell>
          <cell r="P82">
            <v>9.7926750341969376E-2</v>
          </cell>
        </row>
        <row r="83">
          <cell r="A83" t="str">
            <v>CO2_O</v>
          </cell>
          <cell r="B83" t="str">
            <v>VAR_fout</v>
          </cell>
          <cell r="C83" t="str">
            <v>SUP_NGAH2CCS</v>
          </cell>
          <cell r="L83">
            <v>9.3323023535850386E-3</v>
          </cell>
          <cell r="M83">
            <v>9.6214644929333848E-3</v>
          </cell>
          <cell r="N83">
            <v>9.2552242319413735E-3</v>
          </cell>
          <cell r="O83">
            <v>1.2141574890157856E-2</v>
          </cell>
          <cell r="P83">
            <v>1.803920359959749E-2</v>
          </cell>
        </row>
        <row r="84">
          <cell r="A84" t="str">
            <v>CO2_O</v>
          </cell>
          <cell r="B84" t="str">
            <v>VAR_fout</v>
          </cell>
          <cell r="C84" t="str">
            <v>CT_CWODETHCCS</v>
          </cell>
          <cell r="J84">
            <v>1.932090650751922E-3</v>
          </cell>
          <cell r="K84">
            <v>1.6649606032863586E-3</v>
          </cell>
          <cell r="L84">
            <v>1.9401740845663956E-3</v>
          </cell>
          <cell r="M84">
            <v>1.9692729720361315E-3</v>
          </cell>
          <cell r="N84">
            <v>1.4264527637841994E-2</v>
          </cell>
          <cell r="O84">
            <v>3.0989392100065323E-3</v>
          </cell>
          <cell r="P84">
            <v>1.2717103011634812E-2</v>
          </cell>
        </row>
        <row r="85">
          <cell r="A85" t="str">
            <v>CO2_O</v>
          </cell>
          <cell r="B85" t="str">
            <v>VAR_fout</v>
          </cell>
          <cell r="C85" t="str">
            <v>SUP_DAC</v>
          </cell>
          <cell r="J85">
            <v>4.5787766727971579E-3</v>
          </cell>
          <cell r="K85">
            <v>7.5479600779775075E-3</v>
          </cell>
          <cell r="L85">
            <v>105.66361755237882</v>
          </cell>
          <cell r="M85">
            <v>329.3350434470197</v>
          </cell>
          <cell r="N85">
            <v>1505.0228173200264</v>
          </cell>
          <cell r="O85">
            <v>2210.9432139250184</v>
          </cell>
          <cell r="P85">
            <v>2918.414832594935</v>
          </cell>
        </row>
        <row r="86">
          <cell r="A86" t="str">
            <v>CO2_O</v>
          </cell>
          <cell r="B86" t="str">
            <v>VAR_fout</v>
          </cell>
          <cell r="C86" t="str">
            <v>CT_CWODBDSCCS</v>
          </cell>
          <cell r="J86">
            <v>1.5925781768867008E-2</v>
          </cell>
          <cell r="K86">
            <v>2.4031747771170595E-2</v>
          </cell>
          <cell r="L86">
            <v>604.36600845463636</v>
          </cell>
          <cell r="M86">
            <v>688.13682237515809</v>
          </cell>
          <cell r="N86">
            <v>604.36589117880249</v>
          </cell>
          <cell r="O86">
            <v>691.20421125113455</v>
          </cell>
          <cell r="P86">
            <v>706.09471700090705</v>
          </cell>
        </row>
        <row r="87">
          <cell r="A87" t="str">
            <v>SCH2S</v>
          </cell>
          <cell r="B87" t="str">
            <v>VAR_fin</v>
          </cell>
          <cell r="C87" t="str">
            <v>SUP_NGAH2</v>
          </cell>
          <cell r="L87">
            <v>7.3444749133003945E-5</v>
          </cell>
          <cell r="M87">
            <v>6.9032723129057203E-5</v>
          </cell>
          <cell r="N87">
            <v>1.0866025091135477E-4</v>
          </cell>
          <cell r="O87">
            <v>9.6196480656016452E-5</v>
          </cell>
          <cell r="P87">
            <v>2.1953831819473667E-4</v>
          </cell>
        </row>
        <row r="88">
          <cell r="A88" t="str">
            <v>SCH2S</v>
          </cell>
          <cell r="B88" t="str">
            <v>VAR_fin</v>
          </cell>
          <cell r="C88" t="str">
            <v>SUP_WODH2</v>
          </cell>
          <cell r="L88">
            <v>6.0669600254648617E-5</v>
          </cell>
          <cell r="M88">
            <v>5.8346111455778587E-5</v>
          </cell>
          <cell r="N88">
            <v>2.0013066180187521E-4</v>
          </cell>
          <cell r="O88">
            <v>8.4317218238073987E-5</v>
          </cell>
          <cell r="P88">
            <v>4.5911614733571782E-4</v>
          </cell>
        </row>
        <row r="89">
          <cell r="A89" t="str">
            <v>SCH2S</v>
          </cell>
          <cell r="B89" t="str">
            <v>VAR_fin</v>
          </cell>
          <cell r="C89" t="str">
            <v>SUP_WODH2CCS</v>
          </cell>
          <cell r="L89">
            <v>4.8251443471667015</v>
          </cell>
          <cell r="M89">
            <v>4.8292836025681751</v>
          </cell>
          <cell r="N89">
            <v>5.3522526378292419</v>
          </cell>
          <cell r="O89">
            <v>5.3523588748445592</v>
          </cell>
          <cell r="P89">
            <v>5.3518537131093193</v>
          </cell>
        </row>
        <row r="90">
          <cell r="A90" t="str">
            <v>SCH2S</v>
          </cell>
          <cell r="B90" t="str">
            <v>VAR_fin</v>
          </cell>
          <cell r="C90" t="str">
            <v>SUP_NGAH2CCS</v>
          </cell>
          <cell r="L90">
            <v>1.2828290349776235E-4</v>
          </cell>
          <cell r="M90">
            <v>1.3225775958490809E-4</v>
          </cell>
          <cell r="N90">
            <v>1.2722337875606716E-4</v>
          </cell>
          <cell r="O90">
            <v>1.6689948749320507E-4</v>
          </cell>
          <cell r="P90">
            <v>2.4796897130692204E-4</v>
          </cell>
        </row>
        <row r="91">
          <cell r="A91" t="str">
            <v>CWST</v>
          </cell>
          <cell r="B91" t="str">
            <v>VAR_fout</v>
          </cell>
          <cell r="C91" t="str">
            <v>D-CWST</v>
          </cell>
          <cell r="E91">
            <v>9.6793720494921835</v>
          </cell>
          <cell r="F91">
            <v>10.604494066768703</v>
          </cell>
          <cell r="G91">
            <v>10.244834995221783</v>
          </cell>
          <cell r="H91">
            <v>10.571017430823119</v>
          </cell>
          <cell r="I91">
            <v>10.550095770747717</v>
          </cell>
          <cell r="J91">
            <v>10.029583974706002</v>
          </cell>
          <cell r="K91">
            <v>15.849045904388293</v>
          </cell>
          <cell r="L91">
            <v>16.93211911987515</v>
          </cell>
          <cell r="M91">
            <v>17.723900064985429</v>
          </cell>
          <cell r="N91">
            <v>17.724210246467418</v>
          </cell>
          <cell r="O91">
            <v>17.724913945220376</v>
          </cell>
          <cell r="P91">
            <v>17.726000475638024</v>
          </cell>
        </row>
        <row r="92">
          <cell r="A92" t="str">
            <v>CWST</v>
          </cell>
          <cell r="B92" t="str">
            <v>VAR_fin</v>
          </cell>
          <cell r="C92" t="str">
            <v>SUP_WSTHTGBIO</v>
          </cell>
          <cell r="J92">
            <v>7.3908831001333916E-4</v>
          </cell>
          <cell r="K92">
            <v>9.329812412832482E-4</v>
          </cell>
          <cell r="L92">
            <v>3.2917559964366762E-3</v>
          </cell>
          <cell r="M92">
            <v>3.1129831195110909E-3</v>
          </cell>
          <cell r="N92">
            <v>2.1125732976747971E-3</v>
          </cell>
          <cell r="O92">
            <v>2.0447463431427343E-3</v>
          </cell>
          <cell r="P92">
            <v>2.8852283429088707E-3</v>
          </cell>
        </row>
        <row r="93">
          <cell r="A93" t="str">
            <v>CWST</v>
          </cell>
          <cell r="B93" t="str">
            <v>VAR_fin</v>
          </cell>
          <cell r="C93" t="str">
            <v>SUP_WSTBIO</v>
          </cell>
          <cell r="E93">
            <v>9.6793720494921835</v>
          </cell>
          <cell r="F93">
            <v>10.604494066768703</v>
          </cell>
          <cell r="G93">
            <v>10.244834995221783</v>
          </cell>
          <cell r="H93">
            <v>10.571017430823119</v>
          </cell>
          <cell r="I93">
            <v>10.550095770747717</v>
          </cell>
          <cell r="J93">
            <v>10.028690486711206</v>
          </cell>
          <cell r="K93">
            <v>15.847960457324392</v>
          </cell>
          <cell r="L93">
            <v>16.927249229276029</v>
          </cell>
          <cell r="M93">
            <v>17.719280925272979</v>
          </cell>
          <cell r="N93">
            <v>17.721100493517561</v>
          </cell>
          <cell r="O93">
            <v>17.721732542803956</v>
          </cell>
          <cell r="P93">
            <v>17.722034630186663</v>
          </cell>
        </row>
        <row r="94">
          <cell r="A94" t="str">
            <v>CWST</v>
          </cell>
          <cell r="B94" t="str">
            <v>VAR_fin</v>
          </cell>
          <cell r="C94" t="str">
            <v>SUP_WSTHTGBIOCCS</v>
          </cell>
          <cell r="J94">
            <v>1.6139028917397862E-4</v>
          </cell>
          <cell r="K94">
            <v>2.2036179240464068E-4</v>
          </cell>
          <cell r="L94">
            <v>1.5924902064256168E-3</v>
          </cell>
          <cell r="M94">
            <v>1.5145912179485193E-3</v>
          </cell>
          <cell r="N94">
            <v>1.0121959741513163E-3</v>
          </cell>
          <cell r="O94">
            <v>1.1480052035297238E-3</v>
          </cell>
          <cell r="P94">
            <v>1.0806171084670642E-3</v>
          </cell>
        </row>
        <row r="95">
          <cell r="A95" t="str">
            <v>NGA</v>
          </cell>
          <cell r="B95" t="str">
            <v>VAR_fout</v>
          </cell>
          <cell r="C95" t="str">
            <v>SUP_H2NGA</v>
          </cell>
          <cell r="J95">
            <v>5.7265623939288795E-4</v>
          </cell>
          <cell r="K95">
            <v>2.5476841878695937E-4</v>
          </cell>
          <cell r="L95">
            <v>3.6480886392014904E-2</v>
          </cell>
          <cell r="M95">
            <v>1.2716569555643871</v>
          </cell>
          <cell r="N95">
            <v>2.3662259697697725</v>
          </cell>
          <cell r="O95">
            <v>2.7788057591566728</v>
          </cell>
          <cell r="P95">
            <v>2.7981074772168464</v>
          </cell>
        </row>
        <row r="96">
          <cell r="A96" t="str">
            <v>NGA</v>
          </cell>
          <cell r="B96" t="str">
            <v>VAR_fout</v>
          </cell>
          <cell r="C96" t="str">
            <v>D-LNGA</v>
          </cell>
          <cell r="H96">
            <v>2.3409177368037535E-4</v>
          </cell>
          <cell r="I96">
            <v>1.1019091499665894E-3</v>
          </cell>
          <cell r="J96">
            <v>6.209108745264233E-4</v>
          </cell>
          <cell r="K96">
            <v>3.8251750831228216E-4</v>
          </cell>
          <cell r="L96">
            <v>2.4414231745887975E-4</v>
          </cell>
          <cell r="M96">
            <v>4.4430199621416463E-4</v>
          </cell>
          <cell r="N96">
            <v>3.014608880150235E-3</v>
          </cell>
          <cell r="O96">
            <v>2.1225172685532786E-3</v>
          </cell>
          <cell r="P96">
            <v>2.428056700722428E-3</v>
          </cell>
        </row>
        <row r="97">
          <cell r="A97" t="str">
            <v>NGA</v>
          </cell>
          <cell r="B97" t="str">
            <v>VAR_fin</v>
          </cell>
          <cell r="C97" t="str">
            <v>D-ENGA</v>
          </cell>
          <cell r="E97">
            <v>5.5097519549332752</v>
          </cell>
          <cell r="F97">
            <v>1.8644022658796504</v>
          </cell>
          <cell r="G97">
            <v>1.4936746351564389</v>
          </cell>
        </row>
        <row r="98">
          <cell r="A98" t="str">
            <v>NGA</v>
          </cell>
          <cell r="B98" t="str">
            <v>VAR_fin</v>
          </cell>
          <cell r="C98" t="str">
            <v>D-TNGA</v>
          </cell>
          <cell r="E98">
            <v>0.24410387552902765</v>
          </cell>
          <cell r="F98">
            <v>0.14377579701205923</v>
          </cell>
          <cell r="G98">
            <v>0.23552340901830973</v>
          </cell>
          <cell r="H98">
            <v>6.5985784647517413E-3</v>
          </cell>
          <cell r="I98">
            <v>2.5822764892790085E-3</v>
          </cell>
          <cell r="J98">
            <v>9.8648748712799731E-4</v>
          </cell>
          <cell r="K98">
            <v>3.9163139605457578E-3</v>
          </cell>
          <cell r="L98">
            <v>1.3253085319709715E-3</v>
          </cell>
        </row>
        <row r="99">
          <cell r="A99" t="str">
            <v>NGA</v>
          </cell>
          <cell r="B99" t="str">
            <v>VAR_fin</v>
          </cell>
          <cell r="C99" t="str">
            <v>D-SNGA</v>
          </cell>
          <cell r="E99">
            <v>26.990159439820793</v>
          </cell>
          <cell r="F99">
            <v>25.101604814357344</v>
          </cell>
          <cell r="G99">
            <v>29.342358850032355</v>
          </cell>
          <cell r="H99">
            <v>28.478345742679991</v>
          </cell>
          <cell r="I99">
            <v>28.50385694784049</v>
          </cell>
          <cell r="J99">
            <v>27.659933643116624</v>
          </cell>
          <cell r="K99">
            <v>23.194176716893907</v>
          </cell>
          <cell r="L99">
            <v>7.2869404850166628</v>
          </cell>
          <cell r="M99">
            <v>3.1825057415091602</v>
          </cell>
          <cell r="N99">
            <v>1.5617918492291274</v>
          </cell>
          <cell r="O99">
            <v>0.93413310717903197</v>
          </cell>
          <cell r="P99">
            <v>0.48526042052828977</v>
          </cell>
        </row>
        <row r="100">
          <cell r="A100" t="str">
            <v>NGA</v>
          </cell>
          <cell r="B100" t="str">
            <v>VAR_fin</v>
          </cell>
          <cell r="C100" t="str">
            <v>D-RNGA</v>
          </cell>
          <cell r="E100">
            <v>47.012795779943566</v>
          </cell>
          <cell r="F100">
            <v>48.435861913063171</v>
          </cell>
          <cell r="G100">
            <v>48.674038499669074</v>
          </cell>
          <cell r="H100">
            <v>52.991150835968632</v>
          </cell>
          <cell r="I100">
            <v>52.172366494575009</v>
          </cell>
          <cell r="J100">
            <v>52.12388696106877</v>
          </cell>
          <cell r="K100">
            <v>41.754798610822782</v>
          </cell>
          <cell r="L100">
            <v>18.093244343324404</v>
          </cell>
          <cell r="M100">
            <v>5.5823416166033057</v>
          </cell>
          <cell r="N100">
            <v>3.5324593414622765</v>
          </cell>
          <cell r="O100">
            <v>3.5306600852579892</v>
          </cell>
          <cell r="P100">
            <v>2.0998207337774009</v>
          </cell>
        </row>
        <row r="101">
          <cell r="A101" t="str">
            <v>NGA</v>
          </cell>
          <cell r="B101" t="str">
            <v>VAR_fin</v>
          </cell>
          <cell r="C101" t="str">
            <v>D-INGA</v>
          </cell>
          <cell r="E101">
            <v>37.264489537759971</v>
          </cell>
          <cell r="F101">
            <v>31.174310840283379</v>
          </cell>
          <cell r="G101">
            <v>32.28933856353806</v>
          </cell>
          <cell r="H101">
            <v>24.14795805818849</v>
          </cell>
          <cell r="I101">
            <v>11.344125183956724</v>
          </cell>
          <cell r="J101">
            <v>11.317013898367172</v>
          </cell>
          <cell r="K101">
            <v>9.2077315898703365</v>
          </cell>
          <cell r="L101">
            <v>2.3801843233238618</v>
          </cell>
          <cell r="M101">
            <v>9.2670742730488421E-4</v>
          </cell>
          <cell r="N101">
            <v>7.4558214215941527E-4</v>
          </cell>
          <cell r="O101">
            <v>3.4702540708713526E-4</v>
          </cell>
          <cell r="P101">
            <v>1.4251387322180062E-4</v>
          </cell>
        </row>
        <row r="102">
          <cell r="A102" t="str">
            <v>CO2</v>
          </cell>
          <cell r="B102" t="str">
            <v>VAR_fout</v>
          </cell>
          <cell r="C102" t="str">
            <v>D-ENGA</v>
          </cell>
          <cell r="E102">
            <v>310.75001025823701</v>
          </cell>
          <cell r="F102">
            <v>105.152287795612</v>
          </cell>
          <cell r="G102">
            <v>84.243249422823197</v>
          </cell>
        </row>
        <row r="103">
          <cell r="A103" t="str">
            <v>CO2</v>
          </cell>
          <cell r="B103" t="str">
            <v>VAR_fout</v>
          </cell>
          <cell r="C103" t="str">
            <v>D-ILFO</v>
          </cell>
          <cell r="E103">
            <v>688.96238654799095</v>
          </cell>
          <cell r="F103">
            <v>659.57558948130202</v>
          </cell>
          <cell r="G103">
            <v>602.37714611080696</v>
          </cell>
          <cell r="H103">
            <v>426.77246905502801</v>
          </cell>
          <cell r="I103">
            <v>304.86228156979598</v>
          </cell>
          <cell r="J103">
            <v>160.04445051209899</v>
          </cell>
          <cell r="K103">
            <v>27.190797926484301</v>
          </cell>
          <cell r="M103">
            <v>1.1830807514132799E-2</v>
          </cell>
          <cell r="N103">
            <v>2.05072243741393E-2</v>
          </cell>
          <cell r="O103">
            <v>1.0634787937598001E-2</v>
          </cell>
          <cell r="P103">
            <v>4.4370635094578698E-3</v>
          </cell>
        </row>
        <row r="104">
          <cell r="A104" t="str">
            <v>CO2</v>
          </cell>
          <cell r="B104" t="str">
            <v>VAR_fout</v>
          </cell>
          <cell r="C104" t="str">
            <v>D-TNGA</v>
          </cell>
          <cell r="E104">
            <v>13.7674585798372</v>
          </cell>
          <cell r="F104">
            <v>8.1089549514801398</v>
          </cell>
          <cell r="G104">
            <v>13.283520268632699</v>
          </cell>
          <cell r="H104">
            <v>0.37215982541199799</v>
          </cell>
          <cell r="I104">
            <v>0.14564039399533599</v>
          </cell>
          <cell r="J104">
            <v>5.5637894274019099E-2</v>
          </cell>
          <cell r="K104">
            <v>0.220880107374781</v>
          </cell>
          <cell r="L104">
            <v>7.4747401203162797E-2</v>
          </cell>
        </row>
        <row r="105">
          <cell r="A105" t="str">
            <v>CO2</v>
          </cell>
          <cell r="B105" t="str">
            <v>VAR_fout</v>
          </cell>
          <cell r="C105" t="str">
            <v>D-SNGA</v>
          </cell>
          <cell r="E105">
            <v>1522.2449924058899</v>
          </cell>
          <cell r="F105">
            <v>1415.7305115297499</v>
          </cell>
          <cell r="G105">
            <v>1654.9090391418299</v>
          </cell>
          <cell r="H105">
            <v>1606.1786998871501</v>
          </cell>
          <cell r="I105">
            <v>1607.6175318582</v>
          </cell>
          <cell r="J105">
            <v>1560.02025747178</v>
          </cell>
          <cell r="K105">
            <v>1308.15156683282</v>
          </cell>
          <cell r="L105">
            <v>410.98344335493999</v>
          </cell>
          <cell r="M105">
            <v>179.493323821117</v>
          </cell>
          <cell r="N105">
            <v>88.085060296522798</v>
          </cell>
          <cell r="O105">
            <v>52.685107244897402</v>
          </cell>
          <cell r="P105">
            <v>27.368687717795599</v>
          </cell>
        </row>
        <row r="106">
          <cell r="A106" t="str">
            <v>CO2</v>
          </cell>
          <cell r="B106" t="str">
            <v>VAR_fout</v>
          </cell>
          <cell r="C106" t="str">
            <v>D-RNGA</v>
          </cell>
          <cell r="E106">
            <v>2651.5216819888201</v>
          </cell>
          <cell r="F106">
            <v>2731.78261189676</v>
          </cell>
          <cell r="G106">
            <v>2745.2157713813399</v>
          </cell>
          <cell r="H106">
            <v>2988.70090714863</v>
          </cell>
          <cell r="I106">
            <v>2942.5214702940302</v>
          </cell>
          <cell r="J106">
            <v>2939.7872246042798</v>
          </cell>
          <cell r="K106">
            <v>2354.9706416504</v>
          </cell>
          <cell r="L106">
            <v>1020.4589809635</v>
          </cell>
          <cell r="M106">
            <v>314.84406717642702</v>
          </cell>
          <cell r="N106">
            <v>199.23070685847199</v>
          </cell>
          <cell r="O106">
            <v>199.12922880855101</v>
          </cell>
          <cell r="P106">
            <v>118.429889385045</v>
          </cell>
        </row>
        <row r="107">
          <cell r="A107" t="str">
            <v>CO2</v>
          </cell>
          <cell r="B107" t="str">
            <v>VAR_fout</v>
          </cell>
          <cell r="C107" t="str">
            <v>SUP_WSTHTGBIOCCS</v>
          </cell>
          <cell r="J107">
            <v>-4.34333546225011E-3</v>
          </cell>
          <cell r="K107">
            <v>-5.9303765571936898E-3</v>
          </cell>
          <cell r="L107">
            <v>-4.2857096435326203E-2</v>
          </cell>
          <cell r="M107">
            <v>-4.0760678857430503E-2</v>
          </cell>
          <cell r="N107">
            <v>-2.7240218056360201E-2</v>
          </cell>
          <cell r="O107">
            <v>-3.0895116037391899E-2</v>
          </cell>
          <cell r="P107">
            <v>-2.9081567623065602E-2</v>
          </cell>
        </row>
        <row r="108">
          <cell r="A108" t="str">
            <v>CO2</v>
          </cell>
          <cell r="B108" t="str">
            <v>VAR_fout</v>
          </cell>
          <cell r="C108" t="str">
            <v>D-SLFO</v>
          </cell>
          <cell r="E108">
            <v>2267.78872880361</v>
          </cell>
          <cell r="F108">
            <v>1996.6206161401301</v>
          </cell>
          <cell r="G108">
            <v>1866.7692317132801</v>
          </cell>
          <cell r="H108">
            <v>1462.87184008139</v>
          </cell>
          <cell r="I108">
            <v>1116.1336310607301</v>
          </cell>
          <cell r="J108">
            <v>792.123585808244</v>
          </cell>
          <cell r="K108">
            <v>464.613510743088</v>
          </cell>
          <cell r="M108">
            <v>1.6317502501919701E-2</v>
          </cell>
          <cell r="N108">
            <v>2.88674611404315E-2</v>
          </cell>
          <cell r="O108">
            <v>1.8494098891078399E-2</v>
          </cell>
          <cell r="P108">
            <v>3.5095934403409697E-2</v>
          </cell>
        </row>
        <row r="109">
          <cell r="A109" t="str">
            <v>CO2</v>
          </cell>
          <cell r="B109" t="str">
            <v>VAR_fout</v>
          </cell>
          <cell r="C109" t="str">
            <v>D-RLFO</v>
          </cell>
          <cell r="E109">
            <v>4514.4828221692896</v>
          </cell>
          <cell r="F109">
            <v>3846.5253505034598</v>
          </cell>
          <cell r="G109">
            <v>3753.3610951453202</v>
          </cell>
          <cell r="H109">
            <v>3105.9338492912898</v>
          </cell>
          <cell r="I109">
            <v>1563.3451089821101</v>
          </cell>
          <cell r="J109">
            <v>774.17554641820595</v>
          </cell>
          <cell r="K109">
            <v>493.59612819470698</v>
          </cell>
          <cell r="M109">
            <v>1.6171445504074799E-2</v>
          </cell>
          <cell r="N109">
            <v>2.87366833278541E-2</v>
          </cell>
          <cell r="O109">
            <v>1.8334579401455001E-2</v>
          </cell>
          <cell r="P109">
            <v>3.4544216691709498E-2</v>
          </cell>
        </row>
        <row r="110">
          <cell r="A110" t="str">
            <v>CO2</v>
          </cell>
          <cell r="B110" t="str">
            <v>VAR_fout</v>
          </cell>
          <cell r="C110" t="str">
            <v>D-TGSL</v>
          </cell>
          <cell r="E110">
            <v>5886.4483500444903</v>
          </cell>
          <cell r="F110">
            <v>5605.5636773666502</v>
          </cell>
          <cell r="G110">
            <v>5842.6408818654099</v>
          </cell>
          <cell r="H110">
            <v>3568.6986189211898</v>
          </cell>
          <cell r="I110">
            <v>1607.9813501316</v>
          </cell>
          <cell r="J110">
            <v>743.03589166257598</v>
          </cell>
          <cell r="K110">
            <v>223.46139751962599</v>
          </cell>
          <cell r="L110">
            <v>25.884668214966101</v>
          </cell>
          <cell r="M110">
            <v>16.9836168356779</v>
          </cell>
          <cell r="N110">
            <v>15.330210745150801</v>
          </cell>
          <cell r="O110">
            <v>13.983796935825399</v>
          </cell>
          <cell r="P110">
            <v>11.918048699922799</v>
          </cell>
        </row>
        <row r="111">
          <cell r="A111" t="str">
            <v>CO2</v>
          </cell>
          <cell r="B111" t="str">
            <v>VAR_fout</v>
          </cell>
          <cell r="C111" t="str">
            <v>SUP_WODH2CCS</v>
          </cell>
          <cell r="L111">
            <v>-838.57681068000602</v>
          </cell>
          <cell r="M111">
            <v>-839.29618472219295</v>
          </cell>
          <cell r="N111">
            <v>-930.18459636756404</v>
          </cell>
          <cell r="O111">
            <v>-930.20305962815803</v>
          </cell>
          <cell r="P111">
            <v>-930.11526600244804</v>
          </cell>
        </row>
        <row r="112">
          <cell r="A112" t="str">
            <v>CO2</v>
          </cell>
          <cell r="B112" t="str">
            <v>VAR_fout</v>
          </cell>
          <cell r="C112" t="str">
            <v>SUP_WODBIOCCS</v>
          </cell>
          <cell r="J112">
            <v>-2.2035311089550799E-2</v>
          </cell>
          <cell r="K112">
            <v>-3.1017321063914499E-2</v>
          </cell>
          <cell r="L112">
            <v>-6.6614422794923897E-2</v>
          </cell>
          <cell r="M112">
            <v>-6.5135919461198497E-2</v>
          </cell>
          <cell r="N112">
            <v>-6.0989249856987698E-2</v>
          </cell>
          <cell r="O112">
            <v>-6.2251622080272302E-2</v>
          </cell>
          <cell r="P112">
            <v>-9.7926750341969404E-2</v>
          </cell>
        </row>
        <row r="113">
          <cell r="A113" t="str">
            <v>CO2</v>
          </cell>
          <cell r="B113" t="str">
            <v>VAR_fout</v>
          </cell>
          <cell r="C113" t="str">
            <v>SUP_NGAH2CCS</v>
          </cell>
          <cell r="L113">
            <v>-9.3323023535850404E-3</v>
          </cell>
          <cell r="M113">
            <v>-9.62146449293339E-3</v>
          </cell>
          <cell r="N113">
            <v>-9.2552242319413804E-3</v>
          </cell>
          <cell r="O113">
            <v>-1.2141574890157899E-2</v>
          </cell>
          <cell r="P113">
            <v>-1.80392035995975E-2</v>
          </cell>
        </row>
        <row r="114">
          <cell r="A114" t="str">
            <v>CO2</v>
          </cell>
          <cell r="B114" t="str">
            <v>VAR_fout</v>
          </cell>
          <cell r="C114" t="str">
            <v>CT_CWODETHCCS</v>
          </cell>
          <cell r="J114">
            <v>-1.93209065075192E-3</v>
          </cell>
          <cell r="K114">
            <v>-1.6649606032863599E-3</v>
          </cell>
          <cell r="L114">
            <v>-1.9401740845663999E-3</v>
          </cell>
          <cell r="M114">
            <v>-1.9692729720361302E-3</v>
          </cell>
          <cell r="N114">
            <v>-1.4264527637842001E-2</v>
          </cell>
          <cell r="O114">
            <v>-3.0989392100065302E-3</v>
          </cell>
          <cell r="P114">
            <v>-1.2717103011634799E-2</v>
          </cell>
        </row>
        <row r="115">
          <cell r="A115" t="str">
            <v>CO2</v>
          </cell>
          <cell r="B115" t="str">
            <v>VAR_fout</v>
          </cell>
          <cell r="C115" t="str">
            <v>D-INGA</v>
          </cell>
          <cell r="E115">
            <v>2101.7172099296599</v>
          </cell>
          <cell r="F115">
            <v>1758.2311313919799</v>
          </cell>
          <cell r="G115">
            <v>1821.1186949835501</v>
          </cell>
          <cell r="H115">
            <v>1361.94483448183</v>
          </cell>
          <cell r="I115">
            <v>639.80866037515898</v>
          </cell>
          <cell r="J115">
            <v>638.27958386790897</v>
          </cell>
          <cell r="K115">
            <v>519.31606166868698</v>
          </cell>
          <cell r="L115">
            <v>134.242395835466</v>
          </cell>
          <cell r="M115">
            <v>5.2266298899995497E-2</v>
          </cell>
          <cell r="N115">
            <v>4.2050832817790998E-2</v>
          </cell>
          <cell r="O115">
            <v>1.95722329597144E-2</v>
          </cell>
          <cell r="P115">
            <v>8.0377824497095598E-3</v>
          </cell>
        </row>
        <row r="116">
          <cell r="A116" t="str">
            <v>CO2</v>
          </cell>
          <cell r="B116" t="str">
            <v>VAR_fout</v>
          </cell>
          <cell r="C116" t="str">
            <v>SUP_DAC</v>
          </cell>
          <cell r="J116">
            <v>-4.5787766727971597E-3</v>
          </cell>
          <cell r="K116">
            <v>-7.5479600779775101E-3</v>
          </cell>
          <cell r="L116">
            <v>-105.66361755237899</v>
          </cell>
          <cell r="M116">
            <v>-329.33504344701998</v>
          </cell>
          <cell r="N116">
            <v>-1505.0228173200301</v>
          </cell>
          <cell r="O116">
            <v>-2210.9432139250198</v>
          </cell>
          <cell r="P116">
            <v>-2918.41483259493</v>
          </cell>
        </row>
        <row r="117">
          <cell r="A117" t="str">
            <v>CO2</v>
          </cell>
          <cell r="B117" t="str">
            <v>VAR_fout</v>
          </cell>
          <cell r="C117" t="str">
            <v>CT_CWODBDSCCS</v>
          </cell>
          <cell r="J117">
            <v>-1.5925781768867001E-2</v>
          </cell>
          <cell r="K117">
            <v>-2.4031747771170599E-2</v>
          </cell>
          <cell r="L117">
            <v>-604.36600845463704</v>
          </cell>
          <cell r="M117">
            <v>-688.13682237515798</v>
          </cell>
          <cell r="N117">
            <v>-604.36589117880203</v>
          </cell>
          <cell r="O117">
            <v>-691.20421125113501</v>
          </cell>
          <cell r="P117">
            <v>-706.09471700090705</v>
          </cell>
        </row>
        <row r="118">
          <cell r="A118" t="str">
            <v>ENGA</v>
          </cell>
          <cell r="B118" t="str">
            <v>VAR_fout</v>
          </cell>
          <cell r="C118" t="str">
            <v>D-ENGA</v>
          </cell>
          <cell r="E118">
            <v>5.703624049777857</v>
          </cell>
          <cell r="F118">
            <v>1.8585024237823822</v>
          </cell>
          <cell r="G118">
            <v>1.856127528821321</v>
          </cell>
          <cell r="J118">
            <v>8.6465910208275694E-6</v>
          </cell>
          <cell r="K118">
            <v>1.1007571061358665E-5</v>
          </cell>
          <cell r="L118">
            <v>0.11952548384121121</v>
          </cell>
          <cell r="M118">
            <v>0.12117347032768766</v>
          </cell>
          <cell r="N118">
            <v>0.12119150936613099</v>
          </cell>
          <cell r="O118">
            <v>0.12121897042482679</v>
          </cell>
          <cell r="P118">
            <v>0.1219348633479601</v>
          </cell>
        </row>
        <row r="119">
          <cell r="A119" t="str">
            <v>ILFO</v>
          </cell>
          <cell r="B119" t="str">
            <v>VAR_fout</v>
          </cell>
          <cell r="C119" t="str">
            <v>D-ILFO</v>
          </cell>
          <cell r="E119">
            <v>9.1920747866897692</v>
          </cell>
          <cell r="F119">
            <v>8.7999987580813901</v>
          </cell>
          <cell r="G119">
            <v>8.0369194538952762</v>
          </cell>
          <cell r="H119">
            <v>7.1170408430189021</v>
          </cell>
          <cell r="I119">
            <v>5.4905277882527095</v>
          </cell>
          <cell r="J119">
            <v>3.558375673866438</v>
          </cell>
          <cell r="K119">
            <v>1.7858545190037023</v>
          </cell>
          <cell r="L119">
            <v>1.4230790513395635</v>
          </cell>
          <cell r="M119">
            <v>1.4232413176477976</v>
          </cell>
          <cell r="N119">
            <v>1.4233578063644681</v>
          </cell>
          <cell r="O119">
            <v>1.4232265960327479</v>
          </cell>
          <cell r="P119">
            <v>1.4231480415340614</v>
          </cell>
        </row>
        <row r="120">
          <cell r="A120" t="str">
            <v>CHEAT</v>
          </cell>
          <cell r="B120" t="str">
            <v>VAR_fout</v>
          </cell>
          <cell r="C120" t="str">
            <v>D-CHEAT</v>
          </cell>
          <cell r="J120">
            <v>1.1464696827944709E-3</v>
          </cell>
          <cell r="K120">
            <v>1.2272249173146353E-3</v>
          </cell>
          <cell r="L120">
            <v>0.67382315328910813</v>
          </cell>
          <cell r="M120">
            <v>2.0999152253571345</v>
          </cell>
          <cell r="N120">
            <v>9.5938548931204579</v>
          </cell>
          <cell r="O120">
            <v>14.092955431399348</v>
          </cell>
          <cell r="P120">
            <v>18.603070006348645</v>
          </cell>
        </row>
        <row r="121">
          <cell r="A121" t="str">
            <v>CHEAT</v>
          </cell>
          <cell r="B121" t="str">
            <v>VAR_fin</v>
          </cell>
          <cell r="C121" t="str">
            <v>SUP_ELCH2_SOEC</v>
          </cell>
          <cell r="J121">
            <v>1.116024571016004E-3</v>
          </cell>
          <cell r="K121">
            <v>1.1780765608724601E-3</v>
          </cell>
          <cell r="L121">
            <v>3.4750567656877704E-4</v>
          </cell>
          <cell r="M121">
            <v>8.0924351776458063E-4</v>
          </cell>
          <cell r="N121">
            <v>1.1848705954344999E-3</v>
          </cell>
          <cell r="O121">
            <v>9.1081543135982312E-4</v>
          </cell>
          <cell r="P121">
            <v>1.7636635140601637E-3</v>
          </cell>
        </row>
        <row r="122">
          <cell r="A122" t="str">
            <v>CHEAT</v>
          </cell>
          <cell r="B122" t="str">
            <v>VAR_fin</v>
          </cell>
          <cell r="C122" t="str">
            <v>SUP_DAC</v>
          </cell>
          <cell r="J122">
            <v>3.0445111778467644E-5</v>
          </cell>
          <cell r="K122">
            <v>4.9148356442174805E-5</v>
          </cell>
          <cell r="L122">
            <v>0.67347564761253931</v>
          </cell>
          <cell r="M122">
            <v>2.0991059818393696</v>
          </cell>
          <cell r="N122">
            <v>9.5926700225250308</v>
          </cell>
          <cell r="O122">
            <v>14.092044615967991</v>
          </cell>
          <cell r="P122">
            <v>18.601306342834611</v>
          </cell>
        </row>
        <row r="123">
          <cell r="A123" t="str">
            <v>EH2</v>
          </cell>
          <cell r="B123" t="str">
            <v>VAR_fout</v>
          </cell>
          <cell r="C123" t="str">
            <v>D-ENGA</v>
          </cell>
          <cell r="J123">
            <v>5.108667151230425E-6</v>
          </cell>
          <cell r="K123">
            <v>3.0426759448355142E-6</v>
          </cell>
          <cell r="L123">
            <v>3.408136442704819E-3</v>
          </cell>
          <cell r="M123">
            <v>2.9833624059442659E-3</v>
          </cell>
          <cell r="N123">
            <v>2.7597800564421108E-3</v>
          </cell>
          <cell r="O123">
            <v>2.7623650555885148E-3</v>
          </cell>
          <cell r="P123">
            <v>2.7352483003274743E-3</v>
          </cell>
        </row>
        <row r="124">
          <cell r="A124" t="str">
            <v>TDSL</v>
          </cell>
          <cell r="B124" t="str">
            <v>VAR_fout</v>
          </cell>
          <cell r="C124" t="str">
            <v>D-TBDS1</v>
          </cell>
          <cell r="E124">
            <v>2.9717709286049527</v>
          </cell>
          <cell r="F124">
            <v>2.9709440866535046</v>
          </cell>
          <cell r="G124">
            <v>4.431820075422408</v>
          </cell>
          <cell r="H124">
            <v>3.0303043514299244</v>
          </cell>
          <cell r="I124">
            <v>2.9724292274846715</v>
          </cell>
          <cell r="J124">
            <v>2.9711839481835276</v>
          </cell>
          <cell r="K124">
            <v>3.867554543111944</v>
          </cell>
          <cell r="L124">
            <v>5.381481742418778</v>
          </cell>
          <cell r="M124">
            <v>2.9762769811546241</v>
          </cell>
          <cell r="N124">
            <v>2.9778984421543884</v>
          </cell>
          <cell r="O124">
            <v>2.8962421904204705</v>
          </cell>
          <cell r="P124">
            <v>2.7650470474191686</v>
          </cell>
        </row>
        <row r="125">
          <cell r="A125" t="str">
            <v>CNGA</v>
          </cell>
          <cell r="B125" t="str">
            <v>VAR_fout</v>
          </cell>
          <cell r="C125" t="str">
            <v>D-CNGA</v>
          </cell>
          <cell r="L125">
            <v>2.825550792526166E-4</v>
          </cell>
          <cell r="M125">
            <v>2.8251044287486588E-4</v>
          </cell>
          <cell r="N125">
            <v>3.2735572269917252E-4</v>
          </cell>
          <cell r="O125">
            <v>3.6845763186019707E-4</v>
          </cell>
          <cell r="P125">
            <v>6.4824152888563952E-4</v>
          </cell>
        </row>
        <row r="126">
          <cell r="A126" t="str">
            <v>CNGA</v>
          </cell>
          <cell r="B126" t="str">
            <v>VAR_fin</v>
          </cell>
          <cell r="C126" t="str">
            <v>SUP_NGAH2</v>
          </cell>
          <cell r="L126">
            <v>9.6637827806584053E-5</v>
          </cell>
          <cell r="M126">
            <v>9.0832530432970022E-5</v>
          </cell>
          <cell r="N126">
            <v>1.4297401435704572E-4</v>
          </cell>
          <cell r="O126">
            <v>1.265743166526533E-4</v>
          </cell>
          <cell r="P126">
            <v>2.8886620815096948E-4</v>
          </cell>
        </row>
        <row r="127">
          <cell r="A127" t="str">
            <v>CNGA</v>
          </cell>
          <cell r="B127" t="str">
            <v>VAR_fin</v>
          </cell>
          <cell r="C127" t="str">
            <v>SUP_NGAH2CCS</v>
          </cell>
          <cell r="L127">
            <v>1.8591725144603252E-4</v>
          </cell>
          <cell r="M127">
            <v>1.9167791244189557E-4</v>
          </cell>
          <cell r="N127">
            <v>1.8438170834212647E-4</v>
          </cell>
          <cell r="O127">
            <v>2.418833152075438E-4</v>
          </cell>
          <cell r="P127">
            <v>3.5937532073466988E-4</v>
          </cell>
        </row>
        <row r="128">
          <cell r="A128" t="str">
            <v>LBIO</v>
          </cell>
          <cell r="B128" t="str">
            <v>VAR_fin</v>
          </cell>
          <cell r="C128" t="str">
            <v>D-LBIO</v>
          </cell>
          <cell r="H128">
            <v>2.1352624409901746</v>
          </cell>
          <cell r="I128">
            <v>2.1341386666255548</v>
          </cell>
          <cell r="J128">
            <v>2.1346570079526082</v>
          </cell>
          <cell r="K128">
            <v>2.1349485194850613</v>
          </cell>
          <cell r="L128">
            <v>2.1350390814146394</v>
          </cell>
          <cell r="M128">
            <v>2.134859052562518</v>
          </cell>
          <cell r="N128">
            <v>3.0106232416795735E-3</v>
          </cell>
          <cell r="O128">
            <v>2.2100018721927187E-3</v>
          </cell>
          <cell r="P128">
            <v>4.4493068456449274E-3</v>
          </cell>
        </row>
        <row r="129">
          <cell r="A129" t="str">
            <v>H2_E</v>
          </cell>
          <cell r="B129" t="str">
            <v>VAR_fout</v>
          </cell>
          <cell r="C129" t="str">
            <v>SUP_ELCH2_D</v>
          </cell>
          <cell r="H129">
            <v>3.3683975800143571E-6</v>
          </cell>
          <cell r="I129">
            <v>3.6003207059245206E-4</v>
          </cell>
          <cell r="J129">
            <v>1.1333709533802023E-3</v>
          </cell>
          <cell r="K129">
            <v>1.2932316132575955E-3</v>
          </cell>
          <cell r="L129">
            <v>1.3337594997684422E-3</v>
          </cell>
          <cell r="M129">
            <v>1.3346058633048558E-3</v>
          </cell>
          <cell r="N129">
            <v>1.3373616421641801E-3</v>
          </cell>
          <cell r="O129">
            <v>9.1365940110783948E-4</v>
          </cell>
          <cell r="P129">
            <v>1.1817764197921646E-3</v>
          </cell>
        </row>
        <row r="130">
          <cell r="A130" t="str">
            <v>H2_E</v>
          </cell>
          <cell r="B130" t="str">
            <v>VAR_fin</v>
          </cell>
          <cell r="C130" t="str">
            <v>D-DH2</v>
          </cell>
          <cell r="H130">
            <v>3.368397580014358E-6</v>
          </cell>
          <cell r="I130">
            <v>3.6003207059245206E-4</v>
          </cell>
          <cell r="J130">
            <v>1.1333709533802023E-3</v>
          </cell>
          <cell r="K130">
            <v>1.2932316132575955E-3</v>
          </cell>
          <cell r="L130">
            <v>1.3337594997684422E-3</v>
          </cell>
          <cell r="M130">
            <v>1.3346058633048558E-3</v>
          </cell>
          <cell r="N130">
            <v>1.3373616421641801E-3</v>
          </cell>
          <cell r="O130">
            <v>9.1365940110783948E-4</v>
          </cell>
          <cell r="P130">
            <v>1.1817764197921646E-3</v>
          </cell>
        </row>
        <row r="131">
          <cell r="A131" t="str">
            <v>BNGA</v>
          </cell>
          <cell r="B131" t="str">
            <v>VAR_fout</v>
          </cell>
          <cell r="C131" t="str">
            <v>SUP_BIONGA</v>
          </cell>
          <cell r="E131">
            <v>1.1764711264867993</v>
          </cell>
          <cell r="F131">
            <v>3.4996508628045753</v>
          </cell>
          <cell r="G131">
            <v>2.5851866156582113</v>
          </cell>
          <cell r="H131">
            <v>2.5848711824503621</v>
          </cell>
          <cell r="I131">
            <v>2.5849667567646168</v>
          </cell>
          <cell r="J131">
            <v>2.8155349939465038</v>
          </cell>
          <cell r="K131">
            <v>2.8137797909457514</v>
          </cell>
          <cell r="L131">
            <v>5.24647177121527</v>
          </cell>
          <cell r="M131">
            <v>8.640275522031148</v>
          </cell>
          <cell r="N131">
            <v>8.640391760708253</v>
          </cell>
          <cell r="O131">
            <v>8.6405990390033516</v>
          </cell>
          <cell r="P131">
            <v>8.6418299623519168</v>
          </cell>
        </row>
        <row r="132">
          <cell r="A132" t="str">
            <v>BNGA</v>
          </cell>
          <cell r="B132" t="str">
            <v>VAR_fin</v>
          </cell>
          <cell r="C132" t="str">
            <v>D-ENGA</v>
          </cell>
          <cell r="E132">
            <v>0.21209300395694081</v>
          </cell>
          <cell r="F132">
            <v>4.7926717962131717E-5</v>
          </cell>
          <cell r="G132">
            <v>0.36838425783309103</v>
          </cell>
          <cell r="J132">
            <v>8.9511499412717091E-6</v>
          </cell>
          <cell r="K132">
            <v>1.1916182163552381E-5</v>
          </cell>
          <cell r="L132">
            <v>0.11991946535218784</v>
          </cell>
          <cell r="M132">
            <v>0.12156998811719388</v>
          </cell>
          <cell r="N132">
            <v>0.12158814337956092</v>
          </cell>
          <cell r="O132">
            <v>0.12161540089860259</v>
          </cell>
          <cell r="P132">
            <v>0.12233380369127207</v>
          </cell>
        </row>
        <row r="133">
          <cell r="A133" t="str">
            <v>BNGA</v>
          </cell>
          <cell r="B133" t="str">
            <v>VAR_fin</v>
          </cell>
          <cell r="C133" t="str">
            <v>D-CNGA</v>
          </cell>
          <cell r="L133">
            <v>2.8345773524350359E-4</v>
          </cell>
          <cell r="M133">
            <v>2.8341295626950583E-4</v>
          </cell>
          <cell r="N133">
            <v>3.284014997031715E-4</v>
          </cell>
          <cell r="O133">
            <v>3.6963471382830829E-4</v>
          </cell>
          <cell r="P133">
            <v>6.5031241397161274E-4</v>
          </cell>
        </row>
        <row r="134">
          <cell r="A134" t="str">
            <v>BNGA</v>
          </cell>
          <cell r="B134" t="str">
            <v>VAR_fin</v>
          </cell>
          <cell r="C134" t="str">
            <v>D-TNGA</v>
          </cell>
          <cell r="E134">
            <v>2.0088199497292833E-2</v>
          </cell>
          <cell r="F134">
            <v>2.0428344147549928E-2</v>
          </cell>
          <cell r="G134">
            <v>2.8876935998823519E-3</v>
          </cell>
          <cell r="H134">
            <v>1.0736645718118745E-4</v>
          </cell>
          <cell r="I134">
            <v>1.0640026872851563E-4</v>
          </cell>
          <cell r="J134">
            <v>1.7919168280694159E-3</v>
          </cell>
          <cell r="K134">
            <v>1.08493324204319E-4</v>
          </cell>
          <cell r="L134">
            <v>1.3052063400354691E-3</v>
          </cell>
        </row>
        <row r="135">
          <cell r="A135" t="str">
            <v>BNGA</v>
          </cell>
          <cell r="B135" t="str">
            <v>VAR_fin</v>
          </cell>
          <cell r="C135" t="str">
            <v>D-SNGA</v>
          </cell>
          <cell r="E135">
            <v>0.30633447757210158</v>
          </cell>
          <cell r="F135">
            <v>3.4777570657325163</v>
          </cell>
          <cell r="G135">
            <v>7.7966206536933241E-3</v>
          </cell>
          <cell r="H135">
            <v>2.0715099083672462E-4</v>
          </cell>
          <cell r="I135">
            <v>2.9153505954851948E-4</v>
          </cell>
          <cell r="J135">
            <v>0.11910084229865069</v>
          </cell>
          <cell r="K135">
            <v>0.1191029537798223</v>
          </cell>
          <cell r="L135">
            <v>1.0214977488945318</v>
          </cell>
          <cell r="M135">
            <v>1.8042916161411773</v>
          </cell>
          <cell r="N135">
            <v>1.8042999916748999</v>
          </cell>
          <cell r="O135">
            <v>1.8043728329146744</v>
          </cell>
          <cell r="P135">
            <v>1.8044519501161209</v>
          </cell>
        </row>
        <row r="136">
          <cell r="A136" t="str">
            <v>BNGA</v>
          </cell>
          <cell r="B136" t="str">
            <v>VAR_fin</v>
          </cell>
          <cell r="C136" t="str">
            <v>D-RNGA</v>
          </cell>
          <cell r="E136">
            <v>0.31135683683205756</v>
          </cell>
          <cell r="F136">
            <v>1.4035087777510404E-3</v>
          </cell>
          <cell r="G136">
            <v>1.4040682900645551E-3</v>
          </cell>
          <cell r="H136">
            <v>1.4047158147223473E-3</v>
          </cell>
          <cell r="I136">
            <v>1.406106400493753E-3</v>
          </cell>
          <cell r="J136">
            <v>0.11146255069551589</v>
          </cell>
          <cell r="K136">
            <v>0.11146458406243687</v>
          </cell>
          <cell r="L136">
            <v>1.5203832458185085</v>
          </cell>
          <cell r="M136">
            <v>4.1310449625594385</v>
          </cell>
          <cell r="N136">
            <v>4.1310535266568387</v>
          </cell>
          <cell r="O136">
            <v>4.1311278519880847</v>
          </cell>
          <cell r="P136">
            <v>4.1312134268458323</v>
          </cell>
        </row>
        <row r="137">
          <cell r="A137" t="str">
            <v>BNGA</v>
          </cell>
          <cell r="B137" t="str">
            <v>VAR_fin</v>
          </cell>
          <cell r="C137" t="str">
            <v>D-INGA</v>
          </cell>
          <cell r="E137">
            <v>0.32660630381700562</v>
          </cell>
          <cell r="F137">
            <v>4.9655174780157759E-5</v>
          </cell>
          <cell r="G137">
            <v>2.2047444851167448</v>
          </cell>
          <cell r="H137">
            <v>2.5831771239217662</v>
          </cell>
          <cell r="I137">
            <v>2.5831777677437193</v>
          </cell>
          <cell r="J137">
            <v>2.5831779644326369</v>
          </cell>
          <cell r="K137">
            <v>2.583178165497817</v>
          </cell>
          <cell r="L137">
            <v>2.5831749272452438</v>
          </cell>
          <cell r="M137">
            <v>2.5831453365155843</v>
          </cell>
          <cell r="N137">
            <v>2.5831458881041676</v>
          </cell>
          <cell r="O137">
            <v>2.5831382039686837</v>
          </cell>
          <cell r="P137">
            <v>2.5831469828969085</v>
          </cell>
        </row>
        <row r="138">
          <cell r="A138" t="str">
            <v>LFO</v>
          </cell>
          <cell r="B138" t="str">
            <v>VAR_fin</v>
          </cell>
          <cell r="C138" t="str">
            <v>D-ILFO</v>
          </cell>
          <cell r="E138">
            <v>9.3482006315874084</v>
          </cell>
          <cell r="F138">
            <v>8.9494652575481943</v>
          </cell>
          <cell r="G138">
            <v>8.1733669757232921</v>
          </cell>
          <cell r="H138">
            <v>5.7906712219135414</v>
          </cell>
          <cell r="I138">
            <v>4.136530279101712</v>
          </cell>
          <cell r="J138">
            <v>2.1715664927014835</v>
          </cell>
          <cell r="K138">
            <v>0.36893891352081765</v>
          </cell>
          <cell r="M138">
            <v>1.6052656057167965E-4</v>
          </cell>
          <cell r="N138">
            <v>2.7825270521220189E-4</v>
          </cell>
          <cell r="O138">
            <v>1.4429834379373128E-4</v>
          </cell>
          <cell r="P138">
            <v>6.0204389544882952E-5</v>
          </cell>
        </row>
        <row r="139">
          <cell r="A139" t="str">
            <v>LFO</v>
          </cell>
          <cell r="B139" t="str">
            <v>VAR_fin</v>
          </cell>
          <cell r="C139" t="str">
            <v>D-SLFO</v>
          </cell>
          <cell r="E139">
            <v>30.7705390611073</v>
          </cell>
          <cell r="F139">
            <v>27.091188821440102</v>
          </cell>
          <cell r="G139">
            <v>25.32929758091295</v>
          </cell>
          <cell r="H139">
            <v>19.849007328105632</v>
          </cell>
          <cell r="I139">
            <v>15.14428264668555</v>
          </cell>
          <cell r="J139">
            <v>10.747945533354725</v>
          </cell>
          <cell r="K139">
            <v>6.3041181919007796</v>
          </cell>
          <cell r="M139">
            <v>2.2140437587408015E-4</v>
          </cell>
          <cell r="N139">
            <v>3.9168875360151247E-4</v>
          </cell>
          <cell r="O139">
            <v>2.5093756975682984E-4</v>
          </cell>
          <cell r="P139">
            <v>4.7619992406254633E-4</v>
          </cell>
        </row>
        <row r="140">
          <cell r="A140" t="str">
            <v>LFO</v>
          </cell>
          <cell r="B140" t="str">
            <v>VAR_fin</v>
          </cell>
          <cell r="C140" t="str">
            <v>D-RLFO</v>
          </cell>
          <cell r="E140">
            <v>61.254855117629447</v>
          </cell>
          <cell r="F140">
            <v>52.191660115379385</v>
          </cell>
          <cell r="G140">
            <v>50.927558957195643</v>
          </cell>
          <cell r="H140">
            <v>42.142928755648477</v>
          </cell>
          <cell r="I140">
            <v>21.212280990259224</v>
          </cell>
          <cell r="J140">
            <v>10.504417183422067</v>
          </cell>
          <cell r="K140">
            <v>6.6973694463325266</v>
          </cell>
          <cell r="M140">
            <v>2.1942259842706613E-4</v>
          </cell>
          <cell r="N140">
            <v>3.8991429210114145E-4</v>
          </cell>
          <cell r="O140">
            <v>2.4877312620698734E-4</v>
          </cell>
          <cell r="P140">
            <v>4.6871393068805299E-4</v>
          </cell>
        </row>
        <row r="141">
          <cell r="A141" t="str">
            <v>MNR</v>
          </cell>
          <cell r="B141" t="str">
            <v>VAR_fin</v>
          </cell>
          <cell r="C141" t="str">
            <v>SUP_MNRBIO</v>
          </cell>
          <cell r="E141">
            <v>3.7980817084229987</v>
          </cell>
          <cell r="F141">
            <v>9.9241542890025212</v>
          </cell>
          <cell r="G141">
            <v>12.539522667193761</v>
          </cell>
          <cell r="H141">
            <v>12.540425683308156</v>
          </cell>
          <cell r="I141">
            <v>12.540427059556002</v>
          </cell>
          <cell r="J141">
            <v>12.5429870583417</v>
          </cell>
          <cell r="K141">
            <v>12.599408174616816</v>
          </cell>
          <cell r="L141">
            <v>18.8129182966542</v>
          </cell>
          <cell r="M141">
            <v>18.812919016345045</v>
          </cell>
          <cell r="N141">
            <v>18.812934344302008</v>
          </cell>
          <cell r="O141">
            <v>18.812944837978549</v>
          </cell>
          <cell r="P141">
            <v>18.814402497595562</v>
          </cell>
        </row>
        <row r="142">
          <cell r="A142" t="str">
            <v>TNGA</v>
          </cell>
          <cell r="B142" t="str">
            <v>VAR_fout</v>
          </cell>
          <cell r="C142" t="str">
            <v>D-TNGA</v>
          </cell>
          <cell r="E142">
            <v>0.26335203663195994</v>
          </cell>
          <cell r="F142">
            <v>0.16563754798198696</v>
          </cell>
          <cell r="G142">
            <v>0.23971390295712375</v>
          </cell>
          <cell r="H142">
            <v>6.7224929452907442E-3</v>
          </cell>
          <cell r="I142">
            <v>2.7048394240401768E-3</v>
          </cell>
          <cell r="J142">
            <v>2.811808062180681E-3</v>
          </cell>
          <cell r="K142">
            <v>4.0705660262302995E-3</v>
          </cell>
          <cell r="L142">
            <v>2.6795837168055933E-3</v>
          </cell>
        </row>
        <row r="143">
          <cell r="A143" t="str">
            <v>WOD</v>
          </cell>
          <cell r="B143" t="str">
            <v>VAR_fin</v>
          </cell>
          <cell r="C143" t="str">
            <v>D-CWOD</v>
          </cell>
          <cell r="E143">
            <v>9.5871380556800165</v>
          </cell>
          <cell r="F143">
            <v>10.113222687634456</v>
          </cell>
          <cell r="G143">
            <v>9.8755360732075079</v>
          </cell>
          <cell r="H143">
            <v>8.3248978750649893</v>
          </cell>
          <cell r="I143">
            <v>8.6630192664736168</v>
          </cell>
          <cell r="J143">
            <v>9.1183373370764826</v>
          </cell>
          <cell r="K143">
            <v>9.180131506725159</v>
          </cell>
          <cell r="L143">
            <v>26.92080324608435</v>
          </cell>
          <cell r="M143">
            <v>28.294030651749161</v>
          </cell>
          <cell r="N143">
            <v>27.969658694395367</v>
          </cell>
          <cell r="O143">
            <v>29.351425869497007</v>
          </cell>
          <cell r="P143">
            <v>29.592432829315111</v>
          </cell>
        </row>
        <row r="144">
          <cell r="A144" t="str">
            <v>GSL</v>
          </cell>
          <cell r="B144" t="str">
            <v>VAR_fout</v>
          </cell>
          <cell r="C144" t="str">
            <v>SUP_H2GSL</v>
          </cell>
          <cell r="J144">
            <v>0.28030791091030671</v>
          </cell>
          <cell r="K144">
            <v>0.16172549983242873</v>
          </cell>
          <cell r="L144">
            <v>0.35074076172040763</v>
          </cell>
          <cell r="M144">
            <v>6.6578455752357185E-2</v>
          </cell>
          <cell r="N144">
            <v>0.10876790490594619</v>
          </cell>
          <cell r="O144">
            <v>9.9437567740546018E-2</v>
          </cell>
          <cell r="P144">
            <v>8.5046989997583824E-2</v>
          </cell>
        </row>
        <row r="145">
          <cell r="A145" t="str">
            <v>GSL</v>
          </cell>
          <cell r="B145" t="str">
            <v>VAR_fin</v>
          </cell>
          <cell r="C145" t="str">
            <v>D-TGSL</v>
          </cell>
          <cell r="E145">
            <v>79.762172764830567</v>
          </cell>
          <cell r="F145">
            <v>75.956147389792022</v>
          </cell>
          <cell r="G145">
            <v>79.168575635032596</v>
          </cell>
          <cell r="H145">
            <v>48.356349849880637</v>
          </cell>
          <cell r="I145">
            <v>21.788365177934992</v>
          </cell>
          <cell r="J145">
            <v>10.068237014398052</v>
          </cell>
          <cell r="K145">
            <v>3.0279322157130881</v>
          </cell>
          <cell r="L145">
            <v>0.35074076172040763</v>
          </cell>
          <cell r="M145">
            <v>0.23013030942652973</v>
          </cell>
          <cell r="N145">
            <v>0.20772643286112141</v>
          </cell>
          <cell r="O145">
            <v>0.18948234330386721</v>
          </cell>
          <cell r="P145">
            <v>0.16149117479570227</v>
          </cell>
        </row>
        <row r="146">
          <cell r="A146" t="str">
            <v>IBIO</v>
          </cell>
          <cell r="B146" t="str">
            <v>VAR_fout</v>
          </cell>
          <cell r="C146" t="str">
            <v>D-IBIO</v>
          </cell>
          <cell r="E146">
            <v>0.43672636444825019</v>
          </cell>
          <cell r="F146">
            <v>0.55206537324846738</v>
          </cell>
          <cell r="G146">
            <v>2.8956670014089534</v>
          </cell>
          <cell r="H146">
            <v>6.3347646795463506</v>
          </cell>
          <cell r="I146">
            <v>6.3347804753735115</v>
          </cell>
          <cell r="J146">
            <v>6.3347816822059366</v>
          </cell>
          <cell r="K146">
            <v>6.3347825780289613</v>
          </cell>
          <cell r="L146">
            <v>6.3347844294410445</v>
          </cell>
          <cell r="M146">
            <v>6.3347861514491237</v>
          </cell>
          <cell r="N146">
            <v>6.3347944420729023</v>
          </cell>
          <cell r="O146">
            <v>6.3348005298375467</v>
          </cell>
          <cell r="P146">
            <v>6.3348300350030797</v>
          </cell>
        </row>
        <row r="147">
          <cell r="A147" t="str">
            <v>SNGA</v>
          </cell>
          <cell r="B147" t="str">
            <v>VAR_fout</v>
          </cell>
          <cell r="C147" t="str">
            <v>D-SNGA</v>
          </cell>
          <cell r="E147">
            <v>27.209569693068662</v>
          </cell>
          <cell r="F147">
            <v>28.48835243138095</v>
          </cell>
          <cell r="G147">
            <v>29.256691471030791</v>
          </cell>
          <cell r="H147">
            <v>28.38783461282668</v>
          </cell>
          <cell r="I147">
            <v>28.413221239783386</v>
          </cell>
          <cell r="J147">
            <v>27.689747744658231</v>
          </cell>
          <cell r="K147">
            <v>23.237251879268374</v>
          </cell>
          <cell r="L147">
            <v>8.281103724913967</v>
          </cell>
          <cell r="M147">
            <v>4.9703814056563873</v>
          </cell>
          <cell r="N147">
            <v>3.3551357096142582</v>
          </cell>
          <cell r="O147">
            <v>2.7296384236551341</v>
          </cell>
          <cell r="P147">
            <v>2.2822934782044939</v>
          </cell>
        </row>
        <row r="148">
          <cell r="A148" t="str">
            <v>AUX_H2STG_IN</v>
          </cell>
          <cell r="B148" t="str">
            <v>VAR_fin</v>
          </cell>
          <cell r="C148" t="str">
            <v>STG-H2</v>
          </cell>
          <cell r="H148">
            <v>6.1252772557439141E-6</v>
          </cell>
          <cell r="I148">
            <v>3.5373364155718575E-5</v>
          </cell>
          <cell r="J148">
            <v>4.0515828089101394E-5</v>
          </cell>
          <cell r="K148">
            <v>3.5267542900016446E-5</v>
          </cell>
          <cell r="L148">
            <v>5.3105423464584498E-5</v>
          </cell>
          <cell r="M148">
            <v>3.4344285680590805E-5</v>
          </cell>
          <cell r="N148">
            <v>5.1991949161745549E-5</v>
          </cell>
          <cell r="O148">
            <v>5.3248272393296228E-5</v>
          </cell>
          <cell r="P148">
            <v>1.1373963506215718E-4</v>
          </cell>
        </row>
        <row r="149">
          <cell r="A149" t="str">
            <v>AUX_H2STG_IN</v>
          </cell>
          <cell r="B149" t="str">
            <v>VAR_fin</v>
          </cell>
          <cell r="C149" t="str">
            <v>STG-H2</v>
          </cell>
          <cell r="H149">
            <v>2.3572309712797289E-5</v>
          </cell>
          <cell r="I149">
            <v>1.604948847224743E-4</v>
          </cell>
          <cell r="J149">
            <v>1.9099868175035545E-4</v>
          </cell>
          <cell r="K149">
            <v>1.8555402823219105E-4</v>
          </cell>
          <cell r="L149">
            <v>2.5078067170188664E-4</v>
          </cell>
          <cell r="M149">
            <v>1.555584744305085E-4</v>
          </cell>
          <cell r="N149">
            <v>2.2412475737361773E-4</v>
          </cell>
          <cell r="O149">
            <v>2.3670298574927657E-4</v>
          </cell>
          <cell r="P149">
            <v>5.0757778749457568E-4</v>
          </cell>
        </row>
        <row r="150">
          <cell r="A150" t="str">
            <v>AUX_H2STG_IN</v>
          </cell>
          <cell r="B150" t="str">
            <v>VAR_fin</v>
          </cell>
          <cell r="C150" t="str">
            <v>STG-H2</v>
          </cell>
          <cell r="H150">
            <v>4.0950600853535684E-6</v>
          </cell>
          <cell r="I150">
            <v>1.1100435815187609E-5</v>
          </cell>
          <cell r="J150">
            <v>3.0299753245572543E-5</v>
          </cell>
          <cell r="K150">
            <v>2.8851104674362841E-5</v>
          </cell>
          <cell r="L150">
            <v>3.7774308674054498E-5</v>
          </cell>
          <cell r="M150">
            <v>1.8315774317530569E-5</v>
          </cell>
          <cell r="N150">
            <v>2.5239110833818956E-5</v>
          </cell>
          <cell r="O150">
            <v>2.480237285277303E-5</v>
          </cell>
          <cell r="P150">
            <v>5.5608224738392081E-5</v>
          </cell>
        </row>
        <row r="151">
          <cell r="A151" t="str">
            <v>AUX_H2STG_IN</v>
          </cell>
          <cell r="B151" t="str">
            <v>VAR_fin</v>
          </cell>
          <cell r="C151" t="str">
            <v>STG-H2</v>
          </cell>
          <cell r="H151">
            <v>5.5967241412998907E-6</v>
          </cell>
          <cell r="I151">
            <v>3.3497956390865295E-5</v>
          </cell>
          <cell r="J151">
            <v>3.029861170245873E-5</v>
          </cell>
          <cell r="K151">
            <v>2.7452437280535604E-5</v>
          </cell>
          <cell r="L151">
            <v>4.0989500380842301E-5</v>
          </cell>
          <cell r="M151">
            <v>2.8379433101834714E-5</v>
          </cell>
          <cell r="N151">
            <v>4.5305853717989627E-5</v>
          </cell>
          <cell r="O151">
            <v>4.6087492858080561E-5</v>
          </cell>
          <cell r="P151">
            <v>9.8347437620180598E-5</v>
          </cell>
        </row>
        <row r="152">
          <cell r="A152" t="str">
            <v>AUX_H2STG_IN</v>
          </cell>
          <cell r="B152" t="str">
            <v>VAR_fin</v>
          </cell>
          <cell r="C152" t="str">
            <v>STG-H2</v>
          </cell>
          <cell r="H152">
            <v>7.7552482303999543E-6</v>
          </cell>
          <cell r="I152">
            <v>8.0523128360702941E-5</v>
          </cell>
          <cell r="J152">
            <v>8.9884488713222393E-5</v>
          </cell>
          <cell r="K152">
            <v>9.3982943377276181E-5</v>
          </cell>
          <cell r="L152">
            <v>1.1891143918240538E-4</v>
          </cell>
          <cell r="M152">
            <v>7.451898133055243E-5</v>
          </cell>
          <cell r="N152">
            <v>1.0158784366006394E-4</v>
          </cell>
          <cell r="O152">
            <v>1.1256484764512605E-4</v>
          </cell>
          <cell r="P152">
            <v>2.3988249007384559E-4</v>
          </cell>
        </row>
        <row r="153">
          <cell r="A153" t="str">
            <v>H2</v>
          </cell>
          <cell r="B153" t="str">
            <v>VAR_fout</v>
          </cell>
          <cell r="C153" t="str">
            <v>SUP_NGAH2</v>
          </cell>
          <cell r="L153">
            <v>7.3444749133003945E-5</v>
          </cell>
          <cell r="M153">
            <v>6.9032723129057203E-5</v>
          </cell>
          <cell r="N153">
            <v>1.0866025091135477E-4</v>
          </cell>
          <cell r="O153">
            <v>9.6196480656016452E-5</v>
          </cell>
          <cell r="P153">
            <v>2.1953831819473667E-4</v>
          </cell>
        </row>
        <row r="154">
          <cell r="A154" t="str">
            <v>H2</v>
          </cell>
          <cell r="B154" t="str">
            <v>VAR_fout</v>
          </cell>
          <cell r="C154" t="str">
            <v>STG-H2</v>
          </cell>
          <cell r="H154">
            <v>5.8614316234090961E-6</v>
          </cell>
          <cell r="I154">
            <v>3.440069985395707E-5</v>
          </cell>
          <cell r="J154">
            <v>4.2299207711190664E-5</v>
          </cell>
          <cell r="K154">
            <v>4.2359313595259785E-5</v>
          </cell>
          <cell r="L154">
            <v>5.833129514571884E-5</v>
          </cell>
          <cell r="M154">
            <v>3.4180743807956973E-5</v>
          </cell>
          <cell r="N154">
            <v>4.9803722276379118E-5</v>
          </cell>
          <cell r="O154">
            <v>5.1273925884859899E-5</v>
          </cell>
          <cell r="P154">
            <v>1.1026964488371737E-4</v>
          </cell>
        </row>
        <row r="155">
          <cell r="A155" t="str">
            <v>H2</v>
          </cell>
          <cell r="B155" t="str">
            <v>VAR_fout</v>
          </cell>
          <cell r="C155" t="str">
            <v>STG-H2</v>
          </cell>
          <cell r="H155">
            <v>2.3334885116336358E-5</v>
          </cell>
          <cell r="I155">
            <v>1.5889556739146599E-4</v>
          </cell>
          <cell r="J155">
            <v>1.8908519281023032E-4</v>
          </cell>
          <cell r="K155">
            <v>1.8369557350082576E-4</v>
          </cell>
          <cell r="L155">
            <v>2.4826869606751223E-4</v>
          </cell>
          <cell r="M155">
            <v>1.5399842613004122E-4</v>
          </cell>
          <cell r="N155">
            <v>2.2188235773457662E-4</v>
          </cell>
          <cell r="O155">
            <v>2.3432357501494033E-4</v>
          </cell>
          <cell r="P155">
            <v>5.0250133470123996E-4</v>
          </cell>
        </row>
        <row r="156">
          <cell r="A156" t="str">
            <v>H2</v>
          </cell>
          <cell r="B156" t="str">
            <v>VAR_fout</v>
          </cell>
          <cell r="C156" t="str">
            <v>STG-H2</v>
          </cell>
          <cell r="H156">
            <v>7.3840995446942589E-6</v>
          </cell>
          <cell r="I156">
            <v>6.5583687479407561E-5</v>
          </cell>
          <cell r="J156">
            <v>6.1374222905406778E-5</v>
          </cell>
          <cell r="K156">
            <v>5.7627608899220062E-5</v>
          </cell>
          <cell r="L156">
            <v>8.2662272363233301E-5</v>
          </cell>
          <cell r="M156">
            <v>6.3901195422691874E-5</v>
          </cell>
          <cell r="N156">
            <v>9.1558186169370982E-5</v>
          </cell>
          <cell r="O156">
            <v>1.0317698143584427E-4</v>
          </cell>
          <cell r="P156">
            <v>2.1607548430741598E-4</v>
          </cell>
        </row>
        <row r="157">
          <cell r="A157" t="str">
            <v>H2</v>
          </cell>
          <cell r="B157" t="str">
            <v>VAR_fout</v>
          </cell>
          <cell r="C157" t="str">
            <v>STG-H2</v>
          </cell>
          <cell r="H157">
            <v>5.1718274280117849E-6</v>
          </cell>
          <cell r="I157">
            <v>3.2789053801938952E-5</v>
          </cell>
          <cell r="J157">
            <v>5.5309051033854797E-5</v>
          </cell>
          <cell r="K157">
            <v>5.4574961475917305E-5</v>
          </cell>
          <cell r="L157">
            <v>7.1907579258123673E-5</v>
          </cell>
          <cell r="M157">
            <v>3.4927412023049881E-5</v>
          </cell>
          <cell r="N157">
            <v>4.9544747519714434E-5</v>
          </cell>
          <cell r="O157">
            <v>4.8879178912637219E-5</v>
          </cell>
          <cell r="P157">
            <v>1.0534451009348367E-4</v>
          </cell>
        </row>
        <row r="158">
          <cell r="A158" t="str">
            <v>H2</v>
          </cell>
          <cell r="B158" t="str">
            <v>VAR_fout</v>
          </cell>
          <cell r="C158" t="str">
            <v>STG-H2</v>
          </cell>
          <cell r="H158">
            <v>4.9175265202212742E-6</v>
          </cell>
          <cell r="I158">
            <v>2.6122126256162556E-5</v>
          </cell>
          <cell r="J158">
            <v>3.0102711159778016E-5</v>
          </cell>
          <cell r="K158">
            <v>2.9133689530428432E-5</v>
          </cell>
          <cell r="L158">
            <v>3.5367549300436647E-5</v>
          </cell>
          <cell r="M158">
            <v>2.0989074876342453E-5</v>
          </cell>
          <cell r="N158">
            <v>3.0975701769111457E-5</v>
          </cell>
          <cell r="O158">
            <v>3.0993488781599118E-5</v>
          </cell>
          <cell r="P158">
            <v>7.0811695416621325E-5</v>
          </cell>
        </row>
        <row r="159">
          <cell r="A159" t="str">
            <v>H2</v>
          </cell>
          <cell r="B159" t="str">
            <v>VAR_fout</v>
          </cell>
          <cell r="C159" t="str">
            <v>IMPH2</v>
          </cell>
          <cell r="J159">
            <v>5.4832120619479729</v>
          </cell>
          <cell r="K159">
            <v>9.2130894171516964</v>
          </cell>
          <cell r="L159">
            <v>9.983166329304618</v>
          </cell>
          <cell r="M159">
            <v>6.7781602497908251</v>
          </cell>
          <cell r="N159">
            <v>5.0933526685761707</v>
          </cell>
          <cell r="O159">
            <v>5.1804148504070104</v>
          </cell>
          <cell r="P159">
            <v>5.0701936112871593</v>
          </cell>
        </row>
        <row r="160">
          <cell r="A160" t="str">
            <v>H2</v>
          </cell>
          <cell r="B160" t="str">
            <v>VAR_fout</v>
          </cell>
          <cell r="C160" t="str">
            <v>SUP_WODH2</v>
          </cell>
          <cell r="L160">
            <v>6.0669600254648617E-5</v>
          </cell>
          <cell r="M160">
            <v>5.8346111455778587E-5</v>
          </cell>
          <cell r="N160">
            <v>2.0013066180187521E-4</v>
          </cell>
          <cell r="O160">
            <v>8.4317218238073987E-5</v>
          </cell>
          <cell r="P160">
            <v>4.5911614733571782E-4</v>
          </cell>
        </row>
        <row r="161">
          <cell r="A161" t="str">
            <v>H2</v>
          </cell>
          <cell r="B161" t="str">
            <v>VAR_fout</v>
          </cell>
          <cell r="C161" t="str">
            <v>SUP_ELCH2_SOEC</v>
          </cell>
          <cell r="J161">
            <v>7.4687798214147973E-3</v>
          </cell>
          <cell r="K161">
            <v>9.0434700702268309E-3</v>
          </cell>
          <cell r="L161">
            <v>3.1275510891190005E-3</v>
          </cell>
          <cell r="M161">
            <v>7.2831916598812205E-3</v>
          </cell>
          <cell r="N161">
            <v>1.0663835358910526E-2</v>
          </cell>
          <cell r="O161">
            <v>8.1973388822384127E-3</v>
          </cell>
          <cell r="P161">
            <v>1.5872971626541485E-2</v>
          </cell>
        </row>
        <row r="162">
          <cell r="A162" t="str">
            <v>H2</v>
          </cell>
          <cell r="B162" t="str">
            <v>VAR_fout</v>
          </cell>
          <cell r="C162" t="str">
            <v>SUP_WODH2CCS</v>
          </cell>
          <cell r="L162">
            <v>4.8251443471667015</v>
          </cell>
          <cell r="M162">
            <v>4.8292836025681751</v>
          </cell>
          <cell r="N162">
            <v>5.3522526378292419</v>
          </cell>
          <cell r="O162">
            <v>5.3523588748445592</v>
          </cell>
          <cell r="P162">
            <v>5.3518537131093193</v>
          </cell>
        </row>
        <row r="163">
          <cell r="A163" t="str">
            <v>H2</v>
          </cell>
          <cell r="B163" t="str">
            <v>VAR_fout</v>
          </cell>
          <cell r="C163" t="str">
            <v>SUP_NGAH2CCS</v>
          </cell>
          <cell r="L163">
            <v>1.2828290349776235E-4</v>
          </cell>
          <cell r="M163">
            <v>1.3225775958490809E-4</v>
          </cell>
          <cell r="N163">
            <v>1.2722337875606716E-4</v>
          </cell>
          <cell r="O163">
            <v>1.6689948749320507E-4</v>
          </cell>
          <cell r="P163">
            <v>2.4796897130692204E-4</v>
          </cell>
        </row>
        <row r="164">
          <cell r="A164" t="str">
            <v>H2</v>
          </cell>
          <cell r="B164" t="str">
            <v>VAR_fout</v>
          </cell>
          <cell r="C164" t="str">
            <v>SUP_ELCH2</v>
          </cell>
          <cell r="E164">
            <v>3.3967007847175708E-3</v>
          </cell>
          <cell r="F164">
            <v>5.0374665960960822E-3</v>
          </cell>
          <cell r="G164">
            <v>5.0563391603492382E-3</v>
          </cell>
          <cell r="H164">
            <v>4.1630061045321201E-2</v>
          </cell>
          <cell r="I164">
            <v>11.644186490009545</v>
          </cell>
          <cell r="J164">
            <v>11.635947416474943</v>
          </cell>
          <cell r="K164">
            <v>11.634217932132692</v>
          </cell>
          <cell r="L164">
            <v>13.360609617940884</v>
          </cell>
          <cell r="M164">
            <v>17.722496424883222</v>
          </cell>
          <cell r="N164">
            <v>19.056442825598005</v>
          </cell>
          <cell r="O164">
            <v>19.198416841239169</v>
          </cell>
          <cell r="P164">
            <v>19.232151627170023</v>
          </cell>
        </row>
        <row r="165">
          <cell r="A165" t="str">
            <v>H2</v>
          </cell>
          <cell r="B165" t="str">
            <v>VAR_fout</v>
          </cell>
          <cell r="C165" t="str">
            <v>D-DH2</v>
          </cell>
          <cell r="H165">
            <v>3.3347136042142132E-6</v>
          </cell>
          <cell r="I165">
            <v>3.5643174988652743E-4</v>
          </cell>
          <cell r="J165">
            <v>1.1220372438463994E-3</v>
          </cell>
          <cell r="K165">
            <v>1.2802992971250185E-3</v>
          </cell>
          <cell r="L165">
            <v>1.3204219047707572E-3</v>
          </cell>
          <cell r="M165">
            <v>1.3212598046718081E-3</v>
          </cell>
          <cell r="N165">
            <v>1.3239880257425395E-3</v>
          </cell>
          <cell r="O165">
            <v>9.0452280709676046E-4</v>
          </cell>
          <cell r="P165">
            <v>1.1699586555942447E-3</v>
          </cell>
        </row>
        <row r="166">
          <cell r="A166" t="str">
            <v>H2</v>
          </cell>
          <cell r="B166" t="str">
            <v>VAR_fin</v>
          </cell>
          <cell r="C166" t="str">
            <v>STG-H2</v>
          </cell>
          <cell r="H166">
            <v>6.1252772557439141E-6</v>
          </cell>
          <cell r="I166">
            <v>3.5373364155718575E-5</v>
          </cell>
          <cell r="J166">
            <v>4.0515828089101394E-5</v>
          </cell>
          <cell r="K166">
            <v>3.5267542900016446E-5</v>
          </cell>
          <cell r="L166">
            <v>5.3105423464584498E-5</v>
          </cell>
          <cell r="M166">
            <v>3.4344285680590805E-5</v>
          </cell>
          <cell r="N166">
            <v>5.1991949161745549E-5</v>
          </cell>
          <cell r="O166">
            <v>5.3248272393296228E-5</v>
          </cell>
          <cell r="P166">
            <v>1.1373963506215718E-4</v>
          </cell>
        </row>
        <row r="167">
          <cell r="A167" t="str">
            <v>H2</v>
          </cell>
          <cell r="B167" t="str">
            <v>VAR_fin</v>
          </cell>
          <cell r="C167" t="str">
            <v>STG-H2</v>
          </cell>
          <cell r="H167">
            <v>2.3572309712797289E-5</v>
          </cell>
          <cell r="I167">
            <v>1.604948847224743E-4</v>
          </cell>
          <cell r="J167">
            <v>1.9099868175035545E-4</v>
          </cell>
          <cell r="K167">
            <v>1.8555402823219105E-4</v>
          </cell>
          <cell r="L167">
            <v>2.5078067170188664E-4</v>
          </cell>
          <cell r="M167">
            <v>1.555584744305085E-4</v>
          </cell>
          <cell r="N167">
            <v>2.2412475737361773E-4</v>
          </cell>
          <cell r="O167">
            <v>2.3670298574927657E-4</v>
          </cell>
          <cell r="P167">
            <v>5.0757778749457568E-4</v>
          </cell>
        </row>
        <row r="168">
          <cell r="A168" t="str">
            <v>H2</v>
          </cell>
          <cell r="B168" t="str">
            <v>VAR_fin</v>
          </cell>
          <cell r="C168" t="str">
            <v>STG-H2</v>
          </cell>
          <cell r="H168">
            <v>4.0950600853535684E-6</v>
          </cell>
          <cell r="I168">
            <v>1.1100435815187609E-5</v>
          </cell>
          <cell r="J168">
            <v>3.0299753245572543E-5</v>
          </cell>
          <cell r="K168">
            <v>2.8851104674362841E-5</v>
          </cell>
          <cell r="L168">
            <v>3.7774308674054498E-5</v>
          </cell>
          <cell r="M168">
            <v>1.8315774317530569E-5</v>
          </cell>
          <cell r="N168">
            <v>2.5239110833818956E-5</v>
          </cell>
          <cell r="O168">
            <v>2.480237285277303E-5</v>
          </cell>
          <cell r="P168">
            <v>5.5608224738392081E-5</v>
          </cell>
        </row>
        <row r="169">
          <cell r="A169" t="str">
            <v>H2</v>
          </cell>
          <cell r="B169" t="str">
            <v>VAR_fin</v>
          </cell>
          <cell r="C169" t="str">
            <v>STG-H2</v>
          </cell>
          <cell r="H169">
            <v>5.5967241412998907E-6</v>
          </cell>
          <cell r="I169">
            <v>3.3497956390865295E-5</v>
          </cell>
          <cell r="J169">
            <v>3.029861170245873E-5</v>
          </cell>
          <cell r="K169">
            <v>2.7452437280535604E-5</v>
          </cell>
          <cell r="L169">
            <v>4.0989500380842301E-5</v>
          </cell>
          <cell r="M169">
            <v>2.8379433101834714E-5</v>
          </cell>
          <cell r="N169">
            <v>4.5305853717989627E-5</v>
          </cell>
          <cell r="O169">
            <v>4.6087492858080561E-5</v>
          </cell>
          <cell r="P169">
            <v>9.8347437620180598E-5</v>
          </cell>
        </row>
        <row r="170">
          <cell r="A170" t="str">
            <v>H2</v>
          </cell>
          <cell r="B170" t="str">
            <v>VAR_fin</v>
          </cell>
          <cell r="C170" t="str">
            <v>STG-H2</v>
          </cell>
          <cell r="H170">
            <v>7.7552482303999543E-6</v>
          </cell>
          <cell r="I170">
            <v>8.0523128360702941E-5</v>
          </cell>
          <cell r="J170">
            <v>8.9884488713222393E-5</v>
          </cell>
          <cell r="K170">
            <v>9.3982943377276181E-5</v>
          </cell>
          <cell r="L170">
            <v>1.1891143918240538E-4</v>
          </cell>
          <cell r="M170">
            <v>7.451898133055243E-5</v>
          </cell>
          <cell r="N170">
            <v>1.0158784366006394E-4</v>
          </cell>
          <cell r="O170">
            <v>1.1256484764512605E-4</v>
          </cell>
          <cell r="P170">
            <v>2.3988249007384559E-4</v>
          </cell>
        </row>
        <row r="171">
          <cell r="A171" t="str">
            <v>H2</v>
          </cell>
          <cell r="B171" t="str">
            <v>VAR_fin</v>
          </cell>
          <cell r="C171" t="str">
            <v>SUP_H2NGA</v>
          </cell>
          <cell r="J171">
            <v>7.4370940180894587E-4</v>
          </cell>
          <cell r="K171">
            <v>3.3086807634670094E-4</v>
          </cell>
          <cell r="L171">
            <v>4.7377774535084349E-2</v>
          </cell>
          <cell r="M171">
            <v>1.6515025396940115</v>
          </cell>
          <cell r="N171">
            <v>3.073020739960747</v>
          </cell>
          <cell r="O171">
            <v>3.6088386482554253</v>
          </cell>
          <cell r="P171">
            <v>3.6339058145673353</v>
          </cell>
        </row>
        <row r="172">
          <cell r="A172" t="str">
            <v>H2</v>
          </cell>
          <cell r="B172" t="str">
            <v>VAR_fin</v>
          </cell>
          <cell r="C172" t="str">
            <v>D-ENGA</v>
          </cell>
          <cell r="J172">
            <v>3.408536918636974E-7</v>
          </cell>
          <cell r="K172">
            <v>2.3858306220801192E-7</v>
          </cell>
          <cell r="L172">
            <v>3.4062447765102165E-3</v>
          </cell>
          <cell r="M172">
            <v>2.9819201917344333E-3</v>
          </cell>
          <cell r="N172">
            <v>2.759586276854107E-3</v>
          </cell>
          <cell r="O172">
            <v>2.7620210045774646E-3</v>
          </cell>
          <cell r="P172">
            <v>2.7334111123701855E-3</v>
          </cell>
        </row>
        <row r="173">
          <cell r="A173" t="str">
            <v>H2</v>
          </cell>
          <cell r="B173" t="str">
            <v>VAR_fin</v>
          </cell>
          <cell r="C173" t="str">
            <v>D-TNGA</v>
          </cell>
          <cell r="F173">
            <v>1.961697300497237E-3</v>
          </cell>
          <cell r="G173">
            <v>2.0673641999550511E-3</v>
          </cell>
          <cell r="H173">
            <v>3.7827766328107473E-5</v>
          </cell>
          <cell r="I173">
            <v>2.414638316364126E-5</v>
          </cell>
          <cell r="J173">
            <v>4.1941543791965285E-5</v>
          </cell>
          <cell r="K173">
            <v>6.0797844526015961E-5</v>
          </cell>
          <cell r="L173">
            <v>5.9472425074166095E-5</v>
          </cell>
        </row>
        <row r="174">
          <cell r="A174" t="str">
            <v>H2</v>
          </cell>
          <cell r="B174" t="str">
            <v>VAR_fin</v>
          </cell>
          <cell r="C174" t="str">
            <v>SUP_H2GSL</v>
          </cell>
          <cell r="J174">
            <v>0.40043987272900999</v>
          </cell>
          <cell r="K174">
            <v>0.23103642833204141</v>
          </cell>
          <cell r="L174">
            <v>0.50105823102915437</v>
          </cell>
          <cell r="M174">
            <v>9.5112079646224604E-2</v>
          </cell>
          <cell r="N174">
            <v>0.15538272129420891</v>
          </cell>
          <cell r="O174">
            <v>0.14205366820078014</v>
          </cell>
          <cell r="P174">
            <v>0.12149569999654848</v>
          </cell>
        </row>
        <row r="175">
          <cell r="A175" t="str">
            <v>H2</v>
          </cell>
          <cell r="B175" t="str">
            <v>VAR_fin</v>
          </cell>
          <cell r="C175" t="str">
            <v>D-SNGA</v>
          </cell>
          <cell r="H175">
            <v>1.285161250670617E-3</v>
          </cell>
          <cell r="I175">
            <v>4.1276218401732956E-2</v>
          </cell>
          <cell r="J175">
            <v>0.24599018159377065</v>
          </cell>
          <cell r="K175">
            <v>0.54234709453695606</v>
          </cell>
          <cell r="L175">
            <v>0.25636328842390382</v>
          </cell>
          <cell r="M175">
            <v>0.15390739736284376</v>
          </cell>
          <cell r="N175">
            <v>5.8688034202393664E-2</v>
          </cell>
          <cell r="O175">
            <v>3.3382203332718345E-2</v>
          </cell>
          <cell r="P175">
            <v>2.4765428747351312E-2</v>
          </cell>
        </row>
        <row r="176">
          <cell r="A176" t="str">
            <v>H2</v>
          </cell>
          <cell r="B176" t="str">
            <v>VAR_fin</v>
          </cell>
          <cell r="C176" t="str">
            <v>D-RNGA</v>
          </cell>
          <cell r="H176">
            <v>1.3080146621727493E-3</v>
          </cell>
          <cell r="I176">
            <v>6.3917491815449839E-2</v>
          </cell>
          <cell r="J176">
            <v>0.36315059428518809</v>
          </cell>
          <cell r="K176">
            <v>1.0097585720903137</v>
          </cell>
          <cell r="L176">
            <v>0.60574166025302367</v>
          </cell>
          <cell r="M176">
            <v>0.13346050733399686</v>
          </cell>
          <cell r="N176">
            <v>0.13317160814360723</v>
          </cell>
          <cell r="O176">
            <v>9.4074810308450246E-2</v>
          </cell>
          <cell r="P176">
            <v>6.6993818090041513E-2</v>
          </cell>
        </row>
        <row r="177">
          <cell r="A177" t="str">
            <v>H2</v>
          </cell>
          <cell r="B177" t="str">
            <v>VAR_fin</v>
          </cell>
          <cell r="C177" t="str">
            <v>D-INGA</v>
          </cell>
          <cell r="H177">
            <v>3.5979826942958863E-2</v>
          </cell>
          <cell r="I177">
            <v>0.43025555463182336</v>
          </cell>
          <cell r="J177">
            <v>0.42915092034239444</v>
          </cell>
          <cell r="K177">
            <v>0.36333718080231103</v>
          </cell>
          <cell r="L177">
            <v>0.15273137331501618</v>
          </cell>
          <cell r="M177">
            <v>7.9700423185389779E-2</v>
          </cell>
          <cell r="N177">
            <v>7.8453865309603923E-2</v>
          </cell>
          <cell r="O177">
            <v>7.9149080523486626E-2</v>
          </cell>
          <cell r="P177">
            <v>7.6530366950015166E-2</v>
          </cell>
        </row>
        <row r="178">
          <cell r="A178" t="str">
            <v>H2</v>
          </cell>
          <cell r="B178" t="str">
            <v>VAR_fin</v>
          </cell>
          <cell r="C178" t="str">
            <v>SUP_H2DSL</v>
          </cell>
          <cell r="J178">
            <v>6.515255324069576E-3</v>
          </cell>
          <cell r="K178">
            <v>3.3583457951569958E-3</v>
          </cell>
          <cell r="L178">
            <v>7.3994496665528758E-4</v>
          </cell>
          <cell r="M178">
            <v>1.1417406188331668E-3</v>
          </cell>
          <cell r="N178">
            <v>2.2685773536070299E-3</v>
          </cell>
          <cell r="O178">
            <v>1.6309489314987743E-3</v>
          </cell>
          <cell r="P178">
            <v>3.6301677682135454E-3</v>
          </cell>
        </row>
        <row r="179">
          <cell r="A179" t="str">
            <v>AUX_H2STG_OUT</v>
          </cell>
          <cell r="B179" t="str">
            <v>VAR_fout</v>
          </cell>
          <cell r="C179" t="str">
            <v>STG-H2</v>
          </cell>
          <cell r="H179">
            <v>5.8614316234090961E-6</v>
          </cell>
          <cell r="I179">
            <v>3.440069985395707E-5</v>
          </cell>
          <cell r="J179">
            <v>4.2299207711190664E-5</v>
          </cell>
          <cell r="K179">
            <v>4.2359313595259785E-5</v>
          </cell>
          <cell r="L179">
            <v>5.833129514571884E-5</v>
          </cell>
          <cell r="M179">
            <v>3.4180743807956973E-5</v>
          </cell>
          <cell r="N179">
            <v>4.9803722276379118E-5</v>
          </cell>
          <cell r="O179">
            <v>5.1273925884859899E-5</v>
          </cell>
          <cell r="P179">
            <v>1.1026964488371737E-4</v>
          </cell>
        </row>
        <row r="180">
          <cell r="A180" t="str">
            <v>AUX_H2STG_OUT</v>
          </cell>
          <cell r="B180" t="str">
            <v>VAR_fout</v>
          </cell>
          <cell r="C180" t="str">
            <v>STG-H2</v>
          </cell>
          <cell r="H180">
            <v>2.3334885116336358E-5</v>
          </cell>
          <cell r="I180">
            <v>1.5889556739146599E-4</v>
          </cell>
          <cell r="J180">
            <v>1.8908519281023034E-4</v>
          </cell>
          <cell r="K180">
            <v>1.8369557350082576E-4</v>
          </cell>
          <cell r="L180">
            <v>2.4826869606751223E-4</v>
          </cell>
          <cell r="M180">
            <v>1.5399842613004122E-4</v>
          </cell>
          <cell r="N180">
            <v>2.2188235773457662E-4</v>
          </cell>
          <cell r="O180">
            <v>2.3432357501494046E-4</v>
          </cell>
          <cell r="P180">
            <v>5.0250133470123996E-4</v>
          </cell>
        </row>
        <row r="181">
          <cell r="A181" t="str">
            <v>AUX_H2STG_OUT</v>
          </cell>
          <cell r="B181" t="str">
            <v>VAR_fout</v>
          </cell>
          <cell r="C181" t="str">
            <v>STG-H2</v>
          </cell>
          <cell r="H181">
            <v>7.3840995446942589E-6</v>
          </cell>
          <cell r="I181">
            <v>6.5583687479407561E-5</v>
          </cell>
          <cell r="J181">
            <v>6.1374222905406778E-5</v>
          </cell>
          <cell r="K181">
            <v>5.7627608899220062E-5</v>
          </cell>
          <cell r="L181">
            <v>8.2662272363233301E-5</v>
          </cell>
          <cell r="M181">
            <v>6.3901195422691874E-5</v>
          </cell>
          <cell r="N181">
            <v>9.1558186169370982E-5</v>
          </cell>
          <cell r="O181">
            <v>1.0317698143584453E-4</v>
          </cell>
          <cell r="P181">
            <v>2.1607548430741598E-4</v>
          </cell>
        </row>
        <row r="182">
          <cell r="A182" t="str">
            <v>AUX_H2STG_OUT</v>
          </cell>
          <cell r="B182" t="str">
            <v>VAR_fout</v>
          </cell>
          <cell r="C182" t="str">
            <v>STG-H2</v>
          </cell>
          <cell r="H182">
            <v>5.1718274280117849E-6</v>
          </cell>
          <cell r="I182">
            <v>3.2789053801938952E-5</v>
          </cell>
          <cell r="J182">
            <v>5.5309051033854797E-5</v>
          </cell>
          <cell r="K182">
            <v>5.4574961475917305E-5</v>
          </cell>
          <cell r="L182">
            <v>7.1907579258123673E-5</v>
          </cell>
          <cell r="M182">
            <v>3.4927412023049881E-5</v>
          </cell>
          <cell r="N182">
            <v>4.9544747519714434E-5</v>
          </cell>
          <cell r="O182">
            <v>4.8879178912637219E-5</v>
          </cell>
          <cell r="P182">
            <v>1.0534451009348367E-4</v>
          </cell>
        </row>
        <row r="183">
          <cell r="A183" t="str">
            <v>AUX_H2STG_OUT</v>
          </cell>
          <cell r="B183" t="str">
            <v>VAR_fout</v>
          </cell>
          <cell r="C183" t="str">
            <v>STG-H2</v>
          </cell>
          <cell r="H183">
            <v>4.9175265202212742E-6</v>
          </cell>
          <cell r="I183">
            <v>2.6122126256162556E-5</v>
          </cell>
          <cell r="J183">
            <v>3.010271115977807E-5</v>
          </cell>
          <cell r="K183">
            <v>2.9133689530428432E-5</v>
          </cell>
          <cell r="L183">
            <v>3.5367549300436647E-5</v>
          </cell>
          <cell r="M183">
            <v>2.0989074876342453E-5</v>
          </cell>
          <cell r="N183">
            <v>3.0975701769111457E-5</v>
          </cell>
          <cell r="O183">
            <v>3.0993488781599118E-5</v>
          </cell>
          <cell r="P183">
            <v>7.0811695416621325E-5</v>
          </cell>
        </row>
        <row r="184">
          <cell r="A184" t="str">
            <v>RNGA</v>
          </cell>
          <cell r="B184" t="str">
            <v>VAR_fout</v>
          </cell>
          <cell r="C184" t="str">
            <v>D-RNGA</v>
          </cell>
          <cell r="E184">
            <v>47.173451384944791</v>
          </cell>
          <cell r="F184">
            <v>48.283019541841782</v>
          </cell>
          <cell r="G184">
            <v>48.520438225582303</v>
          </cell>
          <cell r="H184">
            <v>52.82377972807322</v>
          </cell>
          <cell r="I184">
            <v>52.007405407768871</v>
          </cell>
          <cell r="J184">
            <v>52.067814653112073</v>
          </cell>
          <cell r="K184">
            <v>41.729669372980105</v>
          </cell>
          <cell r="L184">
            <v>19.5491822994511</v>
          </cell>
          <cell r="M184">
            <v>9.6819869632206235</v>
          </cell>
          <cell r="N184">
            <v>7.6386353154758648</v>
          </cell>
          <cell r="O184">
            <v>7.6370501640859816</v>
          </cell>
          <cell r="P184">
            <v>6.2109302047993085</v>
          </cell>
        </row>
        <row r="185">
          <cell r="A185" t="str">
            <v>CWOD</v>
          </cell>
          <cell r="B185" t="str">
            <v>VAR_fout</v>
          </cell>
          <cell r="C185" t="str">
            <v>D-CWOD</v>
          </cell>
          <cell r="E185">
            <v>9.5871380556800165</v>
          </cell>
          <cell r="F185">
            <v>10.113222687634456</v>
          </cell>
          <cell r="G185">
            <v>9.8755360732075079</v>
          </cell>
          <cell r="H185">
            <v>8.3248978750649893</v>
          </cell>
          <cell r="I185">
            <v>8.6630192664736168</v>
          </cell>
          <cell r="J185">
            <v>9.1183373370764826</v>
          </cell>
          <cell r="K185">
            <v>9.180131506725159</v>
          </cell>
          <cell r="L185">
            <v>26.92080324608435</v>
          </cell>
          <cell r="M185">
            <v>28.294030651749161</v>
          </cell>
          <cell r="N185">
            <v>27.969658694395367</v>
          </cell>
          <cell r="O185">
            <v>29.351425869497007</v>
          </cell>
          <cell r="P185">
            <v>29.592432829315111</v>
          </cell>
        </row>
        <row r="186">
          <cell r="A186" t="str">
            <v>CWOD</v>
          </cell>
          <cell r="B186" t="str">
            <v>VAR_fin</v>
          </cell>
          <cell r="C186" t="str">
            <v>SUP_WODH2</v>
          </cell>
          <cell r="L186">
            <v>1.011160004244143E-4</v>
          </cell>
          <cell r="M186">
            <v>9.7243519092964363E-5</v>
          </cell>
          <cell r="N186">
            <v>3.3355110300312515E-4</v>
          </cell>
          <cell r="O186">
            <v>1.4052869706345682E-4</v>
          </cell>
          <cell r="P186">
            <v>7.6519357889286252E-4</v>
          </cell>
        </row>
        <row r="187">
          <cell r="A187" t="str">
            <v>CWOD</v>
          </cell>
          <cell r="B187" t="str">
            <v>VAR_fin</v>
          </cell>
          <cell r="C187" t="str">
            <v>SUP_WODBIO</v>
          </cell>
          <cell r="F187">
            <v>5.9604083936212568E-5</v>
          </cell>
          <cell r="G187">
            <v>1.111339607597165E-4</v>
          </cell>
          <cell r="H187">
            <v>1.6255982797972225E-3</v>
          </cell>
          <cell r="I187">
            <v>1.6353868610819694E-3</v>
          </cell>
          <cell r="J187">
            <v>1.1752336531651625E-3</v>
          </cell>
          <cell r="K187">
            <v>9.883374802290019E-4</v>
          </cell>
          <cell r="L187">
            <v>2.4038153069840968E-4</v>
          </cell>
          <cell r="M187">
            <v>2.7281276706319209E-4</v>
          </cell>
          <cell r="N187">
            <v>4.2797833505035609E-4</v>
          </cell>
          <cell r="O187">
            <v>4.0389306353307486E-4</v>
          </cell>
          <cell r="P187">
            <v>1.2399300298217685E-3</v>
          </cell>
        </row>
        <row r="188">
          <cell r="A188" t="str">
            <v>CWOD</v>
          </cell>
          <cell r="B188" t="str">
            <v>VAR_fin</v>
          </cell>
          <cell r="C188" t="str">
            <v>SUP_WODH2CCS</v>
          </cell>
          <cell r="L188">
            <v>8.3192143916667263</v>
          </cell>
          <cell r="M188">
            <v>8.3263510389106479</v>
          </cell>
          <cell r="N188">
            <v>9.2280217893607652</v>
          </cell>
          <cell r="O188">
            <v>9.228204956628538</v>
          </cell>
          <cell r="P188">
            <v>9.2273339881195131</v>
          </cell>
        </row>
        <row r="189">
          <cell r="A189" t="str">
            <v>CWOD</v>
          </cell>
          <cell r="B189" t="str">
            <v>VAR_fin</v>
          </cell>
          <cell r="C189" t="str">
            <v>SUP_WODBIOCCS</v>
          </cell>
          <cell r="J189">
            <v>5.1639819544980678E-4</v>
          </cell>
          <cell r="K189">
            <v>7.2787477298918307E-4</v>
          </cell>
          <cell r="L189">
            <v>1.5630668547378858E-3</v>
          </cell>
          <cell r="M189">
            <v>1.5284611074693395E-3</v>
          </cell>
          <cell r="N189">
            <v>1.4308837335959442E-3</v>
          </cell>
          <cell r="O189">
            <v>1.4626790902319625E-3</v>
          </cell>
          <cell r="P189">
            <v>2.3009104873583028E-3</v>
          </cell>
        </row>
        <row r="190">
          <cell r="A190" t="str">
            <v>CWOD</v>
          </cell>
          <cell r="B190" t="str">
            <v>VAR_fin</v>
          </cell>
          <cell r="C190" t="str">
            <v>CT_CWODBDS</v>
          </cell>
          <cell r="E190">
            <v>2.0820128447624224</v>
          </cell>
          <cell r="F190">
            <v>1.8158706312013921</v>
          </cell>
          <cell r="G190">
            <v>1.363171031371154</v>
          </cell>
          <cell r="H190">
            <v>4.9746080373725581E-4</v>
          </cell>
          <cell r="I190">
            <v>1.0205278884059834E-3</v>
          </cell>
          <cell r="J190">
            <v>5.9451133745710679E-4</v>
          </cell>
          <cell r="K190">
            <v>2.8992028745769978E-4</v>
          </cell>
          <cell r="L190">
            <v>1.6672377563198572E-4</v>
          </cell>
          <cell r="M190">
            <v>1.422879305303147E-4</v>
          </cell>
          <cell r="N190">
            <v>2.4336284326782922E-3</v>
          </cell>
          <cell r="O190">
            <v>2.1259350260953441E-4</v>
          </cell>
          <cell r="P190">
            <v>9.1509459390901613E-4</v>
          </cell>
        </row>
        <row r="191">
          <cell r="A191" t="str">
            <v>CWOD</v>
          </cell>
          <cell r="B191" t="str">
            <v>VAR_fin</v>
          </cell>
          <cell r="C191" t="str">
            <v>CT_CWODETHCCS</v>
          </cell>
          <cell r="J191">
            <v>1.2322006701223994E-4</v>
          </cell>
          <cell r="K191">
            <v>1.0618371194428309E-4</v>
          </cell>
          <cell r="L191">
            <v>1.2373559212795887E-4</v>
          </cell>
          <cell r="M191">
            <v>1.2559138852271258E-4</v>
          </cell>
          <cell r="N191">
            <v>9.0972752792359561E-4</v>
          </cell>
          <cell r="O191">
            <v>1.9763642920960035E-4</v>
          </cell>
          <cell r="P191">
            <v>8.1103973288487393E-4</v>
          </cell>
        </row>
        <row r="192">
          <cell r="A192" t="str">
            <v>CWOD</v>
          </cell>
          <cell r="B192" t="str">
            <v>VAR_fin</v>
          </cell>
          <cell r="C192" t="str">
            <v>CT_CWODPLT</v>
          </cell>
          <cell r="E192">
            <v>7.1186085138103525</v>
          </cell>
          <cell r="F192">
            <v>8.2972011653071895</v>
          </cell>
          <cell r="G192">
            <v>8.1257775093277491</v>
          </cell>
          <cell r="H192">
            <v>8.3226411837019683</v>
          </cell>
          <cell r="I192">
            <v>8.6601729772401157</v>
          </cell>
          <cell r="J192">
            <v>9.115503502004298</v>
          </cell>
          <cell r="K192">
            <v>9.1775221171286354</v>
          </cell>
          <cell r="L192">
            <v>8.9633497581849042</v>
          </cell>
          <cell r="M192">
            <v>8.9938411985041373</v>
          </cell>
          <cell r="N192">
            <v>9.0992846477890836</v>
          </cell>
          <cell r="O192">
            <v>9.1001742816854367</v>
          </cell>
          <cell r="P192">
            <v>9.1005726449381985</v>
          </cell>
        </row>
        <row r="193">
          <cell r="A193" t="str">
            <v>CWOD</v>
          </cell>
          <cell r="B193" t="str">
            <v>VAR_fin</v>
          </cell>
          <cell r="C193" t="str">
            <v>CT_CWODETH</v>
          </cell>
          <cell r="E193">
            <v>0.38651669710724662</v>
          </cell>
          <cell r="F193">
            <v>9.128704192838185E-5</v>
          </cell>
          <cell r="G193">
            <v>0.38647639854784355</v>
          </cell>
          <cell r="H193">
            <v>1.336322794894427E-4</v>
          </cell>
          <cell r="I193">
            <v>1.9037448401817625E-4</v>
          </cell>
          <cell r="J193">
            <v>1.7055310466157481E-4</v>
          </cell>
          <cell r="K193">
            <v>1.1391410011039427E-4</v>
          </cell>
          <cell r="L193">
            <v>1.0643767941916636E-4</v>
          </cell>
          <cell r="M193">
            <v>1.0278332390538123E-4</v>
          </cell>
          <cell r="N193">
            <v>8.8072314512905843E-4</v>
          </cell>
          <cell r="O193">
            <v>1.5459879633886522E-4</v>
          </cell>
          <cell r="P193">
            <v>6.0803451657581839E-4</v>
          </cell>
        </row>
        <row r="194">
          <cell r="A194" t="str">
            <v>CWOD</v>
          </cell>
          <cell r="B194" t="str">
            <v>VAR_fin</v>
          </cell>
          <cell r="C194" t="str">
            <v>CT_CWODBDSCCS</v>
          </cell>
          <cell r="J194">
            <v>2.5391871442708889E-4</v>
          </cell>
          <cell r="K194">
            <v>3.8315924380055174E-4</v>
          </cell>
          <cell r="L194">
            <v>9.6359376347996921</v>
          </cell>
          <cell r="M194">
            <v>10.971569234297796</v>
          </cell>
          <cell r="N194">
            <v>9.6359357649681492</v>
          </cell>
          <cell r="O194">
            <v>11.020475306937751</v>
          </cell>
          <cell r="P194">
            <v>11.257887707284876</v>
          </cell>
        </row>
        <row r="195">
          <cell r="A195" t="str">
            <v>KER</v>
          </cell>
          <cell r="B195" t="str">
            <v>VAR_fout</v>
          </cell>
          <cell r="C195" t="str">
            <v>SUP_H2DSL</v>
          </cell>
          <cell r="J195">
            <v>3.4190536717112189E-4</v>
          </cell>
          <cell r="K195">
            <v>1.7875222128571302E-4</v>
          </cell>
          <cell r="M195">
            <v>7.1712389793471284E-5</v>
          </cell>
          <cell r="N195">
            <v>1.5322448173557554E-4</v>
          </cell>
          <cell r="O195">
            <v>1.097109450604328E-4</v>
          </cell>
          <cell r="P195">
            <v>2.3500922930509905E-4</v>
          </cell>
        </row>
        <row r="196">
          <cell r="A196" t="str">
            <v>BDS</v>
          </cell>
          <cell r="B196" t="str">
            <v>VAR_fout</v>
          </cell>
          <cell r="C196" t="str">
            <v>IMPBDS</v>
          </cell>
          <cell r="E196">
            <v>2.2863020568171315</v>
          </cell>
          <cell r="F196">
            <v>2.3780126939724493</v>
          </cell>
          <cell r="G196">
            <v>4.0207874854278263</v>
          </cell>
          <cell r="H196">
            <v>4.5544657756359239</v>
          </cell>
          <cell r="I196">
            <v>4.466422577045174</v>
          </cell>
          <cell r="J196">
            <v>4.4632033884602444</v>
          </cell>
          <cell r="K196">
            <v>5.382128722744743</v>
          </cell>
          <cell r="L196">
            <v>15.583821321550889</v>
          </cell>
          <cell r="M196">
            <v>8.978909977192874</v>
          </cell>
          <cell r="N196">
            <v>6.736405954743363</v>
          </cell>
          <cell r="O196">
            <v>6.0225008998708924</v>
          </cell>
          <cell r="P196">
            <v>2.9672514345542966</v>
          </cell>
        </row>
        <row r="197">
          <cell r="A197" t="str">
            <v>BDS</v>
          </cell>
          <cell r="B197" t="str">
            <v>VAR_fout</v>
          </cell>
          <cell r="C197" t="str">
            <v>CT_CWODBDS</v>
          </cell>
          <cell r="E197">
            <v>0.73065900851462517</v>
          </cell>
          <cell r="F197">
            <v>0.6372593897881712</v>
          </cell>
          <cell r="G197">
            <v>0.47838955303427022</v>
          </cell>
          <cell r="H197">
            <v>1.7457827820223056E-4</v>
          </cell>
          <cell r="I197">
            <v>3.5814279291313715E-4</v>
          </cell>
          <cell r="J197">
            <v>2.0863707227833204E-4</v>
          </cell>
          <cell r="K197">
            <v>1.0174426652314434E-4</v>
          </cell>
          <cell r="L197">
            <v>5.8509835280570593E-5</v>
          </cell>
          <cell r="M197">
            <v>4.9934350072052869E-5</v>
          </cell>
          <cell r="N197">
            <v>8.5405454735156894E-4</v>
          </cell>
          <cell r="O197">
            <v>7.4607300442019447E-5</v>
          </cell>
          <cell r="P197">
            <v>3.211421631545945E-4</v>
          </cell>
        </row>
        <row r="198">
          <cell r="A198" t="str">
            <v>BDS</v>
          </cell>
          <cell r="B198" t="str">
            <v>VAR_fout</v>
          </cell>
          <cell r="C198" t="str">
            <v>CT_CWODBDSCCS</v>
          </cell>
          <cell r="J198">
            <v>8.9109919083028247E-5</v>
          </cell>
          <cell r="K198">
            <v>1.344654303563965E-4</v>
          </cell>
          <cell r="L198">
            <v>3.3816240164238245</v>
          </cell>
          <cell r="M198">
            <v>3.8503489153528023</v>
          </cell>
          <cell r="N198">
            <v>3.3816233602274641</v>
          </cell>
          <cell r="O198">
            <v>3.8675119518995449</v>
          </cell>
          <cell r="P198">
            <v>3.9508291655676042</v>
          </cell>
        </row>
        <row r="199">
          <cell r="A199" t="str">
            <v>BDS</v>
          </cell>
          <cell r="B199" t="str">
            <v>VAR_fin</v>
          </cell>
          <cell r="C199" t="str">
            <v>D-ILFO</v>
          </cell>
          <cell r="G199">
            <v>5.8203944648895211E-5</v>
          </cell>
          <cell r="H199">
            <v>1.4472513633204234</v>
          </cell>
          <cell r="I199">
            <v>1.4472532005772858</v>
          </cell>
          <cell r="J199">
            <v>1.447253335253569</v>
          </cell>
          <cell r="K199">
            <v>1.4472537204766125</v>
          </cell>
          <cell r="L199">
            <v>1.4472542008101377</v>
          </cell>
          <cell r="M199">
            <v>1.4472543055948237</v>
          </cell>
          <cell r="N199">
            <v>1.4472550467081233</v>
          </cell>
          <cell r="O199">
            <v>1.4472555585335765</v>
          </cell>
          <cell r="P199">
            <v>1.4472591161570063</v>
          </cell>
        </row>
        <row r="200">
          <cell r="A200" t="str">
            <v>BDS</v>
          </cell>
          <cell r="B200" t="str">
            <v>VAR_fin</v>
          </cell>
          <cell r="C200" t="str">
            <v>D-SLFO</v>
          </cell>
          <cell r="G200">
            <v>4.8442514929885618E-5</v>
          </cell>
          <cell r="H200">
            <v>3.4235215142202214E-4</v>
          </cell>
          <cell r="I200">
            <v>5.2125528380969437E-4</v>
          </cell>
          <cell r="J200">
            <v>2.0791967433070899E-4</v>
          </cell>
          <cell r="K200">
            <v>7.5632323946705755E-4</v>
          </cell>
          <cell r="L200">
            <v>3.6428949100373309</v>
          </cell>
          <cell r="M200">
            <v>0.87826152497565702</v>
          </cell>
          <cell r="N200">
            <v>0.88420539099364548</v>
          </cell>
          <cell r="O200">
            <v>0.8845820525448127</v>
          </cell>
          <cell r="P200">
            <v>0.88447321695060721</v>
          </cell>
        </row>
        <row r="201">
          <cell r="A201" t="str">
            <v>BDS</v>
          </cell>
          <cell r="B201" t="str">
            <v>VAR_fin</v>
          </cell>
          <cell r="C201" t="str">
            <v>D-RLFO</v>
          </cell>
          <cell r="G201">
            <v>4.8455341329755207E-5</v>
          </cell>
          <cell r="H201">
            <v>3.4288191388798375E-4</v>
          </cell>
          <cell r="I201">
            <v>5.201773352579421E-4</v>
          </cell>
          <cell r="J201">
            <v>2.1036110413095993E-4</v>
          </cell>
          <cell r="K201">
            <v>7.9570401078856063E-4</v>
          </cell>
          <cell r="L201">
            <v>6.6976201368833905</v>
          </cell>
          <cell r="M201">
            <v>5.9511658273740418</v>
          </cell>
          <cell r="N201">
            <v>3.3974668194736357</v>
          </cell>
          <cell r="O201">
            <v>3.3975061064146814</v>
          </cell>
          <cell r="P201">
            <v>0.69023672280459669</v>
          </cell>
        </row>
        <row r="202">
          <cell r="A202" t="str">
            <v>BDS</v>
          </cell>
          <cell r="B202" t="str">
            <v>VAR_fin</v>
          </cell>
          <cell r="C202" t="str">
            <v>D-TBDS1</v>
          </cell>
          <cell r="E202">
            <v>3.0169610653317553</v>
          </cell>
          <cell r="F202">
            <v>3.0152720837606179</v>
          </cell>
          <cell r="G202">
            <v>4.4990253469709254</v>
          </cell>
          <cell r="H202">
            <v>3.1067066899670701</v>
          </cell>
          <cell r="I202">
            <v>3.0184895624126113</v>
          </cell>
          <cell r="J202">
            <v>3.0158350078711718</v>
          </cell>
          <cell r="K202">
            <v>3.9335636810915817</v>
          </cell>
          <cell r="L202">
            <v>7.1777450773184253</v>
          </cell>
          <cell r="M202">
            <v>4.5526329574004567</v>
          </cell>
          <cell r="N202">
            <v>4.3899656803451235</v>
          </cell>
          <cell r="O202">
            <v>4.1607478789643251</v>
          </cell>
          <cell r="P202">
            <v>3.8964406724072727</v>
          </cell>
        </row>
        <row r="203">
          <cell r="A203" t="str">
            <v>BIO</v>
          </cell>
          <cell r="B203" t="str">
            <v>VAR_fout</v>
          </cell>
          <cell r="C203" t="str">
            <v>SUP_WSTHTGBIO</v>
          </cell>
          <cell r="J203">
            <v>5.1736181700933782E-4</v>
          </cell>
          <cell r="K203">
            <v>6.5308686889827407E-4</v>
          </cell>
          <cell r="L203">
            <v>2.3042291975056751E-3</v>
          </cell>
          <cell r="M203">
            <v>2.1790881836577626E-3</v>
          </cell>
          <cell r="N203">
            <v>1.4788013083723581E-3</v>
          </cell>
          <cell r="O203">
            <v>1.4313224401999141E-3</v>
          </cell>
          <cell r="P203">
            <v>2.019659840036209E-3</v>
          </cell>
        </row>
        <row r="204">
          <cell r="A204" t="str">
            <v>BIO</v>
          </cell>
          <cell r="B204" t="str">
            <v>VAR_fout</v>
          </cell>
          <cell r="C204" t="str">
            <v>SUP_WSTBIO</v>
          </cell>
          <cell r="E204">
            <v>5.6294121258262972</v>
          </cell>
          <cell r="F204">
            <v>6.1674525147375281</v>
          </cell>
          <cell r="G204">
            <v>5.9582789104812717</v>
          </cell>
          <cell r="H204">
            <v>6.1479828859888528</v>
          </cell>
          <cell r="I204">
            <v>6.1358150876731514</v>
          </cell>
          <cell r="J204">
            <v>5.8325717353754145</v>
          </cell>
          <cell r="K204">
            <v>9.216992622239184</v>
          </cell>
          <cell r="L204">
            <v>9.8446946331781486</v>
          </cell>
          <cell r="M204">
            <v>10.305331212770925</v>
          </cell>
          <cell r="N204">
            <v>10.306389452859994</v>
          </cell>
          <cell r="O204">
            <v>10.306757045499156</v>
          </cell>
          <cell r="P204">
            <v>10.306932736067346</v>
          </cell>
        </row>
        <row r="205">
          <cell r="A205" t="str">
            <v>BIO</v>
          </cell>
          <cell r="B205" t="str">
            <v>VAR_fout</v>
          </cell>
          <cell r="C205" t="str">
            <v>D-LBIO</v>
          </cell>
          <cell r="H205">
            <v>2.1352624409901746</v>
          </cell>
          <cell r="I205">
            <v>2.1341386666255548</v>
          </cell>
          <cell r="J205">
            <v>2.1346570079526082</v>
          </cell>
          <cell r="K205">
            <v>2.1349485194850613</v>
          </cell>
          <cell r="L205">
            <v>2.1350390814146394</v>
          </cell>
          <cell r="M205">
            <v>2.134859052562518</v>
          </cell>
          <cell r="N205">
            <v>3.0106232416795735E-3</v>
          </cell>
          <cell r="O205">
            <v>2.2100018721927187E-3</v>
          </cell>
          <cell r="P205">
            <v>4.4493068456449274E-3</v>
          </cell>
        </row>
        <row r="206">
          <cell r="A206" t="str">
            <v>BIO</v>
          </cell>
          <cell r="B206" t="str">
            <v>VAR_fout</v>
          </cell>
          <cell r="C206" t="str">
            <v>SUP_MNRBIO</v>
          </cell>
          <cell r="E206">
            <v>1.3280005973506992</v>
          </cell>
          <cell r="F206">
            <v>3.469984017133751</v>
          </cell>
          <cell r="G206">
            <v>4.3844484850327863</v>
          </cell>
          <cell r="H206">
            <v>4.3847642249329288</v>
          </cell>
          <cell r="I206">
            <v>4.3847647061384656</v>
          </cell>
          <cell r="J206">
            <v>4.3856598106089875</v>
          </cell>
          <cell r="K206">
            <v>4.4053874736422545</v>
          </cell>
          <cell r="L206">
            <v>6.5779434603686022</v>
          </cell>
          <cell r="M206">
            <v>6.5779437120087678</v>
          </cell>
          <cell r="N206">
            <v>6.5779490714342721</v>
          </cell>
          <cell r="O206">
            <v>6.5779527405519458</v>
          </cell>
          <cell r="P206">
            <v>6.5784624117467132</v>
          </cell>
        </row>
        <row r="207">
          <cell r="A207" t="str">
            <v>BIO</v>
          </cell>
          <cell r="B207" t="str">
            <v>VAR_fout</v>
          </cell>
          <cell r="C207" t="str">
            <v>SUP_WSTHTGBIOCCS</v>
          </cell>
          <cell r="J207">
            <v>1.0167588217960659E-4</v>
          </cell>
          <cell r="K207">
            <v>1.3882792921492371E-4</v>
          </cell>
          <cell r="L207">
            <v>1.0032688300481397E-3</v>
          </cell>
          <cell r="M207">
            <v>9.5419246730756653E-4</v>
          </cell>
          <cell r="N207">
            <v>6.3768346371532883E-4</v>
          </cell>
          <cell r="O207">
            <v>7.2324327822372611E-4</v>
          </cell>
          <cell r="P207">
            <v>6.8078877833425066E-4</v>
          </cell>
        </row>
        <row r="208">
          <cell r="A208" t="str">
            <v>BIO</v>
          </cell>
          <cell r="B208" t="str">
            <v>VAR_fout</v>
          </cell>
          <cell r="C208" t="str">
            <v>SUP_WODBIO</v>
          </cell>
          <cell r="F208">
            <v>4.4151173286083397E-5</v>
          </cell>
          <cell r="G208">
            <v>8.2321452414604748E-5</v>
          </cell>
          <cell r="H208">
            <v>1.2041468739238681E-3</v>
          </cell>
          <cell r="I208">
            <v>1.2113976748755328E-3</v>
          </cell>
          <cell r="J208">
            <v>8.7054344678900899E-4</v>
          </cell>
          <cell r="K208">
            <v>7.3210183720666833E-4</v>
          </cell>
          <cell r="L208">
            <v>1.7806039310993302E-4</v>
          </cell>
          <cell r="M208">
            <v>2.0208353115791985E-4</v>
          </cell>
          <cell r="N208">
            <v>3.1702098892618963E-4</v>
          </cell>
          <cell r="O208">
            <v>2.9918004706153644E-4</v>
          </cell>
          <cell r="P208">
            <v>9.1846668875686366E-4</v>
          </cell>
        </row>
        <row r="209">
          <cell r="A209" t="str">
            <v>BIO</v>
          </cell>
          <cell r="B209" t="str">
            <v>VAR_fout</v>
          </cell>
          <cell r="C209" t="str">
            <v>SUP_WODBIOCCS</v>
          </cell>
          <cell r="J209">
            <v>3.4517624058303173E-4</v>
          </cell>
          <cell r="K209">
            <v>4.861910037824485E-4</v>
          </cell>
          <cell r="L209">
            <v>1.0447134278588491E-3</v>
          </cell>
          <cell r="M209">
            <v>1.0215055450811146E-3</v>
          </cell>
          <cell r="N209">
            <v>9.564394011177471E-4</v>
          </cell>
          <cell r="O209">
            <v>9.7615972055833239E-4</v>
          </cell>
          <cell r="P209">
            <v>1.5355256138995729E-3</v>
          </cell>
        </row>
        <row r="210">
          <cell r="A210" t="str">
            <v>BIO</v>
          </cell>
          <cell r="B210" t="str">
            <v>VAR_fin</v>
          </cell>
          <cell r="C210" t="str">
            <v>D-IBIO</v>
          </cell>
          <cell r="E210">
            <v>0.43672636444825019</v>
          </cell>
          <cell r="F210">
            <v>0.55206537324846738</v>
          </cell>
          <cell r="G210">
            <v>2.8956670014089534</v>
          </cell>
          <cell r="H210">
            <v>6.3347646795463506</v>
          </cell>
          <cell r="I210">
            <v>6.3347804753735115</v>
          </cell>
          <cell r="J210">
            <v>6.3347816822059366</v>
          </cell>
          <cell r="K210">
            <v>6.3347825780289613</v>
          </cell>
          <cell r="L210">
            <v>6.3347844294410445</v>
          </cell>
          <cell r="M210">
            <v>6.3347861514491237</v>
          </cell>
          <cell r="N210">
            <v>6.3347944420729023</v>
          </cell>
          <cell r="O210">
            <v>6.3348005298375467</v>
          </cell>
          <cell r="P210">
            <v>6.3348300350030797</v>
          </cell>
        </row>
        <row r="211">
          <cell r="A211" t="str">
            <v>BIO</v>
          </cell>
          <cell r="B211" t="str">
            <v>VAR_fin</v>
          </cell>
          <cell r="C211" t="str">
            <v>D-EBIO</v>
          </cell>
          <cell r="E211">
            <v>1.1839515550993776</v>
          </cell>
          <cell r="F211">
            <v>1.1839499127826767</v>
          </cell>
          <cell r="G211">
            <v>1.1839505371010577</v>
          </cell>
          <cell r="H211">
            <v>1.1839510255630241</v>
          </cell>
          <cell r="I211">
            <v>1.183998921855336</v>
          </cell>
          <cell r="J211">
            <v>1.1840001454141909</v>
          </cell>
          <cell r="K211">
            <v>1.1839978363904267</v>
          </cell>
          <cell r="L211">
            <v>1.1840022083720279</v>
          </cell>
          <cell r="M211">
            <v>1.1839987156826359</v>
          </cell>
          <cell r="N211">
            <v>2.8800563946312221</v>
          </cell>
          <cell r="O211">
            <v>6.9877372424741253</v>
          </cell>
          <cell r="P211">
            <v>10.598702559348206</v>
          </cell>
        </row>
        <row r="212">
          <cell r="A212" t="str">
            <v>BIO</v>
          </cell>
          <cell r="B212" t="str">
            <v>VAR_fin</v>
          </cell>
          <cell r="C212" t="str">
            <v>D-CBIO</v>
          </cell>
          <cell r="E212">
            <v>1.2890707490810853</v>
          </cell>
          <cell r="F212">
            <v>3.8346011709692207</v>
          </cell>
          <cell r="G212">
            <v>2.8326138841269048</v>
          </cell>
          <cell r="H212">
            <v>2.8322682609217367</v>
          </cell>
          <cell r="I212">
            <v>2.8323729826187565</v>
          </cell>
          <cell r="J212">
            <v>3.0850088217199931</v>
          </cell>
          <cell r="K212">
            <v>3.0830856288799549</v>
          </cell>
          <cell r="L212">
            <v>5.7486096716621118</v>
          </cell>
          <cell r="M212">
            <v>9.4672331421442877</v>
          </cell>
          <cell r="N212">
            <v>9.4673605059828194</v>
          </cell>
          <cell r="O212">
            <v>9.4675876228079758</v>
          </cell>
          <cell r="P212">
            <v>9.4689363573814571</v>
          </cell>
        </row>
        <row r="213">
          <cell r="A213" t="str">
            <v>BIO</v>
          </cell>
          <cell r="B213" t="str">
            <v>VAR_fin</v>
          </cell>
          <cell r="C213" t="str">
            <v>D-SBIO</v>
          </cell>
          <cell r="E213">
            <v>4.0476723316821221</v>
          </cell>
          <cell r="F213">
            <v>4.5833661844583968</v>
          </cell>
          <cell r="G213">
            <v>4.5977211288781303</v>
          </cell>
          <cell r="H213">
            <v>4.54961878742286</v>
          </cell>
          <cell r="I213">
            <v>6.0999100854645265</v>
          </cell>
          <cell r="J213">
            <v>7.843753370060548</v>
          </cell>
          <cell r="K213">
            <v>14.626308956512519</v>
          </cell>
          <cell r="L213">
            <v>19.724178923346532</v>
          </cell>
          <cell r="M213">
            <v>23.754497775565788</v>
          </cell>
          <cell r="N213">
            <v>30.590853843819868</v>
          </cell>
          <cell r="O213">
            <v>31.653959410314098</v>
          </cell>
          <cell r="P213">
            <v>31.654536088461178</v>
          </cell>
        </row>
        <row r="214">
          <cell r="A214" t="str">
            <v>TKERintl_SAF</v>
          </cell>
          <cell r="B214" t="str">
            <v>VAR_fout</v>
          </cell>
          <cell r="C214" t="str">
            <v>D-TBDS1intl</v>
          </cell>
          <cell r="H214">
            <v>5.2999195223040996</v>
          </cell>
          <cell r="I214">
            <v>18.511786166520402</v>
          </cell>
          <cell r="J214">
            <v>38.847115281717102</v>
          </cell>
          <cell r="K214">
            <v>68.659109762583398</v>
          </cell>
          <cell r="L214">
            <v>93.853201502470498</v>
          </cell>
          <cell r="M214">
            <v>93.853205917719293</v>
          </cell>
          <cell r="N214">
            <v>94.908951943099595</v>
          </cell>
          <cell r="O214">
            <v>96.620373173771</v>
          </cell>
          <cell r="P214">
            <v>98.328930298749896</v>
          </cell>
        </row>
        <row r="215">
          <cell r="A215" t="str">
            <v>EBIO</v>
          </cell>
          <cell r="B215" t="str">
            <v>VAR_fout</v>
          </cell>
          <cell r="C215" t="str">
            <v>D-EBIO</v>
          </cell>
          <cell r="E215">
            <v>1.1839515550993776</v>
          </cell>
          <cell r="F215">
            <v>1.1839499127826767</v>
          </cell>
          <cell r="G215">
            <v>1.1839505371010577</v>
          </cell>
          <cell r="H215">
            <v>1.1839510255630241</v>
          </cell>
          <cell r="I215">
            <v>1.183998921855336</v>
          </cell>
          <cell r="J215">
            <v>1.1840001454141909</v>
          </cell>
          <cell r="K215">
            <v>1.1839978363904267</v>
          </cell>
          <cell r="L215">
            <v>1.1840022083720279</v>
          </cell>
          <cell r="M215">
            <v>1.1839987156826359</v>
          </cell>
          <cell r="N215">
            <v>2.8800563946312221</v>
          </cell>
          <cell r="O215">
            <v>6.9877372424741253</v>
          </cell>
          <cell r="P215">
            <v>10.598702559348206</v>
          </cell>
        </row>
        <row r="216">
          <cell r="A216" t="str">
            <v>PLT</v>
          </cell>
          <cell r="B216" t="str">
            <v>VAR_fout</v>
          </cell>
          <cell r="C216" t="str">
            <v>CT_CWODPLT</v>
          </cell>
          <cell r="E216">
            <v>5.9796311516006888</v>
          </cell>
          <cell r="F216">
            <v>6.9696489788580411</v>
          </cell>
          <cell r="G216">
            <v>6.8256531078353158</v>
          </cell>
          <cell r="H216">
            <v>6.9910185943096499</v>
          </cell>
          <cell r="I216">
            <v>7.2745453008816918</v>
          </cell>
          <cell r="J216">
            <v>7.6570229416836115</v>
          </cell>
          <cell r="K216">
            <v>7.7091185783880585</v>
          </cell>
          <cell r="L216">
            <v>7.529213796875319</v>
          </cell>
          <cell r="M216">
            <v>7.5548266067434788</v>
          </cell>
          <cell r="N216">
            <v>7.6433991041428202</v>
          </cell>
          <cell r="O216">
            <v>7.6441463966157652</v>
          </cell>
          <cell r="P216">
            <v>7.6444810217480823</v>
          </cell>
        </row>
        <row r="217">
          <cell r="A217" t="str">
            <v>SLFO</v>
          </cell>
          <cell r="B217" t="str">
            <v>VAR_fout</v>
          </cell>
          <cell r="C217" t="str">
            <v>D-SLFO</v>
          </cell>
          <cell r="E217">
            <v>30.256635198941776</v>
          </cell>
          <cell r="F217">
            <v>26.638734396174886</v>
          </cell>
          <cell r="G217">
            <v>24.906316253748116</v>
          </cell>
          <cell r="H217">
            <v>19.517842253062419</v>
          </cell>
          <cell r="I217">
            <v>14.891868019224047</v>
          </cell>
          <cell r="J217">
            <v>10.568645871768865</v>
          </cell>
          <cell r="K217">
            <v>6.1995746016666553</v>
          </cell>
          <cell r="L217">
            <v>3.5820540594420662</v>
          </cell>
          <cell r="M217">
            <v>0.86381037144747452</v>
          </cell>
          <cell r="N217">
            <v>0.86982216071007445</v>
          </cell>
          <cell r="O217">
            <v>0.87005454734612264</v>
          </cell>
          <cell r="P217">
            <v>0.87016834517560993</v>
          </cell>
        </row>
        <row r="218">
          <cell r="A218" t="str">
            <v>ETH</v>
          </cell>
          <cell r="B218" t="str">
            <v>VAR_fout</v>
          </cell>
          <cell r="C218" t="str">
            <v>IMPETH</v>
          </cell>
          <cell r="E218">
            <v>4.4341500926398894</v>
          </cell>
          <cell r="F218">
            <v>4.3986149800311409</v>
          </cell>
          <cell r="G218">
            <v>4.3997883678972567</v>
          </cell>
          <cell r="H218">
            <v>2.8018386412727039</v>
          </cell>
          <cell r="I218">
            <v>1.3261204282284802</v>
          </cell>
          <cell r="J218">
            <v>0.58401069422617224</v>
          </cell>
          <cell r="K218">
            <v>4.5570798108299488</v>
          </cell>
          <cell r="L218">
            <v>1.9864887614102926</v>
          </cell>
          <cell r="M218">
            <v>1.3027683352127579</v>
          </cell>
          <cell r="N218">
            <v>1.1739764653971603</v>
          </cell>
          <cell r="O218">
            <v>1.0719830904542269</v>
          </cell>
          <cell r="P218">
            <v>0.91102408939170598</v>
          </cell>
        </row>
        <row r="219">
          <cell r="A219" t="str">
            <v>ETH</v>
          </cell>
          <cell r="B219" t="str">
            <v>VAR_fout</v>
          </cell>
          <cell r="C219" t="str">
            <v>CT_CWODETHCCS</v>
          </cell>
          <cell r="J219">
            <v>5.8956969862315726E-5</v>
          </cell>
          <cell r="K219">
            <v>5.0805603801092376E-5</v>
          </cell>
          <cell r="L219">
            <v>5.9203632597109504E-5</v>
          </cell>
          <cell r="M219">
            <v>6.0091573455843369E-5</v>
          </cell>
          <cell r="N219">
            <v>4.352763291500461E-4</v>
          </cell>
          <cell r="O219">
            <v>9.4562884789282388E-5</v>
          </cell>
          <cell r="P219">
            <v>3.8805728846166225E-4</v>
          </cell>
        </row>
        <row r="220">
          <cell r="A220" t="str">
            <v>ETH</v>
          </cell>
          <cell r="B220" t="str">
            <v>VAR_fout</v>
          </cell>
          <cell r="C220" t="str">
            <v>CT_CWODETH</v>
          </cell>
          <cell r="E220">
            <v>0.18493621871160124</v>
          </cell>
          <cell r="F220">
            <v>4.3678010492048783E-5</v>
          </cell>
          <cell r="G220">
            <v>0.18491693710423157</v>
          </cell>
          <cell r="H220">
            <v>6.3938889707867299E-5</v>
          </cell>
          <cell r="I220">
            <v>9.108826986515608E-5</v>
          </cell>
          <cell r="J220">
            <v>8.1604356297404192E-5</v>
          </cell>
          <cell r="K220">
            <v>5.4504354119805899E-5</v>
          </cell>
          <cell r="L220">
            <v>5.0927119339314041E-5</v>
          </cell>
          <cell r="M220">
            <v>4.9178623878172853E-5</v>
          </cell>
          <cell r="N220">
            <v>4.2139863403304218E-4</v>
          </cell>
          <cell r="O220">
            <v>7.3970715951610184E-5</v>
          </cell>
          <cell r="P220">
            <v>2.9092560601713831E-4</v>
          </cell>
        </row>
        <row r="221">
          <cell r="A221" t="str">
            <v>ETH</v>
          </cell>
          <cell r="B221" t="str">
            <v>VAR_fin</v>
          </cell>
          <cell r="C221" t="str">
            <v>D-TGSL</v>
          </cell>
          <cell r="E221">
            <v>4.6190863113514933</v>
          </cell>
          <cell r="F221">
            <v>4.3986586580416276</v>
          </cell>
          <cell r="G221">
            <v>4.5847053050014885</v>
          </cell>
          <cell r="H221">
            <v>2.8019025801624142</v>
          </cell>
          <cell r="I221">
            <v>1.3262115164983463</v>
          </cell>
          <cell r="J221">
            <v>0.58415125555233183</v>
          </cell>
          <cell r="K221">
            <v>4.5571851207878691</v>
          </cell>
          <cell r="L221">
            <v>1.9865988921622286</v>
          </cell>
          <cell r="M221">
            <v>1.3028776054100917</v>
          </cell>
          <cell r="N221">
            <v>1.1748331403603431</v>
          </cell>
          <cell r="O221">
            <v>1.0721516240549673</v>
          </cell>
          <cell r="P221">
            <v>0.91170307228618452</v>
          </cell>
        </row>
        <row r="222">
          <cell r="A222" t="str">
            <v>TGSL</v>
          </cell>
          <cell r="B222" t="str">
            <v>VAR_fout</v>
          </cell>
          <cell r="C222" t="str">
            <v>D-TGSL</v>
          </cell>
          <cell r="E222">
            <v>83.141183236247443</v>
          </cell>
          <cell r="F222">
            <v>79.173903402611245</v>
          </cell>
          <cell r="G222">
            <v>82.522433951874376</v>
          </cell>
          <cell r="H222">
            <v>50.406425615953047</v>
          </cell>
          <cell r="I222">
            <v>22.774882454546777</v>
          </cell>
          <cell r="J222">
            <v>10.495839656312624</v>
          </cell>
          <cell r="K222">
            <v>7.4736456577358634</v>
          </cell>
          <cell r="L222">
            <v>2.3029898655400474</v>
          </cell>
          <cell r="M222">
            <v>1.5104786699685606</v>
          </cell>
          <cell r="N222">
            <v>1.362241332938205</v>
          </cell>
          <cell r="O222">
            <v>1.2430928624438462</v>
          </cell>
          <cell r="P222">
            <v>1.0574224720313452</v>
          </cell>
        </row>
        <row r="223">
          <cell r="A223" t="str">
            <v>RLFO</v>
          </cell>
          <cell r="B223" t="str">
            <v>VAR_fout</v>
          </cell>
          <cell r="C223" t="str">
            <v>D-RLFO</v>
          </cell>
          <cell r="E223">
            <v>60.231827651037911</v>
          </cell>
          <cell r="F223">
            <v>51.3199985675313</v>
          </cell>
          <cell r="G223">
            <v>50.07705700642984</v>
          </cell>
          <cell r="H223">
            <v>41.439429877160052</v>
          </cell>
          <cell r="I223">
            <v>20.858522652985766</v>
          </cell>
          <cell r="J223">
            <v>10.329187963044143</v>
          </cell>
          <cell r="K223">
            <v>6.5862979340895276</v>
          </cell>
          <cell r="L223">
            <v>6.5857629082038391</v>
          </cell>
          <cell r="M223">
            <v>5.8519901383189126</v>
          </cell>
          <cell r="N223">
            <v>3.3411085228144435</v>
          </cell>
          <cell r="O223">
            <v>3.3410083836047981</v>
          </cell>
          <cell r="P223">
            <v>0.67916979340998429</v>
          </cell>
        </row>
        <row r="224">
          <cell r="A224" t="str">
            <v>CELC_E</v>
          </cell>
          <cell r="B224" t="str">
            <v>VAR_fout</v>
          </cell>
          <cell r="C224" t="str">
            <v>ESOL-PV_E</v>
          </cell>
          <cell r="H224">
            <v>4.7796875576641473E-6</v>
          </cell>
          <cell r="I224">
            <v>4.7844793434212896E-4</v>
          </cell>
          <cell r="J224">
            <v>1.4624141333938097E-3</v>
          </cell>
          <cell r="K224">
            <v>1.6216070385675172E-3</v>
          </cell>
          <cell r="L224">
            <v>1.6265359753273685E-3</v>
          </cell>
          <cell r="M224">
            <v>1.6275681259815323E-3</v>
          </cell>
          <cell r="N224">
            <v>1.630928831907537E-3</v>
          </cell>
          <cell r="O224">
            <v>1.1142187818388286E-3</v>
          </cell>
          <cell r="P224">
            <v>1.4411907558441041E-3</v>
          </cell>
        </row>
        <row r="225">
          <cell r="A225" t="str">
            <v>CELC_E</v>
          </cell>
          <cell r="B225" t="str">
            <v>VAR_fin</v>
          </cell>
          <cell r="C225" t="str">
            <v>SUP_ELCH2_D</v>
          </cell>
          <cell r="H225">
            <v>4.6142432602936371E-6</v>
          </cell>
          <cell r="I225">
            <v>4.7844793434212896E-4</v>
          </cell>
          <cell r="J225">
            <v>1.4624141333938097E-3</v>
          </cell>
          <cell r="K225">
            <v>1.6216070385675172E-3</v>
          </cell>
          <cell r="L225">
            <v>1.6265359753273685E-3</v>
          </cell>
          <cell r="M225">
            <v>1.6275681259815323E-3</v>
          </cell>
          <cell r="N225">
            <v>1.630928831907537E-3</v>
          </cell>
          <cell r="O225">
            <v>1.1142187818388286E-3</v>
          </cell>
          <cell r="P225">
            <v>1.4411907558441041E-3</v>
          </cell>
        </row>
        <row r="226">
          <cell r="A226" t="str">
            <v>CBIO</v>
          </cell>
          <cell r="B226" t="str">
            <v>VAR_fout</v>
          </cell>
          <cell r="C226" t="str">
            <v>D-CBIO</v>
          </cell>
          <cell r="E226">
            <v>1.2890707490810853</v>
          </cell>
          <cell r="F226">
            <v>3.8346011709692207</v>
          </cell>
          <cell r="G226">
            <v>2.8326138841269048</v>
          </cell>
          <cell r="H226">
            <v>2.8322682609217367</v>
          </cell>
          <cell r="I226">
            <v>2.8323729826187565</v>
          </cell>
          <cell r="J226">
            <v>3.0850088217199931</v>
          </cell>
          <cell r="K226">
            <v>3.0830856288799549</v>
          </cell>
          <cell r="L226">
            <v>5.7486096716621118</v>
          </cell>
          <cell r="M226">
            <v>9.4672331421442877</v>
          </cell>
          <cell r="N226">
            <v>9.4673605059828194</v>
          </cell>
          <cell r="O226">
            <v>9.4675876228079758</v>
          </cell>
          <cell r="P226">
            <v>9.4689363573814571</v>
          </cell>
        </row>
        <row r="227">
          <cell r="A227" t="str">
            <v>CBIO</v>
          </cell>
          <cell r="B227" t="str">
            <v>VAR_fin</v>
          </cell>
          <cell r="C227" t="str">
            <v>SUP_BIONGA</v>
          </cell>
          <cell r="E227">
            <v>1.2890707490810853</v>
          </cell>
          <cell r="F227">
            <v>3.8346011709692207</v>
          </cell>
          <cell r="G227">
            <v>2.8326138841269048</v>
          </cell>
          <cell r="H227">
            <v>2.8322682609217367</v>
          </cell>
          <cell r="I227">
            <v>2.8323729826187565</v>
          </cell>
          <cell r="J227">
            <v>3.0850088217199931</v>
          </cell>
          <cell r="K227">
            <v>3.0830856288799549</v>
          </cell>
          <cell r="L227">
            <v>5.7486096716621118</v>
          </cell>
          <cell r="M227">
            <v>9.4672331421442877</v>
          </cell>
          <cell r="N227">
            <v>9.4673605059828194</v>
          </cell>
          <cell r="O227">
            <v>9.4675876228079758</v>
          </cell>
          <cell r="P227">
            <v>9.4689363573814571</v>
          </cell>
        </row>
        <row r="228">
          <cell r="A228" t="str">
            <v>RSH2</v>
          </cell>
          <cell r="B228" t="str">
            <v>VAR_fout</v>
          </cell>
          <cell r="C228" t="str">
            <v>D-SNGA</v>
          </cell>
          <cell r="H228">
            <v>1.285527140860276E-3</v>
          </cell>
          <cell r="I228">
            <v>4.1276472836333324E-2</v>
          </cell>
          <cell r="J228">
            <v>0.24599018159376942</v>
          </cell>
          <cell r="K228">
            <v>0.54234735622598707</v>
          </cell>
          <cell r="L228">
            <v>0.25636401275975856</v>
          </cell>
          <cell r="M228">
            <v>0.15390769214191488</v>
          </cell>
          <cell r="N228">
            <v>5.8688097267411796E-2</v>
          </cell>
          <cell r="O228">
            <v>3.3382248835292658E-2</v>
          </cell>
          <cell r="P228">
            <v>2.476642975685469E-2</v>
          </cell>
        </row>
        <row r="229">
          <cell r="A229" t="str">
            <v>RSH2</v>
          </cell>
          <cell r="B229" t="str">
            <v>VAR_fout</v>
          </cell>
          <cell r="C229" t="str">
            <v>D-RNGA</v>
          </cell>
          <cell r="H229">
            <v>1.3083992095049891E-3</v>
          </cell>
          <cell r="I229">
            <v>6.3917531927075499E-2</v>
          </cell>
          <cell r="J229">
            <v>0.36315059428518814</v>
          </cell>
          <cell r="K229">
            <v>1.0097602913019494</v>
          </cell>
          <cell r="L229">
            <v>0.60574256723947939</v>
          </cell>
          <cell r="M229">
            <v>0.13346068812406067</v>
          </cell>
          <cell r="N229">
            <v>0.13317160814360701</v>
          </cell>
          <cell r="O229">
            <v>9.4074843339027298E-2</v>
          </cell>
          <cell r="P229">
            <v>6.699426141088205E-2</v>
          </cell>
        </row>
        <row r="230">
          <cell r="A230" t="str">
            <v>LTH</v>
          </cell>
          <cell r="B230" t="str">
            <v>VAR_fout</v>
          </cell>
          <cell r="C230" t="str">
            <v>SUP_WODBIO</v>
          </cell>
          <cell r="F230">
            <v>5.2981407943300063E-6</v>
          </cell>
          <cell r="G230">
            <v>9.8785742897525794E-6</v>
          </cell>
          <cell r="H230">
            <v>1.4449762487086422E-4</v>
          </cell>
          <cell r="I230">
            <v>1.4536772098506387E-4</v>
          </cell>
          <cell r="J230">
            <v>1.044652136146812E-4</v>
          </cell>
          <cell r="K230">
            <v>8.785222046480025E-5</v>
          </cell>
          <cell r="L230">
            <v>2.1367247173191962E-5</v>
          </cell>
          <cell r="M230">
            <v>2.4250023738950401E-5</v>
          </cell>
          <cell r="N230">
            <v>3.8042518671142812E-5</v>
          </cell>
          <cell r="O230">
            <v>3.5901605647384424E-5</v>
          </cell>
          <cell r="P230">
            <v>1.102160026508238E-4</v>
          </cell>
        </row>
        <row r="231">
          <cell r="A231" t="str">
            <v>LTH</v>
          </cell>
          <cell r="B231" t="str">
            <v>VAR_fout</v>
          </cell>
          <cell r="C231" t="str">
            <v>SUP_WODBIOCCS</v>
          </cell>
          <cell r="J231">
            <v>4.1879522693272464E-5</v>
          </cell>
          <cell r="K231">
            <v>5.8740487165225867E-5</v>
          </cell>
          <cell r="L231">
            <v>1.2584930889107733E-4</v>
          </cell>
          <cell r="M231">
            <v>1.2306156406248072E-4</v>
          </cell>
          <cell r="N231">
            <v>1.1525635362601727E-4</v>
          </cell>
          <cell r="O231">
            <v>1.1754378609812676E-4</v>
          </cell>
          <cell r="P231">
            <v>1.84848071337567E-4</v>
          </cell>
        </row>
        <row r="232">
          <cell r="A232" t="str">
            <v>LTH</v>
          </cell>
          <cell r="B232" t="str">
            <v>VAR_fout</v>
          </cell>
          <cell r="C232" t="str">
            <v>CT_CWODBDS</v>
          </cell>
          <cell r="E232">
            <v>0.28495701332070361</v>
          </cell>
          <cell r="F232">
            <v>0.24853116201738595</v>
          </cell>
          <cell r="G232">
            <v>0.18657192568336531</v>
          </cell>
          <cell r="H232">
            <v>6.808552849886988E-5</v>
          </cell>
          <cell r="I232">
            <v>1.3967568923612333E-4</v>
          </cell>
          <cell r="J232">
            <v>8.1368458188549436E-5</v>
          </cell>
          <cell r="K232">
            <v>3.9680263944026296E-5</v>
          </cell>
          <cell r="L232">
            <v>2.2818835759422512E-5</v>
          </cell>
          <cell r="M232">
            <v>1.9474396528100591E-5</v>
          </cell>
          <cell r="N232">
            <v>3.3308127346711114E-4</v>
          </cell>
          <cell r="O232">
            <v>2.9096847172387577E-5</v>
          </cell>
          <cell r="P232">
            <v>1.2524544363029164E-4</v>
          </cell>
        </row>
        <row r="233">
          <cell r="A233" t="str">
            <v>LTH</v>
          </cell>
          <cell r="B233" t="str">
            <v>VAR_fout</v>
          </cell>
          <cell r="C233" t="str">
            <v>CT_CWODBDSCCS</v>
          </cell>
          <cell r="J233">
            <v>3.4752868442380971E-5</v>
          </cell>
          <cell r="K233">
            <v>5.2441517838994519E-5</v>
          </cell>
          <cell r="L233">
            <v>1.3188333664052903</v>
          </cell>
          <cell r="M233">
            <v>1.5016360769875894</v>
          </cell>
          <cell r="N233">
            <v>1.3188331104887099</v>
          </cell>
          <cell r="O233">
            <v>1.5083296612408181</v>
          </cell>
          <cell r="P233">
            <v>1.5408233745713626</v>
          </cell>
        </row>
        <row r="234">
          <cell r="A234" t="str">
            <v>LTH</v>
          </cell>
          <cell r="B234" t="str">
            <v>VAR_fin</v>
          </cell>
          <cell r="C234" t="str">
            <v>D-CHEAT</v>
          </cell>
          <cell r="J234">
            <v>1.0586485474179781E-4</v>
          </cell>
          <cell r="K234">
            <v>1.399920586461671E-4</v>
          </cell>
          <cell r="L234">
            <v>0.36885582817865953</v>
          </cell>
          <cell r="M234">
            <v>1.9910707406357528</v>
          </cell>
          <cell r="N234">
            <v>9.4633048653510627</v>
          </cell>
          <cell r="O234">
            <v>13.997965584656811</v>
          </cell>
          <cell r="P234">
            <v>18.50839857292361</v>
          </cell>
        </row>
        <row r="235">
          <cell r="A235" t="str">
            <v>LNGA</v>
          </cell>
          <cell r="B235" t="str">
            <v>VAR_fin</v>
          </cell>
          <cell r="C235" t="str">
            <v>D-LNGA</v>
          </cell>
          <cell r="H235">
            <v>2.3409177368037535E-4</v>
          </cell>
          <cell r="I235">
            <v>1.1019091499665894E-3</v>
          </cell>
          <cell r="J235">
            <v>6.209108745264233E-4</v>
          </cell>
          <cell r="K235">
            <v>3.8251750831228216E-4</v>
          </cell>
          <cell r="L235">
            <v>2.4414231745887975E-4</v>
          </cell>
          <cell r="M235">
            <v>4.4430199621416463E-4</v>
          </cell>
          <cell r="N235">
            <v>3.014608880150235E-3</v>
          </cell>
          <cell r="O235">
            <v>2.1225172685532786E-3</v>
          </cell>
          <cell r="P235">
            <v>2.428056700722428E-3</v>
          </cell>
        </row>
        <row r="236">
          <cell r="A236" t="str">
            <v>IH2</v>
          </cell>
          <cell r="B236" t="str">
            <v>VAR_fout</v>
          </cell>
          <cell r="C236" t="str">
            <v>D-INGA</v>
          </cell>
          <cell r="H236">
            <v>3.5979826746755803E-2</v>
          </cell>
          <cell r="I236">
            <v>0.43025555433699825</v>
          </cell>
          <cell r="J236">
            <v>0.4291509203423915</v>
          </cell>
          <cell r="K236">
            <v>0.36333862697292585</v>
          </cell>
          <cell r="L236">
            <v>0.15273149616481382</v>
          </cell>
          <cell r="M236">
            <v>7.9700492273159923E-2</v>
          </cell>
          <cell r="N236">
            <v>7.8454096198482023E-2</v>
          </cell>
          <cell r="O236">
            <v>7.9149186079171874E-2</v>
          </cell>
          <cell r="P236">
            <v>7.6533156745744374E-2</v>
          </cell>
        </row>
        <row r="237">
          <cell r="A237" t="str">
            <v>WHEAT</v>
          </cell>
          <cell r="B237" t="str">
            <v>VAR_fin</v>
          </cell>
          <cell r="C237" t="str">
            <v>D-CHEAT</v>
          </cell>
          <cell r="J237">
            <v>1.0477359289465401E-3</v>
          </cell>
          <cell r="K237">
            <v>1.1033814067054324E-3</v>
          </cell>
          <cell r="L237">
            <v>0.30497611423570486</v>
          </cell>
          <cell r="M237">
            <v>0.108846101820706</v>
          </cell>
          <cell r="N237">
            <v>0.13055186687990628</v>
          </cell>
          <cell r="O237">
            <v>9.4990272320380251E-2</v>
          </cell>
          <cell r="P237">
            <v>9.4672643902097967E-2</v>
          </cell>
        </row>
        <row r="238">
          <cell r="A238" t="str">
            <v>SOL</v>
          </cell>
          <cell r="B238" t="str">
            <v>VAR_fin</v>
          </cell>
          <cell r="C238" t="str">
            <v>ESOL-PV_A</v>
          </cell>
          <cell r="H238">
            <v>0.34127998258070291</v>
          </cell>
          <cell r="I238">
            <v>1.2719935003443339</v>
          </cell>
          <cell r="J238">
            <v>1.2720838340591312</v>
          </cell>
          <cell r="K238">
            <v>1.8734330696393273</v>
          </cell>
          <cell r="L238">
            <v>1.8734426581236687</v>
          </cell>
          <cell r="M238">
            <v>1.5321644660037261</v>
          </cell>
          <cell r="N238">
            <v>0.60145356385465554</v>
          </cell>
          <cell r="O238">
            <v>0.5078365262409269</v>
          </cell>
          <cell r="P238">
            <v>3.8999237914438042E-3</v>
          </cell>
        </row>
        <row r="239">
          <cell r="A239" t="str">
            <v>SOL</v>
          </cell>
          <cell r="B239" t="str">
            <v>VAR_fin</v>
          </cell>
          <cell r="C239" t="str">
            <v>ESOL-PV_E</v>
          </cell>
          <cell r="H239">
            <v>4.7796875576641473E-6</v>
          </cell>
          <cell r="I239">
            <v>4.7844793434212896E-4</v>
          </cell>
          <cell r="J239">
            <v>1.4624141333938097E-3</v>
          </cell>
          <cell r="K239">
            <v>1.6216070385675172E-3</v>
          </cell>
          <cell r="L239">
            <v>1.6265359753273685E-3</v>
          </cell>
          <cell r="M239">
            <v>1.6275681259815323E-3</v>
          </cell>
          <cell r="N239">
            <v>1.630928831907537E-3</v>
          </cell>
          <cell r="O239">
            <v>1.1142187818388286E-3</v>
          </cell>
          <cell r="P239">
            <v>1.4411907558441041E-3</v>
          </cell>
        </row>
        <row r="240">
          <cell r="A240" t="str">
            <v>TKER</v>
          </cell>
          <cell r="B240" t="str">
            <v>VAR_fout</v>
          </cell>
          <cell r="C240" t="str">
            <v>D-TBDS1</v>
          </cell>
          <cell r="E240">
            <v>8.5270480034799396E-4</v>
          </cell>
          <cell r="F240">
            <v>1.56066497904678E-5</v>
          </cell>
          <cell r="G240">
            <v>1.0871238673764399E-3</v>
          </cell>
          <cell r="H240">
            <v>3.07474784620386E-2</v>
          </cell>
          <cell r="I240">
            <v>1.7002952498647299E-3</v>
          </cell>
          <cell r="J240">
            <v>3.3028479219678801E-4</v>
          </cell>
          <cell r="K240">
            <v>8.2010780969145897E-3</v>
          </cell>
          <cell r="L240">
            <v>1.6907791983742</v>
          </cell>
          <cell r="M240">
            <v>1.5094500331754599</v>
          </cell>
          <cell r="N240">
            <v>1.34755195502659</v>
          </cell>
          <cell r="O240">
            <v>1.2033590280858</v>
          </cell>
          <cell r="P240">
            <v>1.0741312921785999</v>
          </cell>
        </row>
        <row r="241">
          <cell r="A241" t="str">
            <v>BDS1</v>
          </cell>
          <cell r="B241" t="str">
            <v>VAR_fout</v>
          </cell>
          <cell r="C241" t="str">
            <v>IMPBDS1</v>
          </cell>
          <cell r="H241">
            <v>5.2999195223040996</v>
          </cell>
          <cell r="I241">
            <v>18.511786166520402</v>
          </cell>
          <cell r="J241">
            <v>38.847115281717102</v>
          </cell>
          <cell r="K241">
            <v>68.659109762583398</v>
          </cell>
          <cell r="L241">
            <v>93.853201502470498</v>
          </cell>
          <cell r="M241">
            <v>93.853205917719293</v>
          </cell>
          <cell r="N241">
            <v>94.908951943099595</v>
          </cell>
          <cell r="O241">
            <v>96.620373173771</v>
          </cell>
          <cell r="P241">
            <v>98.328930298749896</v>
          </cell>
        </row>
        <row r="242">
          <cell r="A242" t="str">
            <v>BDS1</v>
          </cell>
          <cell r="B242" t="str">
            <v>VAR_fin</v>
          </cell>
          <cell r="C242" t="str">
            <v>D-TBDS1intl</v>
          </cell>
          <cell r="H242">
            <v>5.2999195223040996</v>
          </cell>
          <cell r="I242">
            <v>18.511786166520402</v>
          </cell>
          <cell r="J242">
            <v>38.847115281717102</v>
          </cell>
          <cell r="K242">
            <v>68.659109762583398</v>
          </cell>
          <cell r="L242">
            <v>93.853201502470498</v>
          </cell>
          <cell r="M242">
            <v>93.853205917719293</v>
          </cell>
          <cell r="N242">
            <v>94.908951943099595</v>
          </cell>
          <cell r="O242">
            <v>96.620373173771</v>
          </cell>
          <cell r="P242">
            <v>98.328930298749896</v>
          </cell>
        </row>
        <row r="243">
          <cell r="A243" t="str">
            <v>CELC</v>
          </cell>
          <cell r="B243" t="str">
            <v>VAR_fout</v>
          </cell>
          <cell r="C243" t="str">
            <v>D-CELC</v>
          </cell>
          <cell r="E243">
            <v>0.35903500552413209</v>
          </cell>
          <cell r="F243">
            <v>5.1619879748324805E-2</v>
          </cell>
          <cell r="G243">
            <v>0.34365866705756959</v>
          </cell>
          <cell r="H243">
            <v>5.7144473853457528E-2</v>
          </cell>
          <cell r="I243">
            <v>15.47417625576583</v>
          </cell>
          <cell r="J243">
            <v>15.021897641431371</v>
          </cell>
          <cell r="K243">
            <v>14.597639546525043</v>
          </cell>
          <cell r="L243">
            <v>16.830229824020329</v>
          </cell>
          <cell r="M243">
            <v>22.446207060012703</v>
          </cell>
          <cell r="N243">
            <v>25.112357706722957</v>
          </cell>
          <cell r="O243">
            <v>25.99628203282877</v>
          </cell>
          <cell r="P243">
            <v>26.701083911153685</v>
          </cell>
        </row>
        <row r="244">
          <cell r="A244" t="str">
            <v>CELC</v>
          </cell>
          <cell r="B244" t="str">
            <v>VAR_fin</v>
          </cell>
          <cell r="C244" t="str">
            <v>SUP_H2NGA</v>
          </cell>
          <cell r="J244">
            <v>1.3171093506036413E-5</v>
          </cell>
          <cell r="K244">
            <v>5.8596736321000634E-6</v>
          </cell>
          <cell r="L244">
            <v>8.3906038701634387E-4</v>
          </cell>
          <cell r="M244">
            <v>2.9248109977980892E-2</v>
          </cell>
          <cell r="N244">
            <v>5.442319730470474E-2</v>
          </cell>
          <cell r="O244">
            <v>6.3912532460603466E-2</v>
          </cell>
          <cell r="P244">
            <v>6.4356471975987442E-2</v>
          </cell>
        </row>
        <row r="245">
          <cell r="A245" t="str">
            <v>CELC</v>
          </cell>
          <cell r="B245" t="str">
            <v>VAR_fin</v>
          </cell>
          <cell r="C245" t="str">
            <v>SUP_ELCH2_SOEC</v>
          </cell>
          <cell r="J245">
            <v>7.4687798214147973E-3</v>
          </cell>
          <cell r="K245">
            <v>9.0434700702268309E-3</v>
          </cell>
          <cell r="L245">
            <v>3.1275510891190005E-3</v>
          </cell>
          <cell r="M245">
            <v>7.2831916598812205E-3</v>
          </cell>
          <cell r="N245">
            <v>1.0663835358910526E-2</v>
          </cell>
          <cell r="O245">
            <v>8.1973388822384127E-3</v>
          </cell>
          <cell r="P245">
            <v>1.5872971626541485E-2</v>
          </cell>
        </row>
        <row r="246">
          <cell r="A246" t="str">
            <v>CELC</v>
          </cell>
          <cell r="B246" t="str">
            <v>VAR_fin</v>
          </cell>
          <cell r="C246" t="str">
            <v>SUP_ELCH2</v>
          </cell>
          <cell r="E246">
            <v>4.9586872769599539E-3</v>
          </cell>
          <cell r="F246">
            <v>7.2585974007148193E-3</v>
          </cell>
          <cell r="G246">
            <v>7.1467691312356724E-3</v>
          </cell>
          <cell r="H246">
            <v>5.7027480884001551E-2</v>
          </cell>
          <cell r="I246">
            <v>15.474001980079146</v>
          </cell>
          <cell r="J246">
            <v>15.014125698677345</v>
          </cell>
          <cell r="K246">
            <v>14.588361043426573</v>
          </cell>
          <cell r="L246">
            <v>16.293426363342522</v>
          </cell>
          <cell r="M246">
            <v>21.612800518150255</v>
          </cell>
          <cell r="N246">
            <v>23.239564421460962</v>
          </cell>
          <cell r="O246">
            <v>23.412703464925805</v>
          </cell>
          <cell r="P246">
            <v>23.45384344776831</v>
          </cell>
        </row>
        <row r="247">
          <cell r="A247" t="str">
            <v>CELC</v>
          </cell>
          <cell r="B247" t="str">
            <v>VAR_fin</v>
          </cell>
          <cell r="C247" t="str">
            <v>CT_CWODBDS</v>
          </cell>
          <cell r="E247">
            <v>5.0780801091766428E-2</v>
          </cell>
          <cell r="F247">
            <v>4.4289527590277843E-2</v>
          </cell>
          <cell r="G247">
            <v>3.3248073935881806E-2</v>
          </cell>
          <cell r="H247">
            <v>1.213319033505503E-5</v>
          </cell>
          <cell r="I247">
            <v>2.4890924107463027E-5</v>
          </cell>
          <cell r="J247">
            <v>1.4500276523344069E-5</v>
          </cell>
          <cell r="K247">
            <v>7.0712265233585329E-6</v>
          </cell>
          <cell r="L247">
            <v>4.0664335519996573E-6</v>
          </cell>
          <cell r="M247">
            <v>3.4704373300076749E-6</v>
          </cell>
          <cell r="N247">
            <v>5.9356791040934029E-5</v>
          </cell>
          <cell r="O247">
            <v>5.1852073807203558E-6</v>
          </cell>
          <cell r="P247">
            <v>2.2319380339244295E-5</v>
          </cell>
        </row>
        <row r="248">
          <cell r="A248" t="str">
            <v>CELC</v>
          </cell>
          <cell r="B248" t="str">
            <v>VAR_fin</v>
          </cell>
          <cell r="C248" t="str">
            <v>CT_CWODETHCCS</v>
          </cell>
          <cell r="J248">
            <v>1.2380963671086302E-4</v>
          </cell>
          <cell r="K248">
            <v>1.0669176798229397E-4</v>
          </cell>
          <cell r="L248">
            <v>1.2432762845392999E-4</v>
          </cell>
          <cell r="M248">
            <v>1.2619230425727106E-4</v>
          </cell>
          <cell r="N248">
            <v>9.1408029121509626E-4</v>
          </cell>
          <cell r="O248">
            <v>1.9858205805749316E-4</v>
          </cell>
          <cell r="P248">
            <v>8.1492030576949079E-4</v>
          </cell>
        </row>
        <row r="249">
          <cell r="A249" t="str">
            <v>CELC</v>
          </cell>
          <cell r="B249" t="str">
            <v>VAR_fin</v>
          </cell>
          <cell r="C249" t="str">
            <v>CT_CWODETH</v>
          </cell>
          <cell r="E249">
            <v>0.30329539868702637</v>
          </cell>
          <cell r="F249">
            <v>7.1631937206960021E-5</v>
          </cell>
          <cell r="G249">
            <v>0.30326377685093953</v>
          </cell>
          <cell r="H249">
            <v>1.0485977912090236E-4</v>
          </cell>
          <cell r="I249">
            <v>1.4938476257885598E-4</v>
          </cell>
          <cell r="J249">
            <v>1.3383114432774306E-4</v>
          </cell>
          <cell r="K249">
            <v>8.9387140756481628E-5</v>
          </cell>
          <cell r="L249">
            <v>8.3520475716475069E-5</v>
          </cell>
          <cell r="M249">
            <v>8.0652943160203433E-5</v>
          </cell>
          <cell r="N249">
            <v>6.9109375981418926E-4</v>
          </cell>
          <cell r="O249">
            <v>1.2131197416064064E-4</v>
          </cell>
          <cell r="P249">
            <v>4.7711799386810657E-4</v>
          </cell>
        </row>
        <row r="250">
          <cell r="A250" t="str">
            <v>CELC</v>
          </cell>
          <cell r="B250" t="str">
            <v>VAR_fin</v>
          </cell>
          <cell r="C250" t="str">
            <v>SUP_DAC</v>
          </cell>
          <cell r="J250">
            <v>6.3492369862787249E-6</v>
          </cell>
          <cell r="K250">
            <v>8.6675741562108262E-6</v>
          </cell>
          <cell r="L250">
            <v>9.6153891972664607E-2</v>
          </cell>
          <cell r="M250">
            <v>0.29969488953678847</v>
          </cell>
          <cell r="N250">
            <v>1.3695707637612238</v>
          </cell>
          <cell r="O250">
            <v>2.0119583246717676</v>
          </cell>
          <cell r="P250">
            <v>2.6557574976613885</v>
          </cell>
        </row>
        <row r="251">
          <cell r="A251" t="str">
            <v>CELC</v>
          </cell>
          <cell r="B251" t="str">
            <v>VAR_fin</v>
          </cell>
          <cell r="C251" t="str">
            <v>CT_CWODBDSCCS</v>
          </cell>
          <cell r="J251">
            <v>1.1501544555930865E-5</v>
          </cell>
          <cell r="K251">
            <v>1.7355645189572025E-5</v>
          </cell>
          <cell r="L251">
            <v>0.43647104269127529</v>
          </cell>
          <cell r="M251">
            <v>0.49697003500303638</v>
          </cell>
          <cell r="N251">
            <v>0.43647095799507346</v>
          </cell>
          <cell r="O251">
            <v>0.49918529264874778</v>
          </cell>
          <cell r="P251">
            <v>0.50993916444147547</v>
          </cell>
        </row>
        <row r="252">
          <cell r="A252" t="str">
            <v>SBIO</v>
          </cell>
          <cell r="B252" t="str">
            <v>VAR_fout</v>
          </cell>
          <cell r="C252" t="str">
            <v>D-SBIO</v>
          </cell>
          <cell r="E252">
            <v>4.0476723316821221</v>
          </cell>
          <cell r="F252">
            <v>4.5833661844583968</v>
          </cell>
          <cell r="G252">
            <v>4.5977211288781303</v>
          </cell>
          <cell r="H252">
            <v>4.54961878742286</v>
          </cell>
          <cell r="I252">
            <v>6.0999100854645265</v>
          </cell>
          <cell r="J252">
            <v>7.843753370060548</v>
          </cell>
          <cell r="K252">
            <v>14.626308956512519</v>
          </cell>
          <cell r="L252">
            <v>19.724178923346532</v>
          </cell>
          <cell r="M252">
            <v>23.754497775565788</v>
          </cell>
          <cell r="N252">
            <v>30.590853843819868</v>
          </cell>
          <cell r="O252">
            <v>31.653959410314098</v>
          </cell>
          <cell r="P252">
            <v>31.654536088461178</v>
          </cell>
        </row>
        <row r="253">
          <cell r="A253" t="str">
            <v>INGA</v>
          </cell>
          <cell r="B253" t="str">
            <v>VAR_fout</v>
          </cell>
          <cell r="C253" t="str">
            <v>D-INGA</v>
          </cell>
          <cell r="E253">
            <v>37.471389008259244</v>
          </cell>
          <cell r="F253">
            <v>31.075064870277458</v>
          </cell>
          <cell r="G253">
            <v>34.384238486864099</v>
          </cell>
          <cell r="H253">
            <v>26.64587082825539</v>
          </cell>
          <cell r="I253">
            <v>13.881551492352227</v>
          </cell>
          <cell r="J253">
            <v>13.854498019637616</v>
          </cell>
          <cell r="K253">
            <v>11.752124435617631</v>
          </cell>
          <cell r="L253">
            <v>4.9469891830881929</v>
          </cell>
          <cell r="M253">
            <v>2.5755434903246424</v>
          </cell>
          <cell r="N253">
            <v>2.5753644898810863</v>
          </cell>
          <cell r="O253">
            <v>2.5749640056641727</v>
          </cell>
          <cell r="P253">
            <v>2.5747828417977741</v>
          </cell>
        </row>
        <row r="254">
          <cell r="A254" t="str">
            <v>DSL</v>
          </cell>
          <cell r="B254" t="str">
            <v>VAR_fout</v>
          </cell>
          <cell r="C254" t="str">
            <v>SUP_H2DSL</v>
          </cell>
          <cell r="J254">
            <v>2.6524406877263479E-3</v>
          </cell>
          <cell r="K254">
            <v>1.3672599423388493E-3</v>
          </cell>
          <cell r="L254">
            <v>4.2885055097976256E-4</v>
          </cell>
          <cell r="M254">
            <v>5.9049716912976645E-4</v>
          </cell>
          <cell r="N254">
            <v>1.1627328819956613E-3</v>
          </cell>
          <cell r="O254">
            <v>8.3663937061181578E-4</v>
          </cell>
          <cell r="P254">
            <v>1.8705922591731596E-3</v>
          </cell>
        </row>
        <row r="255">
          <cell r="A255" t="str">
            <v>WSTREN</v>
          </cell>
          <cell r="B255" t="str">
            <v>VAR_fin</v>
          </cell>
          <cell r="C255" t="str">
            <v>D-CWST</v>
          </cell>
          <cell r="E255">
            <v>9.6793720494921835</v>
          </cell>
          <cell r="F255">
            <v>10.604494066768703</v>
          </cell>
          <cell r="G255">
            <v>10.244834995221783</v>
          </cell>
          <cell r="H255">
            <v>10.571017430823119</v>
          </cell>
          <cell r="I255">
            <v>10.550095770747717</v>
          </cell>
          <cell r="J255">
            <v>10.029583974706002</v>
          </cell>
          <cell r="K255">
            <v>15.849045904388293</v>
          </cell>
          <cell r="L255">
            <v>16.93211911987515</v>
          </cell>
          <cell r="M255">
            <v>17.723900064985429</v>
          </cell>
          <cell r="N255">
            <v>17.724210246467418</v>
          </cell>
          <cell r="O255">
            <v>17.724913945220376</v>
          </cell>
          <cell r="P255">
            <v>17.726000475638024</v>
          </cell>
        </row>
        <row r="256">
          <cell r="A256" t="str">
            <v>SOLPVC</v>
          </cell>
          <cell r="B256" t="str">
            <v>VAR_fin</v>
          </cell>
          <cell r="C256" t="str">
            <v>ESOL-PV_A</v>
          </cell>
          <cell r="H256">
            <v>0.34127998258070302</v>
          </cell>
          <cell r="I256">
            <v>1.2719935003443299</v>
          </cell>
          <cell r="J256">
            <v>1.2720838340591301</v>
          </cell>
          <cell r="K256">
            <v>1.87343306963933</v>
          </cell>
          <cell r="L256">
            <v>1.8734426581236701</v>
          </cell>
          <cell r="M256">
            <v>1.5321644660037299</v>
          </cell>
          <cell r="N256">
            <v>0.60145356385465498</v>
          </cell>
          <cell r="O256">
            <v>0.50783652624092601</v>
          </cell>
          <cell r="P256">
            <v>3.8999237914438098E-3</v>
          </cell>
        </row>
        <row r="257">
          <cell r="A257" t="str">
            <v>SOLPVC</v>
          </cell>
          <cell r="B257" t="str">
            <v>VAR_fin</v>
          </cell>
          <cell r="C257" t="str">
            <v>ESOL-PV_E</v>
          </cell>
          <cell r="H257">
            <v>4.7796875576641499E-6</v>
          </cell>
          <cell r="I257">
            <v>4.7844793434212901E-4</v>
          </cell>
          <cell r="J257">
            <v>1.4624141333938101E-3</v>
          </cell>
          <cell r="K257">
            <v>1.62160703856752E-3</v>
          </cell>
          <cell r="L257">
            <v>1.62653597532737E-3</v>
          </cell>
          <cell r="M257">
            <v>1.6275681259815299E-3</v>
          </cell>
          <cell r="N257">
            <v>1.6309288319075401E-3</v>
          </cell>
          <cell r="O257">
            <v>1.1142187818388299E-3</v>
          </cell>
          <cell r="P257">
            <v>1.4411907558440999E-3</v>
          </cell>
        </row>
        <row r="258">
          <cell r="A258" t="str">
            <v>KERintl</v>
          </cell>
          <cell r="B258" t="str">
            <v>VAR_fout</v>
          </cell>
          <cell r="C258" t="str">
            <v>SUP_H2DSL</v>
          </cell>
          <cell r="J258">
            <v>7.84536172914892E-4</v>
          </cell>
          <cell r="K258">
            <v>4.01895089848484E-4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1.7810166721553999E-2</v>
          </cell>
          <cell r="E4">
            <v>1.7878168785104599E-2</v>
          </cell>
          <cell r="F4">
            <v>1.7821096953658501E-2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4.4110732697214437E-3</v>
          </cell>
          <cell r="E5">
            <v>3.5461525541607944E-3</v>
          </cell>
          <cell r="F5">
            <v>2.2164101817101797E-3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3.1578309789989271E-4</v>
          </cell>
          <cell r="E6">
            <v>3.169888082465362E-4</v>
          </cell>
          <cell r="F6">
            <v>3.1597689634146311E-4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8.3570061013346191E-5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1.0198654452716931</v>
          </cell>
          <cell r="E8">
            <v>0.13101466920322255</v>
          </cell>
          <cell r="F8">
            <v>0.16636065107984685</v>
          </cell>
          <cell r="G8">
            <v>0.16294075257279619</v>
          </cell>
          <cell r="H8">
            <v>0.14598247331000369</v>
          </cell>
          <cell r="I8">
            <v>0.1528903764561681</v>
          </cell>
          <cell r="J8">
            <v>0.14066960993366009</v>
          </cell>
          <cell r="K8">
            <v>6.3819466969517902E-2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1.8665644934193601E-3</v>
          </cell>
          <cell r="E9">
            <v>2.4074293701086162E-4</v>
          </cell>
          <cell r="F9">
            <v>3.0701486775992071E-4</v>
          </cell>
          <cell r="G9">
            <v>3.1749001934035774E-4</v>
          </cell>
          <cell r="H9">
            <v>2.9845857374076582E-4</v>
          </cell>
          <cell r="I9">
            <v>3.1950111283966966E-4</v>
          </cell>
          <cell r="J9">
            <v>3.103895123244518E-4</v>
          </cell>
          <cell r="K9">
            <v>1.4169070069173264E-4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1.8082720660845621E-2</v>
          </cell>
          <cell r="E10">
            <v>2.3229551277167116E-3</v>
          </cell>
          <cell r="F10">
            <v>2.949656934039843E-3</v>
          </cell>
          <cell r="G10">
            <v>2.8890204356878686E-3</v>
          </cell>
          <cell r="H10">
            <v>2.5883417253546779E-3</v>
          </cell>
          <cell r="I10">
            <v>2.7108222775916319E-3</v>
          </cell>
          <cell r="J10">
            <v>2.4941420201003532E-3</v>
          </cell>
          <cell r="K10">
            <v>1.1315508327928697E-3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3.5326211425296E-7</v>
          </cell>
          <cell r="F11">
            <v>6.9336953018331297E-7</v>
          </cell>
          <cell r="G11">
            <v>4.6268034496602203E-6</v>
          </cell>
          <cell r="H11">
            <v>4.9856596369093298E-6</v>
          </cell>
          <cell r="I11">
            <v>2.1548524597265302E-6</v>
          </cell>
          <cell r="J11">
            <v>5.07214279016706E-6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3.6069358758625803E-5</v>
          </cell>
          <cell r="E12">
            <v>6.1807222232589793E-6</v>
          </cell>
          <cell r="F12">
            <v>6.1819608995868829E-6</v>
          </cell>
          <cell r="G12">
            <v>6.1832066900819808E-6</v>
          </cell>
          <cell r="H12">
            <v>6.1855494676689996E-6</v>
          </cell>
          <cell r="I12">
            <v>6.19200600874319E-6</v>
          </cell>
          <cell r="J12">
            <v>6.1894574854104997E-6</v>
          </cell>
          <cell r="K12">
            <v>3.4230006625156302E-6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2.1043714910121415E-4</v>
          </cell>
          <cell r="E13">
            <v>5.7310155550568422E-4</v>
          </cell>
          <cell r="F13">
            <v>7.2809004904356395E-4</v>
          </cell>
          <cell r="G13">
            <v>8.5552322266917093E-4</v>
          </cell>
          <cell r="H13">
            <v>8.0990527891613789E-4</v>
          </cell>
          <cell r="I13">
            <v>4.5749599122955285E-4</v>
          </cell>
          <cell r="J13">
            <v>4.4853786576897414E-4</v>
          </cell>
          <cell r="K13">
            <v>2.2131900781843705E-4</v>
          </cell>
          <cell r="L13">
            <v>1.7669843718762877E-3</v>
          </cell>
          <cell r="M13">
            <v>3.0568811491099783E-3</v>
          </cell>
          <cell r="N13">
            <v>3.7513816524939519E-3</v>
          </cell>
          <cell r="O13">
            <v>4.7054002538652103E-3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2.1043714910121415E-4</v>
          </cell>
          <cell r="E14">
            <v>5.7310155550568422E-4</v>
          </cell>
          <cell r="F14">
            <v>7.2809004904356395E-4</v>
          </cell>
          <cell r="G14">
            <v>8.5552322266917093E-4</v>
          </cell>
          <cell r="H14">
            <v>8.0990527891613789E-4</v>
          </cell>
          <cell r="I14">
            <v>4.5749599122955285E-4</v>
          </cell>
          <cell r="J14">
            <v>4.4853786576897414E-4</v>
          </cell>
          <cell r="K14">
            <v>2.2131900781843705E-4</v>
          </cell>
          <cell r="L14">
            <v>1.7669843718762877E-3</v>
          </cell>
          <cell r="M14">
            <v>3.0568811491099783E-3</v>
          </cell>
          <cell r="N14">
            <v>3.7513816524939519E-3</v>
          </cell>
          <cell r="O14">
            <v>4.7054002538652103E-3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3.9272426660165903E-5</v>
          </cell>
          <cell r="F15">
            <v>4.3125151214644902E-5</v>
          </cell>
          <cell r="G15">
            <v>4.20292983697552E-5</v>
          </cell>
          <cell r="H15">
            <v>4.9311198077131597E-5</v>
          </cell>
          <cell r="J15">
            <v>3.6737574435914801E-5</v>
          </cell>
          <cell r="L15">
            <v>2.4646888004689897E-4</v>
          </cell>
          <cell r="M15">
            <v>2.13777289144597E-4</v>
          </cell>
          <cell r="N15">
            <v>1.8343985379657801E-4</v>
          </cell>
          <cell r="O15">
            <v>3.1315501791624598E-4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2.5987400157405879E-5</v>
          </cell>
          <cell r="E16">
            <v>6.4610299639733808E-5</v>
          </cell>
          <cell r="F16">
            <v>1.0461175844710642E-4</v>
          </cell>
          <cell r="G16">
            <v>1.253119045731388E-4</v>
          </cell>
          <cell r="H16">
            <v>1.1803275187917689E-4</v>
          </cell>
          <cell r="I16">
            <v>6.6274751374526938E-5</v>
          </cell>
          <cell r="J16">
            <v>6.5742835026378591E-5</v>
          </cell>
          <cell r="K16">
            <v>3.0742399932800898E-5</v>
          </cell>
          <cell r="L16">
            <v>2.6617469936191228E-4</v>
          </cell>
          <cell r="M16">
            <v>4.602178717451212E-4</v>
          </cell>
          <cell r="N16">
            <v>5.6543769261011641E-4</v>
          </cell>
          <cell r="O16">
            <v>7.1025724079690515E-4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1.6537101574216144E-3</v>
          </cell>
          <cell r="E17">
            <v>3.697336737808153E-3</v>
          </cell>
          <cell r="F17">
            <v>3.7867708157493258E-3</v>
          </cell>
          <cell r="G17">
            <v>1.303328738170545E-3</v>
          </cell>
          <cell r="H17">
            <v>0.437676198923869</v>
          </cell>
          <cell r="I17">
            <v>0.75052992641432614</v>
          </cell>
          <cell r="J17">
            <v>1.8132094324639476</v>
          </cell>
          <cell r="K17">
            <v>2.3971617905370675</v>
          </cell>
          <cell r="L17">
            <v>2.812960962234242</v>
          </cell>
          <cell r="M17">
            <v>2.9109892658932721</v>
          </cell>
          <cell r="N17">
            <v>3.014659279597895</v>
          </cell>
          <cell r="O17">
            <v>3.1326809434899969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6.1538492777534993E-3</v>
          </cell>
          <cell r="E18">
            <v>1.3649091197842472E-2</v>
          </cell>
          <cell r="F18">
            <v>1.3948174199683687E-2</v>
          </cell>
          <cell r="G18">
            <v>4.7489798834673891E-3</v>
          </cell>
          <cell r="H18">
            <v>1.4352923067263725</v>
          </cell>
          <cell r="I18">
            <v>2.4105988096600681</v>
          </cell>
          <cell r="J18">
            <v>5.5446857856329412</v>
          </cell>
          <cell r="K18">
            <v>7.1708224703138326</v>
          </cell>
          <cell r="L18">
            <v>8.2876904668608447</v>
          </cell>
          <cell r="M18">
            <v>8.5765065039921229</v>
          </cell>
          <cell r="N18">
            <v>8.8819444378327468</v>
          </cell>
          <cell r="O18">
            <v>9.2296659426291434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1.55628059064493E-6</v>
          </cell>
          <cell r="F19">
            <v>4.6704369100541301E-6</v>
          </cell>
          <cell r="G19">
            <v>2.76828761443368E-6</v>
          </cell>
          <cell r="H19">
            <v>8.2332441579524192E-3</v>
          </cell>
          <cell r="I19">
            <v>7.5224023319087601E-3</v>
          </cell>
          <cell r="J19">
            <v>3.0286594205838201E-2</v>
          </cell>
          <cell r="K19">
            <v>2.4689753441979798E-2</v>
          </cell>
          <cell r="L19">
            <v>3.7203152153116502E-2</v>
          </cell>
          <cell r="M19">
            <v>4.7546034517922102E-2</v>
          </cell>
          <cell r="N19">
            <v>2.6757724901601401E-2</v>
          </cell>
          <cell r="O19">
            <v>4.3491905984189103E-2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3.2028538732697598E-5</v>
          </cell>
          <cell r="E20">
            <v>7.0118198850623625E-5</v>
          </cell>
          <cell r="F20">
            <v>7.383768529796336E-5</v>
          </cell>
          <cell r="G20">
            <v>2.5586347185287957E-5</v>
          </cell>
          <cell r="H20">
            <v>8.2339620704795693E-3</v>
          </cell>
          <cell r="I20">
            <v>1.4189297646247399E-2</v>
          </cell>
          <cell r="J20">
            <v>3.4187042531679403E-2</v>
          </cell>
          <cell r="K20">
            <v>4.5129050267949403E-2</v>
          </cell>
          <cell r="L20">
            <v>5.5268564651278801E-2</v>
          </cell>
          <cell r="M20">
            <v>5.7194095955242802E-2</v>
          </cell>
          <cell r="N20">
            <v>5.9231015555762899E-2</v>
          </cell>
          <cell r="O20">
            <v>6.1549700067422303E-2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5.0567575828895456E-2</v>
          </cell>
          <cell r="E21">
            <v>9.8728518938240792E-2</v>
          </cell>
          <cell r="F21">
            <v>7.0867502153309489E-2</v>
          </cell>
          <cell r="G21">
            <v>7.9649589640002405E-2</v>
          </cell>
          <cell r="H21">
            <v>1.1317088965513651E-2</v>
          </cell>
          <cell r="I21">
            <v>1.5017595884988856E-3</v>
          </cell>
          <cell r="J21">
            <v>1.408414578395061E-3</v>
          </cell>
          <cell r="K21">
            <v>1.0270461381233097E-3</v>
          </cell>
          <cell r="L21">
            <v>6.8150423796784002E-3</v>
          </cell>
          <cell r="M21">
            <v>7.2042372525711875E-3</v>
          </cell>
          <cell r="N21">
            <v>5.9217411042315005E-3</v>
          </cell>
          <cell r="O21">
            <v>2.8760781801333872E-3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5.0567575828895456E-2</v>
          </cell>
          <cell r="E22">
            <v>9.8728518938240792E-2</v>
          </cell>
          <cell r="F22">
            <v>7.0867502153309489E-2</v>
          </cell>
          <cell r="G22">
            <v>7.9649589640002405E-2</v>
          </cell>
          <cell r="H22">
            <v>1.1317088965513651E-2</v>
          </cell>
          <cell r="I22">
            <v>1.5017595884988856E-3</v>
          </cell>
          <cell r="J22">
            <v>1.408414578395061E-3</v>
          </cell>
          <cell r="K22">
            <v>1.0270461381233097E-3</v>
          </cell>
          <cell r="L22">
            <v>6.8150423796784002E-3</v>
          </cell>
          <cell r="M22">
            <v>7.2042372525711875E-3</v>
          </cell>
          <cell r="N22">
            <v>5.9217411042315005E-3</v>
          </cell>
          <cell r="O22">
            <v>2.8760781801333872E-3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2.2727079722127901E-5</v>
          </cell>
          <cell r="F23">
            <v>7.1763019442467707E-5</v>
          </cell>
          <cell r="G23">
            <v>1.38567424914963E-4</v>
          </cell>
          <cell r="H23">
            <v>8.0538079562051006E-5</v>
          </cell>
          <cell r="J23">
            <v>9.3782405925250896E-5</v>
          </cell>
          <cell r="L23">
            <v>6.6234418789450598E-4</v>
          </cell>
          <cell r="M23">
            <v>8.9466894875592302E-5</v>
          </cell>
          <cell r="N23">
            <v>7.4791885037738405E-5</v>
          </cell>
          <cell r="O23">
            <v>1.31986045678136E-4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4.8860580135988681E-3</v>
          </cell>
          <cell r="E24">
            <v>7.4916020798474906E-3</v>
          </cell>
          <cell r="F24">
            <v>7.2864161974765329E-3</v>
          </cell>
          <cell r="G24">
            <v>6.0560176655875741E-3</v>
          </cell>
          <cell r="H24">
            <v>1.1463025876979997E-3</v>
          </cell>
          <cell r="I24">
            <v>1.4014363819599639E-4</v>
          </cell>
          <cell r="J24">
            <v>1.3980069505061083E-4</v>
          </cell>
          <cell r="K24">
            <v>7.8478132372174504E-5</v>
          </cell>
          <cell r="L24">
            <v>7.1266648978783457E-4</v>
          </cell>
          <cell r="M24">
            <v>7.5180073133653729E-4</v>
          </cell>
          <cell r="N24">
            <v>6.1659530317661614E-4</v>
          </cell>
          <cell r="O24">
            <v>2.9621845505223635E-4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10.906078598393579</v>
          </cell>
          <cell r="E25">
            <v>12.268728984020393</v>
          </cell>
          <cell r="F25">
            <v>15.457032909651909</v>
          </cell>
          <cell r="G25">
            <v>33.633736848007018</v>
          </cell>
          <cell r="H25">
            <v>53.533662427533734</v>
          </cell>
          <cell r="I25">
            <v>64.086837111719149</v>
          </cell>
          <cell r="J25">
            <v>70.370605399090849</v>
          </cell>
          <cell r="K25">
            <v>74.862540209544122</v>
          </cell>
          <cell r="L25">
            <v>74.837845103965321</v>
          </cell>
          <cell r="M25">
            <v>75.185904590830205</v>
          </cell>
          <cell r="N25">
            <v>75.497362427151998</v>
          </cell>
          <cell r="O25">
            <v>77.202068343311964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0.168174745641019</v>
          </cell>
          <cell r="I26">
            <v>0.61620439341786304</v>
          </cell>
          <cell r="J26">
            <v>0.79466900837224297</v>
          </cell>
          <cell r="K26">
            <v>0.83069102338579004</v>
          </cell>
          <cell r="L26">
            <v>0.857194828166013</v>
          </cell>
          <cell r="M26">
            <v>0.88149196702562305</v>
          </cell>
          <cell r="N26">
            <v>0.88184665199737899</v>
          </cell>
          <cell r="O26">
            <v>0.86680269687715195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2.9378043755768752E-3</v>
          </cell>
          <cell r="E27">
            <v>1.1166030561567848E-3</v>
          </cell>
          <cell r="F27">
            <v>1.2990401964301068E-3</v>
          </cell>
          <cell r="G27">
            <v>5.1505746817866398E-2</v>
          </cell>
          <cell r="H27">
            <v>4.7805528613194337</v>
          </cell>
          <cell r="I27">
            <v>0.39464441655432714</v>
          </cell>
          <cell r="J27">
            <v>6.1920005401647753</v>
          </cell>
          <cell r="K27">
            <v>0.71220828661789859</v>
          </cell>
          <cell r="L27">
            <v>0.55318595641415047</v>
          </cell>
          <cell r="M27">
            <v>0.70035597756945234</v>
          </cell>
          <cell r="N27">
            <v>0.91533832093453993</v>
          </cell>
          <cell r="O27">
            <v>1.1170695461645261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2.5436475548978414</v>
          </cell>
          <cell r="E28">
            <v>7.7041794523989765E-2</v>
          </cell>
          <cell r="F28">
            <v>0.19162436319064027</v>
          </cell>
          <cell r="G28">
            <v>7.0010697368945705</v>
          </cell>
          <cell r="H28">
            <v>18.241042400446446</v>
          </cell>
          <cell r="I28">
            <v>29.362367475568536</v>
          </cell>
          <cell r="J28">
            <v>28.916954761924249</v>
          </cell>
          <cell r="K28">
            <v>34.47192386318634</v>
          </cell>
          <cell r="L28">
            <v>32.211994824751145</v>
          </cell>
          <cell r="M28">
            <v>32.280282896216839</v>
          </cell>
          <cell r="N28">
            <v>32.783465863951115</v>
          </cell>
          <cell r="O28">
            <v>35.181035472967096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1.7249953953437147</v>
          </cell>
          <cell r="E29">
            <v>6.2083933629715281E-2</v>
          </cell>
          <cell r="F29">
            <v>0.13125195769882755</v>
          </cell>
          <cell r="G29">
            <v>2.2698838178406544</v>
          </cell>
          <cell r="H29">
            <v>6.0876709530950066</v>
          </cell>
          <cell r="I29">
            <v>9.9111716124236224</v>
          </cell>
          <cell r="J29">
            <v>10.424228723649959</v>
          </cell>
          <cell r="K29">
            <v>14.333875312635655</v>
          </cell>
          <cell r="L29">
            <v>16.577404308997906</v>
          </cell>
          <cell r="M29">
            <v>16.6829434044439</v>
          </cell>
          <cell r="N29">
            <v>16.503310938745315</v>
          </cell>
          <cell r="O29">
            <v>16.016981563352463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6.6344978437764537</v>
          </cell>
          <cell r="E30">
            <v>12.128490302817738</v>
          </cell>
          <cell r="F30">
            <v>15.13285959014657</v>
          </cell>
          <cell r="G30">
            <v>24.311278316845105</v>
          </cell>
          <cell r="H30">
            <v>24.592571542159646</v>
          </cell>
          <cell r="I30">
            <v>25.034857249328152</v>
          </cell>
          <cell r="J30">
            <v>25.632090412058027</v>
          </cell>
          <cell r="K30">
            <v>26.175225372821163</v>
          </cell>
          <cell r="L30">
            <v>26.352454045314701</v>
          </cell>
          <cell r="M30">
            <v>26.403813371524677</v>
          </cell>
          <cell r="N30">
            <v>26.177094385023103</v>
          </cell>
          <cell r="O30">
            <v>25.753785377457184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4.8975123720623265E-2</v>
          </cell>
          <cell r="E31">
            <v>0.15755485662868313</v>
          </cell>
          <cell r="F31">
            <v>1.2009191121632947</v>
          </cell>
          <cell r="G31">
            <v>3.6064251503193172</v>
          </cell>
          <cell r="H31">
            <v>9.5726793436973789</v>
          </cell>
          <cell r="I31">
            <v>7.3764616781071339</v>
          </cell>
          <cell r="J31">
            <v>7.4209849497228468</v>
          </cell>
          <cell r="K31">
            <v>2.7279389665713509</v>
          </cell>
          <cell r="L31">
            <v>1.7082560896824981</v>
          </cell>
          <cell r="M31">
            <v>1.0834535287966875E-2</v>
          </cell>
          <cell r="N31">
            <v>9.7995555863076098E-3</v>
          </cell>
          <cell r="O31">
            <v>5.4396156781336439E-3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4.8975123720623265E-2</v>
          </cell>
          <cell r="E32">
            <v>0.15755485662868313</v>
          </cell>
          <cell r="F32">
            <v>1.2009191121632947</v>
          </cell>
          <cell r="G32">
            <v>3.6064251503193172</v>
          </cell>
          <cell r="H32">
            <v>9.5726793436973789</v>
          </cell>
          <cell r="I32">
            <v>7.3764616781071339</v>
          </cell>
          <cell r="J32">
            <v>7.4209849497228468</v>
          </cell>
          <cell r="K32">
            <v>2.7279389665713509</v>
          </cell>
          <cell r="L32">
            <v>1.7082560896824981</v>
          </cell>
          <cell r="M32">
            <v>1.0834535287966875E-2</v>
          </cell>
          <cell r="N32">
            <v>9.7995555863076098E-3</v>
          </cell>
          <cell r="O32">
            <v>5.4396156781336439E-3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2.38118334679476E-4</v>
          </cell>
          <cell r="F33">
            <v>7.3287667434098702E-2</v>
          </cell>
          <cell r="G33">
            <v>0.18594261920876201</v>
          </cell>
          <cell r="H33">
            <v>0.47727383413715602</v>
          </cell>
          <cell r="J33">
            <v>0.22414439040297099</v>
          </cell>
          <cell r="L33">
            <v>8.4035855024621896E-4</v>
          </cell>
          <cell r="M33">
            <v>2.0201160882083E-4</v>
          </cell>
          <cell r="N33">
            <v>1.6631170613935401E-4</v>
          </cell>
          <cell r="O33">
            <v>1.56129078969756E-4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4.0688002768731789E-3</v>
          </cell>
          <cell r="E34">
            <v>1.083814287713235E-2</v>
          </cell>
          <cell r="F34">
            <v>8.2587534421117909E-2</v>
          </cell>
          <cell r="G34">
            <v>0.24798027530498157</v>
          </cell>
          <cell r="H34">
            <v>0.65820865324602307</v>
          </cell>
          <cell r="I34">
            <v>0.5071958128180849</v>
          </cell>
          <cell r="J34">
            <v>0.51032574375326101</v>
          </cell>
          <cell r="K34">
            <v>0.18756645201174699</v>
          </cell>
          <cell r="L34">
            <v>0.12113254446757139</v>
          </cell>
          <cell r="M34">
            <v>1.04237015906705E-3</v>
          </cell>
          <cell r="N34">
            <v>9.4224148669512921E-4</v>
          </cell>
          <cell r="O34">
            <v>5.2442854432425685E-4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1.2295037728045069E-5</v>
          </cell>
          <cell r="E35">
            <v>4.2578774330292248E-4</v>
          </cell>
          <cell r="F35">
            <v>6.1756538463181515E-4</v>
          </cell>
          <cell r="G35">
            <v>9.1406125068476036E-4</v>
          </cell>
          <cell r="H35">
            <v>9.2858880211570431E-4</v>
          </cell>
          <cell r="I35">
            <v>5.1383981491077253E-4</v>
          </cell>
          <cell r="J35">
            <v>1.6035160016349777E-3</v>
          </cell>
          <cell r="K35">
            <v>1.2249169613563601E-3</v>
          </cell>
          <cell r="L35">
            <v>6.4744927569979367E-3</v>
          </cell>
          <cell r="M35">
            <v>3.565154180563208E-4</v>
          </cell>
          <cell r="N35">
            <v>2.2210677803932694E-4</v>
          </cell>
          <cell r="O35">
            <v>2.1778539914643364E-4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1.2295037728045069E-5</v>
          </cell>
          <cell r="E36">
            <v>4.2578774330292248E-4</v>
          </cell>
          <cell r="F36">
            <v>6.1756538463181515E-4</v>
          </cell>
          <cell r="G36">
            <v>9.1406125068476036E-4</v>
          </cell>
          <cell r="H36">
            <v>9.2858880211570431E-4</v>
          </cell>
          <cell r="I36">
            <v>5.1383981491077253E-4</v>
          </cell>
          <cell r="J36">
            <v>1.6035160016349777E-3</v>
          </cell>
          <cell r="K36">
            <v>1.2249169613563601E-3</v>
          </cell>
          <cell r="L36">
            <v>6.4744927569979367E-3</v>
          </cell>
          <cell r="M36">
            <v>3.565154180563208E-4</v>
          </cell>
          <cell r="N36">
            <v>2.2210677803932694E-4</v>
          </cell>
          <cell r="O36">
            <v>2.1778539914643364E-4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4.6011832518255902E-5</v>
          </cell>
          <cell r="F37">
            <v>4.61814212668953E-5</v>
          </cell>
          <cell r="G37">
            <v>6.3378490461435004E-5</v>
          </cell>
          <cell r="H37">
            <v>4.7661512566017601E-5</v>
          </cell>
          <cell r="J37">
            <v>2.2069440205425299E-4</v>
          </cell>
          <cell r="L37">
            <v>8.6282317500488599E-4</v>
          </cell>
          <cell r="M37">
            <v>9.3788750539140004E-6</v>
          </cell>
          <cell r="N37">
            <v>8.3920786501109706E-6</v>
          </cell>
          <cell r="O37">
            <v>1.17942418385709E-5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4.6919270047927599E-5</v>
          </cell>
          <cell r="F38">
            <v>8.9877452035256971E-5</v>
          </cell>
          <cell r="G38">
            <v>1.3582391354883725E-4</v>
          </cell>
          <cell r="H38">
            <v>1.3595479154323014E-4</v>
          </cell>
          <cell r="I38">
            <v>7.4838713814603594E-5</v>
          </cell>
          <cell r="J38">
            <v>2.4118680740947682E-4</v>
          </cell>
          <cell r="K38">
            <v>1.84679464419117E-4</v>
          </cell>
          <cell r="L38">
            <v>9.812495728143565E-4</v>
          </cell>
          <cell r="M38">
            <v>5.0614127039543965E-5</v>
          </cell>
          <cell r="N38">
            <v>3.033943050898501E-5</v>
          </cell>
          <cell r="O38">
            <v>2.9471304101128671E-5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8.9123882480993219E-2</v>
          </cell>
          <cell r="E39">
            <v>0.15913574383295265</v>
          </cell>
          <cell r="F39">
            <v>0.15320020743779805</v>
          </cell>
          <cell r="G39">
            <v>0.12685602946459948</v>
          </cell>
          <cell r="H39">
            <v>2.7823933287672173E-2</v>
          </cell>
          <cell r="I39">
            <v>3.4836364682049557E-3</v>
          </cell>
          <cell r="J39">
            <v>2.4950603776206157E-3</v>
          </cell>
          <cell r="K39">
            <v>1.3858125504385382E-3</v>
          </cell>
          <cell r="L39">
            <v>0.89882197344576309</v>
          </cell>
          <cell r="M39">
            <v>2.4754244751689769</v>
          </cell>
          <cell r="N39">
            <v>2.3803253533228341</v>
          </cell>
          <cell r="O39">
            <v>2.0210307916058299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8.9123882480993219E-2</v>
          </cell>
          <cell r="E40">
            <v>0.15913574383295265</v>
          </cell>
          <cell r="F40">
            <v>0.15320020743779805</v>
          </cell>
          <cell r="G40">
            <v>0.12685602946459948</v>
          </cell>
          <cell r="H40">
            <v>2.7823933287672173E-2</v>
          </cell>
          <cell r="I40">
            <v>3.4836364682049557E-3</v>
          </cell>
          <cell r="J40">
            <v>2.4950603776206157E-3</v>
          </cell>
          <cell r="K40">
            <v>1.3858125504385382E-3</v>
          </cell>
          <cell r="L40">
            <v>0.89882197344576309</v>
          </cell>
          <cell r="M40">
            <v>2.4754244751689769</v>
          </cell>
          <cell r="N40">
            <v>2.3803253533228341</v>
          </cell>
          <cell r="O40">
            <v>2.0210307916058299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7.9535431155022997E-5</v>
          </cell>
          <cell r="F41">
            <v>1.16822831842831E-4</v>
          </cell>
          <cell r="G41">
            <v>3.3167751892455302E-4</v>
          </cell>
          <cell r="H41">
            <v>1.4456488849397199E-4</v>
          </cell>
          <cell r="J41">
            <v>1.3232936972239101E-4</v>
          </cell>
          <cell r="L41">
            <v>0.101013567545822</v>
          </cell>
          <cell r="M41">
            <v>0.177407751169567</v>
          </cell>
          <cell r="N41">
            <v>2.1327603314900901E-2</v>
          </cell>
          <cell r="O41">
            <v>2.8590834522845901E-2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7.2627868635259333E-3</v>
          </cell>
          <cell r="E42">
            <v>1.253707513122233E-2</v>
          </cell>
          <cell r="F42">
            <v>1.2131487407216273E-2</v>
          </cell>
          <cell r="G42">
            <v>1.0015917041278822E-2</v>
          </cell>
          <cell r="H42">
            <v>2.2531194327466255E-3</v>
          </cell>
          <cell r="I42">
            <v>2.880447936928701E-4</v>
          </cell>
          <cell r="J42">
            <v>2.1639658180344753E-4</v>
          </cell>
          <cell r="K42">
            <v>1.10734648907147E-4</v>
          </cell>
          <cell r="L42">
            <v>0.10108457940576476</v>
          </cell>
          <cell r="M42">
            <v>0.27842130845886454</v>
          </cell>
          <cell r="N42">
            <v>0.26772620931881969</v>
          </cell>
          <cell r="O42">
            <v>0.22732616684190587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2.7723802537567204E-6</v>
          </cell>
          <cell r="E43">
            <v>4.2297849975929212E-4</v>
          </cell>
          <cell r="F43">
            <v>1.4781939192978814E-3</v>
          </cell>
          <cell r="G43">
            <v>3.9130093376750124E-3</v>
          </cell>
          <cell r="H43">
            <v>3.6550696386289175E-3</v>
          </cell>
          <cell r="I43">
            <v>2.0777255478238287E-3</v>
          </cell>
          <cell r="J43">
            <v>6.3117580877189855E-3</v>
          </cell>
          <cell r="K43">
            <v>5.0306368089294519E-3</v>
          </cell>
          <cell r="L43">
            <v>3.7032469892354135E-3</v>
          </cell>
          <cell r="M43">
            <v>5.9356590085889334E-4</v>
          </cell>
          <cell r="N43">
            <v>5.2784773487432916E-4</v>
          </cell>
          <cell r="O43">
            <v>3.3888829848334999E-4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2.7723802537567204E-6</v>
          </cell>
          <cell r="E44">
            <v>4.2297849975929212E-4</v>
          </cell>
          <cell r="F44">
            <v>1.4781939192978814E-3</v>
          </cell>
          <cell r="G44">
            <v>3.9130093376750124E-3</v>
          </cell>
          <cell r="H44">
            <v>3.6550696386289175E-3</v>
          </cell>
          <cell r="I44">
            <v>2.0777255478238287E-3</v>
          </cell>
          <cell r="J44">
            <v>6.3117580877189855E-3</v>
          </cell>
          <cell r="K44">
            <v>5.0306368089294519E-3</v>
          </cell>
          <cell r="L44">
            <v>3.7032469892354135E-3</v>
          </cell>
          <cell r="M44">
            <v>5.9356590085889334E-4</v>
          </cell>
          <cell r="N44">
            <v>5.2784773487432916E-4</v>
          </cell>
          <cell r="O44">
            <v>3.3888829848334999E-4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3.2519462649546797E-5</v>
          </cell>
          <cell r="F45">
            <v>8.9163899150470496E-5</v>
          </cell>
          <cell r="G45">
            <v>2.7359761384641602E-4</v>
          </cell>
          <cell r="H45">
            <v>8.1259416707136193E-5</v>
          </cell>
          <cell r="J45">
            <v>6.3063758126724698E-4</v>
          </cell>
          <cell r="L45">
            <v>4.59616120506946E-5</v>
          </cell>
          <cell r="M45">
            <v>9.5521397271264597E-6</v>
          </cell>
          <cell r="N45">
            <v>8.2187194407636298E-6</v>
          </cell>
          <cell r="O45">
            <v>1.25557268433418E-5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3.2336839717048862E-5</v>
          </cell>
          <cell r="F46">
            <v>1.1845970230648002E-4</v>
          </cell>
          <cell r="G46">
            <v>3.6121845579547228E-4</v>
          </cell>
          <cell r="H46">
            <v>3.54486803735033E-4</v>
          </cell>
          <cell r="I46">
            <v>2.038192628916183E-4</v>
          </cell>
          <cell r="J46">
            <v>6.5534696553826697E-4</v>
          </cell>
          <cell r="K46">
            <v>5.27724353979636E-4</v>
          </cell>
          <cell r="L46">
            <v>3.8439975108202422E-4</v>
          </cell>
          <cell r="M46">
            <v>5.5493150277939458E-5</v>
          </cell>
          <cell r="N46">
            <v>4.8991359423581324E-5</v>
          </cell>
          <cell r="O46">
            <v>3.0307554188035028E-5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0.24501625874207142</v>
          </cell>
          <cell r="J47">
            <v>0.25420479024173176</v>
          </cell>
          <cell r="K47">
            <v>0.26339335116587126</v>
          </cell>
          <cell r="L47">
            <v>0.27582945286366878</v>
          </cell>
          <cell r="M47">
            <v>0.28823613655991065</v>
          </cell>
          <cell r="N47">
            <v>0.30061291745203017</v>
          </cell>
          <cell r="O47">
            <v>0.31295354685680726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9.7089503592552884</v>
          </cell>
          <cell r="J48">
            <v>10.080346386513433</v>
          </cell>
          <cell r="K48">
            <v>10.452281810452895</v>
          </cell>
          <cell r="L48">
            <v>10.945785685905591</v>
          </cell>
          <cell r="M48">
            <v>11.438122161949016</v>
          </cell>
          <cell r="N48">
            <v>11.929272000082907</v>
          </cell>
          <cell r="O48">
            <v>12.418987232780111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4.4020038210827401E-5</v>
          </cell>
          <cell r="E49">
            <v>5.4053143353101802E-5</v>
          </cell>
          <cell r="F49">
            <v>8.10804847249186E-5</v>
          </cell>
          <cell r="G49">
            <v>1.35134471586887E-4</v>
          </cell>
          <cell r="H49">
            <v>1.33442356598735E-4</v>
          </cell>
          <cell r="I49">
            <v>1.3337274333030999E-4</v>
          </cell>
          <cell r="J49">
            <v>9.8679870386813196E-5</v>
          </cell>
          <cell r="K49">
            <v>1.49485021350061E-3</v>
          </cell>
          <cell r="L49">
            <v>9.7795062775658998E-4</v>
          </cell>
          <cell r="M49">
            <v>2.5673046094250199E-4</v>
          </cell>
          <cell r="N49">
            <v>2.6357288654342E-4</v>
          </cell>
          <cell r="O49">
            <v>2.6869314689664998E-4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2.0938225360760073E-3</v>
          </cell>
          <cell r="E50">
            <v>2.1478756794291089E-3</v>
          </cell>
          <cell r="F50">
            <v>2.2289561641540279E-3</v>
          </cell>
          <cell r="G50">
            <v>2.3640906357409149E-3</v>
          </cell>
          <cell r="H50">
            <v>2.4975329923396499E-3</v>
          </cell>
          <cell r="I50">
            <v>2.6309057356699601E-3</v>
          </cell>
          <cell r="J50">
            <v>2.7295856060567739E-3</v>
          </cell>
          <cell r="K50">
            <v>2.828282591682647E-3</v>
          </cell>
          <cell r="L50">
            <v>2.9617860981550801E-3</v>
          </cell>
          <cell r="M50">
            <v>3.0950262725155599E-3</v>
          </cell>
          <cell r="N50">
            <v>3.22791287037064E-3</v>
          </cell>
          <cell r="O50">
            <v>3.3604772060265801E-3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5.2110582653847452E-5</v>
          </cell>
          <cell r="E51">
            <v>0.47049334624770078</v>
          </cell>
          <cell r="F51">
            <v>0.98176401483090914</v>
          </cell>
          <cell r="G51">
            <v>5.4803263008696996</v>
          </cell>
          <cell r="H51">
            <v>7.6678367683490771</v>
          </cell>
          <cell r="I51">
            <v>5.3209501829039327</v>
          </cell>
          <cell r="J51">
            <v>5.1614424993132726</v>
          </cell>
          <cell r="K51">
            <v>1.8908665344061515</v>
          </cell>
          <cell r="L51">
            <v>1.2867390281724744</v>
          </cell>
          <cell r="M51">
            <v>8.6564678681047514E-4</v>
          </cell>
          <cell r="N51">
            <v>7.4934561977514733E-4</v>
          </cell>
          <cell r="O51">
            <v>4.1524875548487508E-4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5.2110582653847452E-5</v>
          </cell>
          <cell r="E52">
            <v>0.47049334624770078</v>
          </cell>
          <cell r="F52">
            <v>0.98176401483090914</v>
          </cell>
          <cell r="G52">
            <v>5.4803263008696996</v>
          </cell>
          <cell r="H52">
            <v>7.6678367683490771</v>
          </cell>
          <cell r="I52">
            <v>5.3209501829039327</v>
          </cell>
          <cell r="J52">
            <v>5.1614424993132726</v>
          </cell>
          <cell r="K52">
            <v>1.8908665344061515</v>
          </cell>
          <cell r="L52">
            <v>1.2867390281724744</v>
          </cell>
          <cell r="M52">
            <v>8.6564678681047514E-4</v>
          </cell>
          <cell r="N52">
            <v>7.4934561977514733E-4</v>
          </cell>
          <cell r="O52">
            <v>4.1524875548487508E-4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3.2783277721960803E-2</v>
          </cell>
          <cell r="F53">
            <v>3.7508049023176497E-2</v>
          </cell>
          <cell r="G53">
            <v>0.33728876562686</v>
          </cell>
          <cell r="H53">
            <v>0.240048726438888</v>
          </cell>
          <cell r="J53">
            <v>0.22092584079775901</v>
          </cell>
          <cell r="L53">
            <v>5.5277729463360097E-5</v>
          </cell>
          <cell r="M53">
            <v>1.07446971287738E-5</v>
          </cell>
          <cell r="N53">
            <v>9.3220389269868898E-6</v>
          </cell>
          <cell r="O53">
            <v>1.3604572057832699E-5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3.2350854393064975E-2</v>
          </cell>
          <cell r="F54">
            <v>6.7507958865128781E-2</v>
          </cell>
          <cell r="G54">
            <v>0.37681775646493315</v>
          </cell>
          <cell r="H54">
            <v>0.52723305737486648</v>
          </cell>
          <cell r="I54">
            <v>0.36587139927411122</v>
          </cell>
          <cell r="J54">
            <v>0.36048067545774876</v>
          </cell>
          <cell r="K54">
            <v>0.18487313486475901</v>
          </cell>
          <cell r="L54">
            <v>0.1186201590695158</v>
          </cell>
          <cell r="M54">
            <v>6.6006331039126359E-5</v>
          </cell>
          <cell r="N54">
            <v>5.7764361064116205E-5</v>
          </cell>
          <cell r="O54">
            <v>3.3653293458681656E-5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2.9944467085967871E-3</v>
          </cell>
          <cell r="E55">
            <v>1.025526475360884E-2</v>
          </cell>
          <cell r="F55">
            <v>1.1195063666219069E-2</v>
          </cell>
          <cell r="G55">
            <v>3.4160179026395406E-2</v>
          </cell>
          <cell r="H55">
            <v>2.4693986221966967E-2</v>
          </cell>
          <cell r="I55">
            <v>1.3011553697499002E-2</v>
          </cell>
          <cell r="J55">
            <v>1.3024535370780065E-2</v>
          </cell>
          <cell r="K55">
            <v>8.6332549102240731E-3</v>
          </cell>
          <cell r="L55">
            <v>0.52863683752734758</v>
          </cell>
          <cell r="M55">
            <v>1.7405860010505025</v>
          </cell>
          <cell r="N55">
            <v>1.6733964279185218</v>
          </cell>
          <cell r="O55">
            <v>1.4186582410630999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2.9944467085967871E-3</v>
          </cell>
          <cell r="E56">
            <v>1.025526475360884E-2</v>
          </cell>
          <cell r="F56">
            <v>1.1195063666219069E-2</v>
          </cell>
          <cell r="G56">
            <v>3.4160179026395406E-2</v>
          </cell>
          <cell r="H56">
            <v>2.4693986221966967E-2</v>
          </cell>
          <cell r="I56">
            <v>1.3011553697499002E-2</v>
          </cell>
          <cell r="J56">
            <v>1.3024535370780065E-2</v>
          </cell>
          <cell r="K56">
            <v>8.6332549102240731E-3</v>
          </cell>
          <cell r="L56">
            <v>0.52863683752734758</v>
          </cell>
          <cell r="M56">
            <v>1.7405860010505025</v>
          </cell>
          <cell r="N56">
            <v>1.6733964279185218</v>
          </cell>
          <cell r="O56">
            <v>1.4186582410630999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1.33396065452273E-4</v>
          </cell>
          <cell r="F57">
            <v>1.3055638092969801E-4</v>
          </cell>
          <cell r="G57">
            <v>2.1095784194380199E-3</v>
          </cell>
          <cell r="H57">
            <v>1.36057799176664E-4</v>
          </cell>
          <cell r="J57">
            <v>1.1520279026398599E-3</v>
          </cell>
          <cell r="L57">
            <v>5.88214991470642E-2</v>
          </cell>
          <cell r="M57">
            <v>0.11357933612363599</v>
          </cell>
          <cell r="N57">
            <v>1.2093247794133E-2</v>
          </cell>
          <cell r="O57">
            <v>3.3879219274504699E-2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2.5909291711042823E-4</v>
          </cell>
          <cell r="E58">
            <v>8.1168724114019598E-4</v>
          </cell>
          <cell r="F58">
            <v>9.0554712330446607E-4</v>
          </cell>
          <cell r="G58">
            <v>2.7170449765628541E-3</v>
          </cell>
          <cell r="H58">
            <v>1.994416393297459E-3</v>
          </cell>
          <cell r="I58">
            <v>1.0894477798592333E-3</v>
          </cell>
          <cell r="J58">
            <v>1.1895197270167367E-3</v>
          </cell>
          <cell r="K58">
            <v>9.6402941839506895E-4</v>
          </cell>
          <cell r="L58">
            <v>5.9439754083156132E-2</v>
          </cell>
          <cell r="M58">
            <v>0.17240080175439307</v>
          </cell>
          <cell r="N58">
            <v>0.16584523709491039</v>
          </cell>
          <cell r="O58">
            <v>0.15955045489197045</v>
          </cell>
        </row>
        <row r="59">
          <cell r="A59" t="str">
            <v>T-Plg-GSL-mix_S1</v>
          </cell>
          <cell r="B59" t="str">
            <v>VAR_fout</v>
          </cell>
          <cell r="C59" t="str">
            <v>T-PEVmix-ELC_GSL_S1</v>
          </cell>
          <cell r="D59">
            <v>2.1103580883585305E-4</v>
          </cell>
          <cell r="E59">
            <v>5.1534277473818681E-4</v>
          </cell>
          <cell r="F59">
            <v>6.3755047963838963E-4</v>
          </cell>
          <cell r="G59">
            <v>6.8592285737232369E-4</v>
          </cell>
          <cell r="H59">
            <v>6.0933228429641689E-4</v>
          </cell>
          <cell r="I59">
            <v>3.0414725157894751E-4</v>
          </cell>
          <cell r="J59">
            <v>2.7884929209570159E-4</v>
          </cell>
          <cell r="K59">
            <v>1.1567683110412399E-4</v>
          </cell>
          <cell r="L59">
            <v>8.5157131644370552E-4</v>
          </cell>
          <cell r="M59">
            <v>1.4735904822862885E-3</v>
          </cell>
          <cell r="N59">
            <v>1.8050099689323673E-3</v>
          </cell>
          <cell r="O59">
            <v>2.2666465739400073E-3</v>
          </cell>
        </row>
        <row r="60">
          <cell r="A60" t="str">
            <v>T-Plg-GSL-mix_S1</v>
          </cell>
          <cell r="B60" t="str">
            <v>VAR_fout</v>
          </cell>
          <cell r="C60" t="str">
            <v>CO2_T</v>
          </cell>
          <cell r="D60">
            <v>2.1822436273961101E-2</v>
          </cell>
          <cell r="E60">
            <v>5.3289699615470004E-2</v>
          </cell>
          <cell r="F60">
            <v>6.5926748593475776E-2</v>
          </cell>
          <cell r="G60">
            <v>7.0928758140300086E-2</v>
          </cell>
          <cell r="H60">
            <v>6.3008808870291755E-2</v>
          </cell>
          <cell r="I60">
            <v>3.049850601625597E-2</v>
          </cell>
          <cell r="J60">
            <v>2.6452097434913599E-2</v>
          </cell>
          <cell r="K60">
            <v>1.0404868165897131E-2</v>
          </cell>
          <cell r="L60">
            <v>7.3403490088662302E-2</v>
          </cell>
          <cell r="M60">
            <v>0.1176497908209261</v>
          </cell>
          <cell r="N60">
            <v>0.13869004726691481</v>
          </cell>
          <cell r="O60">
            <v>0.167710062479761</v>
          </cell>
        </row>
        <row r="61">
          <cell r="A61" t="str">
            <v>T-Plg-GSL-mix_S1</v>
          </cell>
          <cell r="B61" t="str">
            <v>VAR_fin</v>
          </cell>
          <cell r="C61" t="str">
            <v>TGSL</v>
          </cell>
          <cell r="D61">
            <v>2.9569696848185772E-4</v>
          </cell>
          <cell r="E61">
            <v>7.220826506161254E-4</v>
          </cell>
          <cell r="F61">
            <v>8.933163766053616E-4</v>
          </cell>
          <cell r="G61">
            <v>9.6109428374390447E-4</v>
          </cell>
          <cell r="H61">
            <v>8.5377789797143376E-4</v>
          </cell>
          <cell r="I61">
            <v>4.132588891091593E-4</v>
          </cell>
          <cell r="J61">
            <v>3.584295045381245E-4</v>
          </cell>
          <cell r="K61">
            <v>1.409873735216414E-4</v>
          </cell>
          <cell r="L61">
            <v>9.9462723697374476E-4</v>
          </cell>
          <cell r="M61">
            <v>1.5941706073296198E-3</v>
          </cell>
          <cell r="N61">
            <v>1.8792689331560287E-3</v>
          </cell>
          <cell r="O61">
            <v>2.2724940715414831E-3</v>
          </cell>
        </row>
        <row r="62">
          <cell r="A62" t="str">
            <v>T-Plg-GSL-mix_S2</v>
          </cell>
          <cell r="B62" t="str">
            <v>VAR_fout</v>
          </cell>
          <cell r="C62" t="str">
            <v>CO2_T</v>
          </cell>
          <cell r="D62">
            <v>6.1907736432493703</v>
          </cell>
          <cell r="E62">
            <v>12.31136860915672</v>
          </cell>
          <cell r="F62">
            <v>8.7056202532103146</v>
          </cell>
          <cell r="G62">
            <v>9.7570759205275497</v>
          </cell>
          <cell r="H62">
            <v>1.0560503305743063</v>
          </cell>
          <cell r="I62">
            <v>0.11831905894631213</v>
          </cell>
          <cell r="J62">
            <v>9.6248306401719691E-2</v>
          </cell>
          <cell r="K62">
            <v>5.5480222787125201E-2</v>
          </cell>
          <cell r="L62">
            <v>0.29602625338416433</v>
          </cell>
          <cell r="M62">
            <v>0.29369425842684921</v>
          </cell>
          <cell r="N62">
            <v>0.23199093951937333</v>
          </cell>
          <cell r="O62">
            <v>0.109701506099821</v>
          </cell>
        </row>
        <row r="63">
          <cell r="A63" t="str">
            <v>T-Plg-GSL-mix_S2</v>
          </cell>
          <cell r="B63" t="str">
            <v>VAR_fout</v>
          </cell>
          <cell r="C63" t="str">
            <v>T-PEVmix-ELC_GSL_S2</v>
          </cell>
          <cell r="D63">
            <v>4.9158445384707983E-2</v>
          </cell>
          <cell r="E63">
            <v>9.7759630097956685E-2</v>
          </cell>
          <cell r="F63">
            <v>6.9127831579515658E-2</v>
          </cell>
          <cell r="G63">
            <v>7.7477018446106619E-2</v>
          </cell>
          <cell r="H63">
            <v>8.385671240887382E-3</v>
          </cell>
          <cell r="I63">
            <v>9.761526305329596E-4</v>
          </cell>
          <cell r="J63">
            <v>8.4049829100834922E-4</v>
          </cell>
          <cell r="K63">
            <v>5.112741030990828E-4</v>
          </cell>
          <cell r="L63">
            <v>2.8924406607636699E-3</v>
          </cell>
          <cell r="M63">
            <v>3.0600571108223762E-3</v>
          </cell>
          <cell r="N63">
            <v>2.5167959130828316E-3</v>
          </cell>
          <cell r="O63">
            <v>1.2266473350342651E-3</v>
          </cell>
        </row>
        <row r="64">
          <cell r="A64" t="str">
            <v>T-Plg-GSL-mix_S2</v>
          </cell>
          <cell r="B64" t="str">
            <v>VAR_fin</v>
          </cell>
          <cell r="C64" t="str">
            <v>TGSL</v>
          </cell>
          <cell r="D64">
            <v>8.3885821724246259E-2</v>
          </cell>
          <cell r="E64">
            <v>0.16682071286120209</v>
          </cell>
          <cell r="F64">
            <v>0.11796233405434046</v>
          </cell>
          <cell r="G64">
            <v>0.13220970082015629</v>
          </cell>
          <cell r="H64">
            <v>1.43096250755326E-2</v>
          </cell>
          <cell r="I64">
            <v>1.6032392811153396E-3</v>
          </cell>
          <cell r="J64">
            <v>1.3041775935192369E-3</v>
          </cell>
          <cell r="K64">
            <v>7.517645364109103E-4</v>
          </cell>
          <cell r="L64">
            <v>4.0111958453138844E-3</v>
          </cell>
          <cell r="M64">
            <v>3.9795969976537905E-3</v>
          </cell>
          <cell r="N64">
            <v>3.1435086655741606E-3</v>
          </cell>
          <cell r="O64">
            <v>1.4864702723552943E-3</v>
          </cell>
        </row>
        <row r="65">
          <cell r="A65" t="str">
            <v>T_B_u-FCLH2O-S3</v>
          </cell>
          <cell r="B65" t="str">
            <v>VAR_fout</v>
          </cell>
          <cell r="C65" t="str">
            <v>TPBSu</v>
          </cell>
          <cell r="I65">
            <v>4.1063843962099001E-8</v>
          </cell>
          <cell r="J65">
            <v>4.2803657781686404E-8</v>
          </cell>
        </row>
        <row r="66">
          <cell r="A66" t="str">
            <v>T_B_u-FCLH2O-S3</v>
          </cell>
          <cell r="B66" t="str">
            <v>VAR_fin</v>
          </cell>
          <cell r="C66" t="str">
            <v>TH2O</v>
          </cell>
          <cell r="I66">
            <v>3.3803312681013865E-7</v>
          </cell>
          <cell r="J66">
            <v>3.0967889274234752E-7</v>
          </cell>
        </row>
        <row r="67">
          <cell r="A67" t="str">
            <v>T_B_u-FCLH2O-S3</v>
          </cell>
          <cell r="B67" t="str">
            <v>VAR_cap</v>
          </cell>
          <cell r="C67" t="str">
            <v>-</v>
          </cell>
          <cell r="I67">
            <v>-1.0306027306249199E-8</v>
          </cell>
          <cell r="J67">
            <v>-8.7189545949992008E-9</v>
          </cell>
        </row>
        <row r="68">
          <cell r="A68" t="str">
            <v>T-PHEV-STG_S1</v>
          </cell>
          <cell r="B68" t="str">
            <v>VAR_fout</v>
          </cell>
          <cell r="C68" t="str">
            <v>T-ELC-car-PlgSTGAUXout_S1</v>
          </cell>
          <cell r="E68">
            <v>5.5563647584187287E-5</v>
          </cell>
          <cell r="F68">
            <v>9.2493336393378685E-5</v>
          </cell>
          <cell r="G68">
            <v>5.8597770169523079E-4</v>
          </cell>
          <cell r="H68">
            <v>1.0288387210464183E-3</v>
          </cell>
          <cell r="I68">
            <v>7.8285490445999131E-4</v>
          </cell>
          <cell r="J68">
            <v>1.8880891945740718E-3</v>
          </cell>
          <cell r="K68">
            <v>1.8597262640020474E-3</v>
          </cell>
          <cell r="L68">
            <v>9.2249711925829307E-3</v>
          </cell>
          <cell r="M68">
            <v>9.5177576860642314E-3</v>
          </cell>
          <cell r="N68">
            <v>8.3675579493002472E-3</v>
          </cell>
          <cell r="O68">
            <v>6.9937615616565965E-3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T-ELC-car-PlgSTGOut_S1</v>
          </cell>
          <cell r="E69">
            <v>5.5563647584187273E-5</v>
          </cell>
          <cell r="F69">
            <v>9.2493336393378685E-5</v>
          </cell>
          <cell r="G69">
            <v>5.8597770169523079E-4</v>
          </cell>
          <cell r="H69">
            <v>1.0288387210464183E-3</v>
          </cell>
          <cell r="I69">
            <v>7.8285490445999131E-4</v>
          </cell>
          <cell r="J69">
            <v>1.8880891945740718E-3</v>
          </cell>
          <cell r="K69">
            <v>1.8597262640020474E-3</v>
          </cell>
          <cell r="L69">
            <v>9.2249711925829272E-3</v>
          </cell>
          <cell r="M69">
            <v>9.5177576860642314E-3</v>
          </cell>
          <cell r="N69">
            <v>8.3675579493002455E-3</v>
          </cell>
          <cell r="O69">
            <v>6.9937615616565956E-3</v>
          </cell>
        </row>
        <row r="70">
          <cell r="A70" t="str">
            <v>T-PHEV-STG_S1</v>
          </cell>
          <cell r="B70" t="str">
            <v>VAR_fin</v>
          </cell>
          <cell r="C70" t="str">
            <v>T-ELC-car-PlgSTGAUXin_S1</v>
          </cell>
          <cell r="E70">
            <v>5.6244852181500529E-5</v>
          </cell>
          <cell r="F70">
            <v>9.4453761498257313E-5</v>
          </cell>
          <cell r="G70">
            <v>5.8715852028091129E-4</v>
          </cell>
          <cell r="H70">
            <v>1.0296941208629976E-3</v>
          </cell>
          <cell r="I70">
            <v>7.8366607285251691E-4</v>
          </cell>
          <cell r="J70">
            <v>1.8889683645207894E-3</v>
          </cell>
          <cell r="K70">
            <v>1.8605934095091985E-3</v>
          </cell>
          <cell r="L70">
            <v>9.2265743088129817E-3</v>
          </cell>
          <cell r="M70">
            <v>9.5206431130150457E-3</v>
          </cell>
          <cell r="N70">
            <v>8.369382861421925E-3</v>
          </cell>
          <cell r="O70">
            <v>6.9975757268165807E-3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T-ELC-car-PlgSTGin_S1</v>
          </cell>
          <cell r="E71">
            <v>5.6244852181500529E-5</v>
          </cell>
          <cell r="F71">
            <v>9.4453761498257313E-5</v>
          </cell>
          <cell r="G71">
            <v>5.8715852028091129E-4</v>
          </cell>
          <cell r="H71">
            <v>1.0296941208629976E-3</v>
          </cell>
          <cell r="I71">
            <v>7.8366607285251691E-4</v>
          </cell>
          <cell r="J71">
            <v>1.8889683645207894E-3</v>
          </cell>
          <cell r="K71">
            <v>1.8605934095091985E-3</v>
          </cell>
          <cell r="L71">
            <v>9.2265743088129817E-3</v>
          </cell>
          <cell r="M71">
            <v>9.5206431130150457E-3</v>
          </cell>
          <cell r="N71">
            <v>8.369382861421925E-3</v>
          </cell>
          <cell r="O71">
            <v>6.9975757268165807E-3</v>
          </cell>
        </row>
        <row r="72">
          <cell r="A72" t="str">
            <v>T-PHEV-STG_S1</v>
          </cell>
          <cell r="B72" t="str">
            <v>VAR_ncap</v>
          </cell>
          <cell r="C72" t="str">
            <v>-</v>
          </cell>
          <cell r="E72">
            <v>3.9801322954134202E-3</v>
          </cell>
          <cell r="F72">
            <v>4.0350402725574698E-3</v>
          </cell>
          <cell r="G72">
            <v>4.77367375748708E-3</v>
          </cell>
          <cell r="H72">
            <v>4.2958449510905796E-3</v>
          </cell>
          <cell r="J72">
            <v>1.0887035113736799E-2</v>
          </cell>
          <cell r="L72">
            <v>4.5810378117310001E-2</v>
          </cell>
          <cell r="M72">
            <v>9.2104716397025006E-3</v>
          </cell>
          <cell r="N72">
            <v>7.8962529354109096E-3</v>
          </cell>
          <cell r="O72">
            <v>1.3409691519298101E-2</v>
          </cell>
        </row>
        <row r="73">
          <cell r="A73" t="str">
            <v>T-PHEV-STG_S1</v>
          </cell>
          <cell r="B73" t="str">
            <v>VAR_cap</v>
          </cell>
          <cell r="C73" t="str">
            <v>-</v>
          </cell>
          <cell r="E73">
            <v>3.9801322954134202E-3</v>
          </cell>
          <cell r="F73">
            <v>8.0134731795892238E-3</v>
          </cell>
          <cell r="G73">
            <v>1.2783135339318713E-2</v>
          </cell>
          <cell r="H73">
            <v>1.513240873873529E-2</v>
          </cell>
          <cell r="I73">
            <v>8.9983818653672394E-3</v>
          </cell>
          <cell r="J73">
            <v>1.5175756136306178E-2</v>
          </cell>
          <cell r="K73">
            <v>1.0882621597556688E-2</v>
          </cell>
          <cell r="L73">
            <v>5.5239366172709525E-2</v>
          </cell>
          <cell r="M73">
            <v>5.5002792217044329E-2</v>
          </cell>
          <cell r="N73">
            <v>4.8344300148498984E-2</v>
          </cell>
          <cell r="O73">
            <v>3.0503148027932168E-2</v>
          </cell>
        </row>
        <row r="74">
          <cell r="A74" t="str">
            <v>T-Plg-GSL-mix_S3</v>
          </cell>
          <cell r="B74" t="str">
            <v>VAR_fout</v>
          </cell>
          <cell r="C74" t="str">
            <v>CO2_T</v>
          </cell>
          <cell r="D74">
            <v>6.6253515633950801</v>
          </cell>
          <cell r="E74">
            <v>17.933459771377301</v>
          </cell>
          <cell r="F74">
            <v>131.29170010903692</v>
          </cell>
          <cell r="G74">
            <v>344.0378860107848</v>
          </cell>
          <cell r="H74">
            <v>887.61981498816272</v>
          </cell>
          <cell r="I74">
            <v>562.60275225615737</v>
          </cell>
          <cell r="J74">
            <v>483.01701673567879</v>
          </cell>
          <cell r="K74">
            <v>142.02482198027326</v>
          </cell>
          <cell r="L74">
            <v>62.310280106921326</v>
          </cell>
          <cell r="M74">
            <v>0.3779137745450013</v>
          </cell>
          <cell r="N74">
            <v>0.32700141025646579</v>
          </cell>
          <cell r="O74">
            <v>0.17741126077699801</v>
          </cell>
        </row>
        <row r="75">
          <cell r="A75" t="str">
            <v>T-Plg-GSL-mix_S3</v>
          </cell>
          <cell r="B75" t="str">
            <v>VAR_fout</v>
          </cell>
          <cell r="C75" t="str">
            <v>T-PEVmix-ELC_GSL_S3</v>
          </cell>
          <cell r="D75">
            <v>4.8975221633406535E-2</v>
          </cell>
          <cell r="E75">
            <v>0.13256582062898276</v>
          </cell>
          <cell r="F75">
            <v>0.97052059048347905</v>
          </cell>
          <cell r="G75">
            <v>2.5431603978208543</v>
          </cell>
          <cell r="H75">
            <v>6.5613691212141791</v>
          </cell>
          <cell r="I75">
            <v>4.4069514310172746</v>
          </cell>
          <cell r="J75">
            <v>3.9966485359659809</v>
          </cell>
          <cell r="K75">
            <v>1.2463198966433313</v>
          </cell>
          <cell r="L75">
            <v>0.57796018923007064</v>
          </cell>
          <cell r="M75">
            <v>3.6727615522802455E-3</v>
          </cell>
          <cell r="N75">
            <v>3.3199058160932461E-3</v>
          </cell>
          <cell r="O75">
            <v>1.8488639284906161E-3</v>
          </cell>
        </row>
        <row r="76">
          <cell r="A76" t="str">
            <v>T-Plg-GSL-mix_S3</v>
          </cell>
          <cell r="B76" t="str">
            <v>VAR_fin</v>
          </cell>
          <cell r="C76" t="str">
            <v>TGSL</v>
          </cell>
          <cell r="D76">
            <v>8.977441142811754E-2</v>
          </cell>
          <cell r="E76">
            <v>0.24300080991026118</v>
          </cell>
          <cell r="F76">
            <v>1.7790203266807154</v>
          </cell>
          <cell r="G76">
            <v>4.6617599730458696</v>
          </cell>
          <cell r="H76">
            <v>12.027368766777283</v>
          </cell>
          <cell r="I76">
            <v>7.6233435265062051</v>
          </cell>
          <cell r="J76">
            <v>6.5449460262287067</v>
          </cell>
          <cell r="K76">
            <v>1.9244555823885283</v>
          </cell>
          <cell r="L76">
            <v>0.84431273857617006</v>
          </cell>
          <cell r="M76">
            <v>5.1207828529132955E-3</v>
          </cell>
          <cell r="N76">
            <v>4.4309134181092823E-3</v>
          </cell>
          <cell r="O76">
            <v>2.4039466229945532E-3</v>
          </cell>
        </row>
        <row r="77">
          <cell r="A77" t="str">
            <v>T_B_u-FCLH2O-S4</v>
          </cell>
          <cell r="B77" t="str">
            <v>VAR_cap</v>
          </cell>
          <cell r="C77" t="str">
            <v>-</v>
          </cell>
          <cell r="I77">
            <v>-9.6662858062815505E-9</v>
          </cell>
        </row>
        <row r="78">
          <cell r="A78" t="str">
            <v>T-PHEV-STG_S2</v>
          </cell>
          <cell r="B78" t="str">
            <v>VAR_fout</v>
          </cell>
          <cell r="C78" t="str">
            <v>T-ELC-car-PlgSTGAUXout_S2</v>
          </cell>
          <cell r="D78">
            <v>9.3737954535642323E-4</v>
          </cell>
          <cell r="E78">
            <v>6.766337963508731E-4</v>
          </cell>
          <cell r="F78">
            <v>1.2895960643511991E-3</v>
          </cell>
          <cell r="G78">
            <v>1.8675641942973876E-3</v>
          </cell>
          <cell r="H78">
            <v>3.0154260480703072E-3</v>
          </cell>
          <cell r="I78">
            <v>2.6390715029474786E-3</v>
          </cell>
          <cell r="J78">
            <v>3.4107329776358365E-3</v>
          </cell>
          <cell r="K78">
            <v>5.1994449867405167E-3</v>
          </cell>
          <cell r="L78">
            <v>6.1424437813295428E-3</v>
          </cell>
          <cell r="M78">
            <v>7.0600446778570731E-3</v>
          </cell>
          <cell r="N78">
            <v>7.1349992017886695E-3</v>
          </cell>
          <cell r="O78">
            <v>9.0635769979449769E-3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T-ELC-car-PlgSTGOut_S2</v>
          </cell>
          <cell r="D79">
            <v>9.3737954535642323E-4</v>
          </cell>
          <cell r="E79">
            <v>6.766337963508731E-4</v>
          </cell>
          <cell r="F79">
            <v>1.2895960643511991E-3</v>
          </cell>
          <cell r="G79">
            <v>1.8675641942973871E-3</v>
          </cell>
          <cell r="H79">
            <v>3.0154260480703067E-3</v>
          </cell>
          <cell r="I79">
            <v>2.6390715029474781E-3</v>
          </cell>
          <cell r="J79">
            <v>3.4107329776358361E-3</v>
          </cell>
          <cell r="K79">
            <v>5.1994449867405167E-3</v>
          </cell>
          <cell r="L79">
            <v>6.1424437813295428E-3</v>
          </cell>
          <cell r="M79">
            <v>7.0600446778570731E-3</v>
          </cell>
          <cell r="N79">
            <v>7.1349992017886695E-3</v>
          </cell>
          <cell r="O79">
            <v>9.0635769979449769E-3</v>
          </cell>
        </row>
        <row r="80">
          <cell r="A80" t="str">
            <v>T-PHEV-STG_S2</v>
          </cell>
          <cell r="B80" t="str">
            <v>VAR_fin</v>
          </cell>
          <cell r="C80" t="str">
            <v>T-ELC-car-PlgSTGAUXin_S2</v>
          </cell>
          <cell r="D80">
            <v>9.3785786528061013E-4</v>
          </cell>
          <cell r="E80">
            <v>6.7762246798405159E-4</v>
          </cell>
          <cell r="F80">
            <v>1.2914263539881238E-3</v>
          </cell>
          <cell r="G80">
            <v>1.8694326559451863E-3</v>
          </cell>
          <cell r="H80">
            <v>3.0175426317547512E-3</v>
          </cell>
          <cell r="I80">
            <v>2.6403365961887144E-3</v>
          </cell>
          <cell r="J80">
            <v>3.4130404150384307E-3</v>
          </cell>
          <cell r="K80">
            <v>5.2009365613399057E-3</v>
          </cell>
          <cell r="L80">
            <v>6.1437255269365986E-3</v>
          </cell>
          <cell r="M80">
            <v>7.0616668467733323E-3</v>
          </cell>
          <cell r="N80">
            <v>7.1359426144672914E-3</v>
          </cell>
          <cell r="O80">
            <v>9.0654252855042871E-3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T-ELC-car-PlgSTGin_S2</v>
          </cell>
          <cell r="D81">
            <v>9.3785786528061013E-4</v>
          </cell>
          <cell r="E81">
            <v>6.7762246798405159E-4</v>
          </cell>
          <cell r="F81">
            <v>1.2914263539881238E-3</v>
          </cell>
          <cell r="G81">
            <v>1.8694326559451863E-3</v>
          </cell>
          <cell r="H81">
            <v>3.0175426317547512E-3</v>
          </cell>
          <cell r="I81">
            <v>2.6403365961887144E-3</v>
          </cell>
          <cell r="J81">
            <v>3.4130404150384307E-3</v>
          </cell>
          <cell r="K81">
            <v>5.2009365613399057E-3</v>
          </cell>
          <cell r="L81">
            <v>6.1437255269365986E-3</v>
          </cell>
          <cell r="M81">
            <v>7.0616668467733323E-3</v>
          </cell>
          <cell r="N81">
            <v>7.1359426144672914E-3</v>
          </cell>
          <cell r="O81">
            <v>9.0654252855042871E-3</v>
          </cell>
        </row>
        <row r="82">
          <cell r="A82" t="str">
            <v>T-PHEV-STG_S2</v>
          </cell>
          <cell r="B82" t="str">
            <v>VAR_ncap</v>
          </cell>
          <cell r="C82" t="str">
            <v>-</v>
          </cell>
          <cell r="D82">
            <v>1.6192412682652799E-2</v>
          </cell>
          <cell r="E82">
            <v>1.5565982974255E-2</v>
          </cell>
          <cell r="F82">
            <v>1.8778713500311E-2</v>
          </cell>
          <cell r="G82">
            <v>1.6665818924993098E-2</v>
          </cell>
          <cell r="H82">
            <v>1.34459797685217E-2</v>
          </cell>
          <cell r="I82">
            <v>1.6845657376669598E-2</v>
          </cell>
          <cell r="J82">
            <v>1.5291930371460399E-2</v>
          </cell>
          <cell r="K82">
            <v>2.2072048784956E-2</v>
          </cell>
          <cell r="L82">
            <v>1.75801505554526E-2</v>
          </cell>
          <cell r="M82">
            <v>2.1732816135471799E-2</v>
          </cell>
          <cell r="N82">
            <v>2.1552466555358699E-2</v>
          </cell>
          <cell r="O82">
            <v>3.5438455261602303E-2</v>
          </cell>
        </row>
        <row r="83">
          <cell r="A83" t="str">
            <v>T-PHEV-STG_S2</v>
          </cell>
          <cell r="B83" t="str">
            <v>VAR_cap</v>
          </cell>
          <cell r="C83" t="str">
            <v>-</v>
          </cell>
          <cell r="D83">
            <v>1.6192412682652799E-2</v>
          </cell>
          <cell r="E83">
            <v>3.1755167118774068E-2</v>
          </cell>
          <cell r="F83">
            <v>5.0524942471091218E-2</v>
          </cell>
          <cell r="G83">
            <v>6.7174360090777832E-2</v>
          </cell>
          <cell r="H83">
            <v>6.1022629278611351E-2</v>
          </cell>
          <cell r="I83">
            <v>4.7694778608280725E-2</v>
          </cell>
          <cell r="J83">
            <v>4.5555763119697487E-2</v>
          </cell>
          <cell r="K83">
            <v>5.4183851103595325E-2</v>
          </cell>
          <cell r="L83">
            <v>5.547005404992577E-2</v>
          </cell>
          <cell r="M83">
            <v>6.1353576615012631E-2</v>
          </cell>
          <cell r="N83">
            <v>5.9163927129683103E-2</v>
          </cell>
          <cell r="O83">
            <v>7.8696690327930627E-2</v>
          </cell>
        </row>
        <row r="84">
          <cell r="A84" t="str">
            <v>T-Plg-GSL-mix_S4</v>
          </cell>
          <cell r="B84" t="str">
            <v>VAR_fout</v>
          </cell>
          <cell r="C84" t="str">
            <v>CO2_T</v>
          </cell>
          <cell r="D84">
            <v>12.6546812670838</v>
          </cell>
          <cell r="E84">
            <v>22.518295794492801</v>
          </cell>
          <cell r="F84">
            <v>21.539277433794034</v>
          </cell>
          <cell r="G84">
            <v>16.335073737264253</v>
          </cell>
          <cell r="H84">
            <v>2.7829160418389001</v>
          </cell>
          <cell r="I84">
            <v>0.29346063708372144</v>
          </cell>
          <cell r="J84">
            <v>0.18145548534327918</v>
          </cell>
          <cell r="K84">
            <v>7.9150897997145003E-2</v>
          </cell>
          <cell r="L84">
            <v>38.121444835632381</v>
          </cell>
          <cell r="M84">
            <v>99.268760116140541</v>
          </cell>
          <cell r="N84">
            <v>90.541304572551937</v>
          </cell>
          <cell r="O84">
            <v>76.862033648528197</v>
          </cell>
        </row>
        <row r="85">
          <cell r="A85" t="str">
            <v>T-Plg-GSL-mix_S4</v>
          </cell>
          <cell r="B85" t="str">
            <v>VAR_fout</v>
          </cell>
          <cell r="C85" t="str">
            <v>T-PEVmix-ELC_GSL_S4</v>
          </cell>
          <cell r="D85">
            <v>8.9123882480993316E-2</v>
          </cell>
          <cell r="E85">
            <v>0.15859095189389127</v>
          </cell>
          <cell r="F85">
            <v>0.15169596058718818</v>
          </cell>
          <cell r="G85">
            <v>0.1150440031915393</v>
          </cell>
          <cell r="H85">
            <v>1.9599409659764349E-2</v>
          </cell>
          <cell r="I85">
            <v>2.1575839065350205E-3</v>
          </cell>
          <cell r="J85">
            <v>1.4048473102770578E-3</v>
          </cell>
          <cell r="K85">
            <v>6.4325332199374589E-4</v>
          </cell>
          <cell r="L85">
            <v>0.33268888056497931</v>
          </cell>
          <cell r="M85">
            <v>0.91624739883253892</v>
          </cell>
          <cell r="N85">
            <v>0.88104593523502506</v>
          </cell>
          <cell r="O85">
            <v>0.74806183590504893</v>
          </cell>
        </row>
        <row r="86">
          <cell r="A86" t="str">
            <v>T-Plg-GSL-mix_S4</v>
          </cell>
          <cell r="B86" t="str">
            <v>VAR_fin</v>
          </cell>
          <cell r="C86" t="str">
            <v>TGSL</v>
          </cell>
          <cell r="D86">
            <v>0.17147264589544414</v>
          </cell>
          <cell r="E86">
            <v>0.30512595927496927</v>
          </cell>
          <cell r="F86">
            <v>0.29186012782918752</v>
          </cell>
          <cell r="G86">
            <v>0.22134246256455631</v>
          </cell>
          <cell r="H86">
            <v>3.7708889455811648E-2</v>
          </cell>
          <cell r="I86">
            <v>3.9764313967983996E-3</v>
          </cell>
          <cell r="J86">
            <v>2.4587464138655746E-3</v>
          </cell>
          <cell r="K86">
            <v>1.072505392915244E-3</v>
          </cell>
          <cell r="L86">
            <v>0.51655074303024873</v>
          </cell>
          <cell r="M86">
            <v>1.3451051506252116</v>
          </cell>
          <cell r="N86">
            <v>1.2268469454275324</v>
          </cell>
          <cell r="O86">
            <v>1.0414909708472664</v>
          </cell>
        </row>
        <row r="87">
          <cell r="A87" t="str">
            <v>T-PHEV-STG_S3</v>
          </cell>
          <cell r="B87" t="str">
            <v>VAR_fout</v>
          </cell>
          <cell r="C87" t="str">
            <v>T-ELC-car-PlgSTGAUXout_S3</v>
          </cell>
          <cell r="E87">
            <v>7.1091953691075072E-2</v>
          </cell>
          <cell r="F87">
            <v>0.29885905512477245</v>
          </cell>
          <cell r="G87">
            <v>2.0295964065943917</v>
          </cell>
          <cell r="H87">
            <v>3.9780323882670148</v>
          </cell>
          <cell r="I87">
            <v>3.4278446413432557</v>
          </cell>
          <cell r="J87">
            <v>3.8272439853946003</v>
          </cell>
          <cell r="K87">
            <v>1.8849190102451443</v>
          </cell>
          <cell r="L87">
            <v>1.2904883312087208</v>
          </cell>
          <cell r="M87">
            <v>1.1318457696857994E-2</v>
          </cell>
          <cell r="N87">
            <v>1.0206595287998933E-2</v>
          </cell>
          <cell r="O87">
            <v>5.9669439583286592E-3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T-ELC-car-PlgSTGOut_S3</v>
          </cell>
          <cell r="E88">
            <v>7.1091953691075072E-2</v>
          </cell>
          <cell r="F88">
            <v>0.29885905512477245</v>
          </cell>
          <cell r="G88">
            <v>2.0295964065943917</v>
          </cell>
          <cell r="H88">
            <v>3.9780323882670139</v>
          </cell>
          <cell r="I88">
            <v>3.4278446413432553</v>
          </cell>
          <cell r="J88">
            <v>3.8272439853945994</v>
          </cell>
          <cell r="K88">
            <v>1.8849190102451441</v>
          </cell>
          <cell r="L88">
            <v>1.2904883312087208</v>
          </cell>
          <cell r="M88">
            <v>1.1318457696857994E-2</v>
          </cell>
          <cell r="N88">
            <v>1.0206595287998933E-2</v>
          </cell>
          <cell r="O88">
            <v>5.9669439583286583E-3</v>
          </cell>
        </row>
        <row r="89">
          <cell r="A89" t="str">
            <v>T-PHEV-STG_S3</v>
          </cell>
          <cell r="B89" t="str">
            <v>VAR_fin</v>
          </cell>
          <cell r="C89" t="str">
            <v>T-ELC-car-PlgSTGAUXin_S3</v>
          </cell>
          <cell r="E89">
            <v>7.1099522700480061E-2</v>
          </cell>
          <cell r="F89">
            <v>0.29889073040215969</v>
          </cell>
          <cell r="G89">
            <v>2.0298005251071878</v>
          </cell>
          <cell r="H89">
            <v>3.9784309363695689</v>
          </cell>
          <cell r="I89">
            <v>3.428187996362166</v>
          </cell>
          <cell r="J89">
            <v>3.8276274351165411</v>
          </cell>
          <cell r="K89">
            <v>1.8851079362371388</v>
          </cell>
          <cell r="L89">
            <v>1.290617801917836</v>
          </cell>
          <cell r="M89">
            <v>1.1320934618012977E-2</v>
          </cell>
          <cell r="N89">
            <v>1.0207753463679891E-2</v>
          </cell>
          <cell r="O89">
            <v>5.9695692059048081E-3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T-ELC-car-PlgSTGin_S3</v>
          </cell>
          <cell r="E90">
            <v>7.1099522700480061E-2</v>
          </cell>
          <cell r="F90">
            <v>0.29889073040215969</v>
          </cell>
          <cell r="G90">
            <v>2.0298005251071878</v>
          </cell>
          <cell r="H90">
            <v>3.9784309363695689</v>
          </cell>
          <cell r="I90">
            <v>3.428187996362166</v>
          </cell>
          <cell r="J90">
            <v>3.8276274351165411</v>
          </cell>
          <cell r="K90">
            <v>1.8851079362371388</v>
          </cell>
          <cell r="L90">
            <v>1.290617801917836</v>
          </cell>
          <cell r="M90">
            <v>1.1320934618012977E-2</v>
          </cell>
          <cell r="N90">
            <v>1.0207753463679891E-2</v>
          </cell>
          <cell r="O90">
            <v>5.9695692059048081E-3</v>
          </cell>
        </row>
        <row r="91">
          <cell r="A91" t="str">
            <v>T-PHEV-STG_S3</v>
          </cell>
          <cell r="B91" t="str">
            <v>VAR_ncap</v>
          </cell>
          <cell r="C91" t="str">
            <v>-</v>
          </cell>
          <cell r="E91">
            <v>2.93374984861524</v>
          </cell>
          <cell r="F91">
            <v>9.7117301915366401</v>
          </cell>
          <cell r="G91">
            <v>44.826105417790899</v>
          </cell>
          <cell r="H91">
            <v>60.083586219464301</v>
          </cell>
          <cell r="J91">
            <v>35.610044180122102</v>
          </cell>
          <cell r="L91">
            <v>7.0010502558792403E-2</v>
          </cell>
          <cell r="M91">
            <v>1.6622338024104701E-2</v>
          </cell>
          <cell r="N91">
            <v>1.3717033116342E-2</v>
          </cell>
          <cell r="O91">
            <v>1.32632487486455E-2</v>
          </cell>
        </row>
        <row r="92">
          <cell r="A92" t="str">
            <v>T-PHEV-STG_S3</v>
          </cell>
          <cell r="B92" t="str">
            <v>VAR_cap</v>
          </cell>
          <cell r="C92" t="str">
            <v>-</v>
          </cell>
          <cell r="E92">
            <v>2.93374984861524</v>
          </cell>
          <cell r="F92">
            <v>12.644000281755954</v>
          </cell>
          <cell r="G92">
            <v>57.459747072132807</v>
          </cell>
          <cell r="H92">
            <v>103.92531121141489</v>
          </cell>
          <cell r="I92">
            <v>60.245978666370696</v>
          </cell>
          <cell r="J92">
            <v>56.951859524907896</v>
          </cell>
          <cell r="K92">
            <v>25.410393478767304</v>
          </cell>
          <cell r="L92">
            <v>19.923199358844499</v>
          </cell>
          <cell r="M92">
            <v>8.6606748697251296E-2</v>
          </cell>
          <cell r="N92">
            <v>7.8082191007115151E-2</v>
          </cell>
          <cell r="O92">
            <v>4.3584144915070816E-2</v>
          </cell>
        </row>
        <row r="93">
          <cell r="A93" t="str">
            <v>TFLGV-HYBDSL</v>
          </cell>
          <cell r="B93" t="str">
            <v>VAR_fout</v>
          </cell>
          <cell r="C93" t="str">
            <v>CO2_T</v>
          </cell>
          <cell r="E93">
            <v>31.617983367487799</v>
          </cell>
          <cell r="F93">
            <v>143.84733940594418</v>
          </cell>
          <cell r="G93">
            <v>234.20808547218371</v>
          </cell>
          <cell r="H93">
            <v>201.97955717716991</v>
          </cell>
          <cell r="I93">
            <v>7.5990879258997501E-3</v>
          </cell>
        </row>
        <row r="94">
          <cell r="A94" t="str">
            <v>TFLGV-HYBDSL</v>
          </cell>
          <cell r="B94" t="str">
            <v>VAR_fout</v>
          </cell>
          <cell r="C94" t="str">
            <v>TFLGV</v>
          </cell>
          <cell r="E94">
            <v>0.1987522794075671</v>
          </cell>
          <cell r="F94">
            <v>0.90423181837219624</v>
          </cell>
          <cell r="G94">
            <v>1.4722441435384175</v>
          </cell>
          <cell r="H94">
            <v>1.2696539471259545</v>
          </cell>
          <cell r="I94">
            <v>4.7768259889849557E-5</v>
          </cell>
        </row>
        <row r="95">
          <cell r="A95" t="str">
            <v>TFLGV-HYBDSL</v>
          </cell>
          <cell r="B95" t="str">
            <v>VAR_fin</v>
          </cell>
          <cell r="C95" t="str">
            <v>TDSL</v>
          </cell>
          <cell r="E95">
            <v>0.43135038700529005</v>
          </cell>
          <cell r="F95">
            <v>1.9624466494671748</v>
          </cell>
          <cell r="G95">
            <v>3.1951989832494467</v>
          </cell>
          <cell r="H95">
            <v>2.7555191975057323</v>
          </cell>
          <cell r="I95">
            <v>1.0367104946657234E-4</v>
          </cell>
        </row>
        <row r="96">
          <cell r="A96" t="str">
            <v>TFLGV-HYBDSL</v>
          </cell>
          <cell r="B96" t="str">
            <v>VAR_ncap</v>
          </cell>
          <cell r="C96" t="str">
            <v>-</v>
          </cell>
          <cell r="E96">
            <v>1.38545141093514E-2</v>
          </cell>
          <cell r="F96">
            <v>4.9191054080553999E-2</v>
          </cell>
          <cell r="G96">
            <v>6.7015738314053996E-2</v>
          </cell>
        </row>
        <row r="97">
          <cell r="A97" t="str">
            <v>TFLGV-HYBDSL</v>
          </cell>
          <cell r="B97" t="str">
            <v>VAR_cap</v>
          </cell>
          <cell r="C97" t="str">
            <v>-</v>
          </cell>
          <cell r="E97">
            <v>1.38545141093514E-2</v>
          </cell>
          <cell r="F97">
            <v>6.3045568189905296E-2</v>
          </cell>
          <cell r="G97">
            <v>0.12822564672025799</v>
          </cell>
          <cell r="H97">
            <v>9.2218463188876276E-2</v>
          </cell>
          <cell r="I97">
            <v>3.7316113384987942E-6</v>
          </cell>
        </row>
        <row r="98">
          <cell r="A98" t="str">
            <v>TFHGV-FCLH2O</v>
          </cell>
          <cell r="B98" t="str">
            <v>VAR_fout</v>
          </cell>
          <cell r="C98" t="str">
            <v>TFHGV</v>
          </cell>
          <cell r="D98">
            <v>4.4666577590868079E-4</v>
          </cell>
          <cell r="E98">
            <v>1.7676499127486687E-4</v>
          </cell>
          <cell r="F98">
            <v>1.7293410100904205E-4</v>
          </cell>
          <cell r="G98">
            <v>6.10533885779164E-6</v>
          </cell>
          <cell r="H98">
            <v>6.6747423675116679E-6</v>
          </cell>
          <cell r="I98">
            <v>6.1348291502731819E-6</v>
          </cell>
          <cell r="J98">
            <v>6.4214833045344785E-6</v>
          </cell>
          <cell r="K98">
            <v>5.2785745612149262E-6</v>
          </cell>
          <cell r="L98">
            <v>4.9548992471927755E-6</v>
          </cell>
          <cell r="M98">
            <v>5.6128836549937936E-6</v>
          </cell>
          <cell r="N98">
            <v>4.8421955113273896E-6</v>
          </cell>
          <cell r="O98">
            <v>7.5335635500728502E-6</v>
          </cell>
        </row>
        <row r="99">
          <cell r="A99" t="str">
            <v>TFHGV-FCLH2O</v>
          </cell>
          <cell r="B99" t="str">
            <v>VAR_fin</v>
          </cell>
          <cell r="C99" t="str">
            <v>TH2O</v>
          </cell>
          <cell r="D99">
            <v>2.5602947625837408E-3</v>
          </cell>
          <cell r="E99">
            <v>1.0095173883984839E-3</v>
          </cell>
          <cell r="F99">
            <v>9.871121471988196E-4</v>
          </cell>
          <cell r="G99">
            <v>3.4004816691920683E-5</v>
          </cell>
          <cell r="H99">
            <v>3.4258850205504506E-5</v>
          </cell>
          <cell r="I99">
            <v>3.0727543182963614E-5</v>
          </cell>
          <cell r="J99">
            <v>3.0736279369045731E-5</v>
          </cell>
          <cell r="K99">
            <v>2.4545059814289972E-5</v>
          </cell>
          <cell r="L99">
            <v>2.2634432070287745E-5</v>
          </cell>
          <cell r="M99">
            <v>2.5640164909379963E-5</v>
          </cell>
          <cell r="N99">
            <v>2.2119591116668346E-5</v>
          </cell>
          <cell r="O99">
            <v>3.4414005999804636E-5</v>
          </cell>
        </row>
        <row r="100">
          <cell r="A100" t="str">
            <v>TFHGV-FCLH2O</v>
          </cell>
          <cell r="B100" t="str">
            <v>VAR_ncap</v>
          </cell>
          <cell r="C100" t="str">
            <v>-</v>
          </cell>
          <cell r="E100">
            <v>1.1153803209433E-7</v>
          </cell>
          <cell r="F100">
            <v>7.9552576943877501E-8</v>
          </cell>
          <cell r="G100">
            <v>4.5772007196359701E-8</v>
          </cell>
          <cell r="H100">
            <v>1.4149383671043401E-7</v>
          </cell>
          <cell r="I100">
            <v>8.7125107030355304E-8</v>
          </cell>
          <cell r="J100">
            <v>9.8542210180645199E-8</v>
          </cell>
          <cell r="K100">
            <v>6.9878528087300399E-8</v>
          </cell>
          <cell r="L100">
            <v>7.9340531544136005E-8</v>
          </cell>
          <cell r="M100">
            <v>1.02990695537601E-7</v>
          </cell>
          <cell r="N100">
            <v>7.3911550600653499E-8</v>
          </cell>
          <cell r="O100">
            <v>1.1826811328106201E-7</v>
          </cell>
        </row>
        <row r="101">
          <cell r="A101" t="str">
            <v>TFHGV-FCLH2O</v>
          </cell>
          <cell r="B101" t="str">
            <v>VAR_cap</v>
          </cell>
          <cell r="C101" t="str">
            <v>-</v>
          </cell>
          <cell r="D101">
            <v>1.052328222321141E-5</v>
          </cell>
          <cell r="E101">
            <v>3.5069382686708236E-6</v>
          </cell>
          <cell r="F101">
            <v>3.579165908344606E-6</v>
          </cell>
          <cell r="G101">
            <v>1.5582819463362707E-7</v>
          </cell>
          <cell r="H101">
            <v>1.5336409801846599E-7</v>
          </cell>
          <cell r="I101">
            <v>1.467753844034275E-7</v>
          </cell>
          <cell r="J101">
            <v>1.43717536208315E-7</v>
          </cell>
          <cell r="K101">
            <v>1.36381003409568E-7</v>
          </cell>
          <cell r="L101">
            <v>1.3047042385464701E-7</v>
          </cell>
          <cell r="M101">
            <v>1.2356643384216801E-7</v>
          </cell>
          <cell r="N101">
            <v>1.2409314403843681E-7</v>
          </cell>
          <cell r="O101">
            <v>1.6814827185310899E-7</v>
          </cell>
        </row>
        <row r="102">
          <cell r="A102" t="str">
            <v>T-PHEV-STG_S4</v>
          </cell>
          <cell r="B102" t="str">
            <v>VAR_fout</v>
          </cell>
          <cell r="C102" t="str">
            <v>T-ELC-car-PlgSTGAUXout_S4</v>
          </cell>
          <cell r="E102">
            <v>5.0568548491579271E-4</v>
          </cell>
          <cell r="F102">
            <v>1.4786887659761949E-3</v>
          </cell>
          <cell r="G102">
            <v>1.0917809317109381E-2</v>
          </cell>
          <cell r="H102">
            <v>1.2181992633701705E-2</v>
          </cell>
          <cell r="I102">
            <v>9.48347629654764E-3</v>
          </cell>
          <cell r="J102">
            <v>1.2241119620513483E-2</v>
          </cell>
          <cell r="K102">
            <v>1.0751044671093554E-2</v>
          </cell>
          <cell r="L102">
            <v>0.77050409157124156</v>
          </cell>
          <cell r="M102">
            <v>1.9556500190924015</v>
          </cell>
          <cell r="N102">
            <v>1.8702739442839957</v>
          </cell>
          <cell r="O102">
            <v>1.733743430255466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T-ELC-car-PlgSTGOut_S4</v>
          </cell>
          <cell r="E103">
            <v>5.056854849157926E-4</v>
          </cell>
          <cell r="F103">
            <v>1.4786887659761949E-3</v>
          </cell>
          <cell r="G103">
            <v>1.0917809317109379E-2</v>
          </cell>
          <cell r="H103">
            <v>1.2181992633701705E-2</v>
          </cell>
          <cell r="I103">
            <v>9.4834762965476365E-3</v>
          </cell>
          <cell r="J103">
            <v>1.2241119620513481E-2</v>
          </cell>
          <cell r="K103">
            <v>1.0751044671093554E-2</v>
          </cell>
          <cell r="L103">
            <v>0.77050409157124145</v>
          </cell>
          <cell r="M103">
            <v>1.9556500190924015</v>
          </cell>
          <cell r="N103">
            <v>1.8702739442839957</v>
          </cell>
          <cell r="O103">
            <v>1.7337434302554655</v>
          </cell>
        </row>
        <row r="104">
          <cell r="A104" t="str">
            <v>T-PHEV-STG_S4</v>
          </cell>
          <cell r="B104" t="str">
            <v>VAR_fin</v>
          </cell>
          <cell r="C104" t="str">
            <v>T-ELC-car-PlgSTGAUXin_S4</v>
          </cell>
          <cell r="E104">
            <v>5.0618751568456738E-4</v>
          </cell>
          <cell r="F104">
            <v>1.4806802884960392E-3</v>
          </cell>
          <cell r="G104">
            <v>1.092004305276765E-2</v>
          </cell>
          <cell r="H104">
            <v>1.2183917655760443E-2</v>
          </cell>
          <cell r="I104">
            <v>9.4850195401037646E-3</v>
          </cell>
          <cell r="J104">
            <v>1.2243024381750537E-2</v>
          </cell>
          <cell r="K104">
            <v>1.0752629647378203E-2</v>
          </cell>
          <cell r="L104">
            <v>0.77058156847301018</v>
          </cell>
          <cell r="M104">
            <v>1.9558470756060122</v>
          </cell>
          <cell r="N104">
            <v>1.8704611310687504</v>
          </cell>
          <cell r="O104">
            <v>1.7339188896914033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T-ELC-car-PlgSTGin_S4</v>
          </cell>
          <cell r="E105">
            <v>5.0618751568456738E-4</v>
          </cell>
          <cell r="F105">
            <v>1.4806802884960392E-3</v>
          </cell>
          <cell r="G105">
            <v>1.092004305276765E-2</v>
          </cell>
          <cell r="H105">
            <v>1.2183917655760443E-2</v>
          </cell>
          <cell r="I105">
            <v>9.4850195401037646E-3</v>
          </cell>
          <cell r="J105">
            <v>1.2243024381750537E-2</v>
          </cell>
          <cell r="K105">
            <v>1.0752629647378203E-2</v>
          </cell>
          <cell r="L105">
            <v>0.77058156847301018</v>
          </cell>
          <cell r="M105">
            <v>1.9558470756060122</v>
          </cell>
          <cell r="N105">
            <v>1.8704611310687504</v>
          </cell>
          <cell r="O105">
            <v>1.7339188896914033</v>
          </cell>
        </row>
        <row r="106">
          <cell r="A106" t="str">
            <v>T-PHEV-STG_S4</v>
          </cell>
          <cell r="B106" t="str">
            <v>VAR_ncap</v>
          </cell>
          <cell r="C106" t="str">
            <v>-</v>
          </cell>
          <cell r="E106">
            <v>1.90183452389164E-2</v>
          </cell>
          <cell r="F106">
            <v>2.18103847938616E-2</v>
          </cell>
          <cell r="G106">
            <v>0.210629263996503</v>
          </cell>
          <cell r="H106">
            <v>2.3692726744326702E-2</v>
          </cell>
          <cell r="J106">
            <v>0.103715937324313</v>
          </cell>
          <cell r="L106">
            <v>12.6190695261432</v>
          </cell>
          <cell r="M106">
            <v>22.973596341678</v>
          </cell>
          <cell r="N106">
            <v>2.6385902080267098</v>
          </cell>
          <cell r="O106">
            <v>4.9320365327159399</v>
          </cell>
        </row>
        <row r="107">
          <cell r="A107" t="str">
            <v>T-PHEV-STG_S4</v>
          </cell>
          <cell r="B107" t="str">
            <v>VAR_cap</v>
          </cell>
          <cell r="C107" t="str">
            <v>-</v>
          </cell>
          <cell r="E107">
            <v>1.90183452389164E-2</v>
          </cell>
          <cell r="F107">
            <v>4.0825662506925146E-2</v>
          </cell>
          <cell r="G107">
            <v>0.25144474364238023</v>
          </cell>
          <cell r="H107">
            <v>0.26582882797556123</v>
          </cell>
          <cell r="I107">
            <v>0.19859058200436572</v>
          </cell>
          <cell r="J107">
            <v>0.12735862683916679</v>
          </cell>
          <cell r="K107">
            <v>0.10367171709466026</v>
          </cell>
          <cell r="L107">
            <v>12.708873625769723</v>
          </cell>
          <cell r="M107">
            <v>35.551362697148157</v>
          </cell>
          <cell r="N107">
            <v>34.15438209586911</v>
          </cell>
          <cell r="O107">
            <v>30.544124340619799</v>
          </cell>
        </row>
        <row r="108">
          <cell r="A108" t="str">
            <v>TFLGV-ICEGSLExt</v>
          </cell>
          <cell r="B108" t="str">
            <v>VAR_fout</v>
          </cell>
          <cell r="C108" t="str">
            <v>CO2_T</v>
          </cell>
          <cell r="D108">
            <v>53.244223902276303</v>
          </cell>
          <cell r="E108">
            <v>105.539669281827</v>
          </cell>
          <cell r="F108">
            <v>40.023483470316798</v>
          </cell>
          <cell r="G108">
            <v>19.996019150301599</v>
          </cell>
        </row>
        <row r="109">
          <cell r="A109" t="str">
            <v>TFLGV-ICEGSLExt</v>
          </cell>
          <cell r="B109" t="str">
            <v>VAR_fout</v>
          </cell>
          <cell r="C109" t="str">
            <v>TFLGV</v>
          </cell>
          <cell r="D109">
            <v>0.20026700597928498</v>
          </cell>
          <cell r="E109">
            <v>0.4006651094934211</v>
          </cell>
          <cell r="F109">
            <v>0.15404754994343445</v>
          </cell>
          <cell r="G109">
            <v>7.696325985744043E-2</v>
          </cell>
        </row>
        <row r="110">
          <cell r="A110" t="str">
            <v>TFLGV-ICEGSLExt</v>
          </cell>
          <cell r="B110" t="str">
            <v>VAR_fin</v>
          </cell>
          <cell r="C110" t="str">
            <v>TGSL</v>
          </cell>
          <cell r="D110">
            <v>0.72146644854032971</v>
          </cell>
          <cell r="E110">
            <v>1.4300768195369522</v>
          </cell>
          <cell r="F110">
            <v>0.54232362425903546</v>
          </cell>
          <cell r="G110">
            <v>0.27094876897427683</v>
          </cell>
        </row>
        <row r="111">
          <cell r="A111" t="str">
            <v>TFLGV-ICEGSLExt</v>
          </cell>
          <cell r="B111" t="str">
            <v>VAR_cap</v>
          </cell>
          <cell r="C111" t="str">
            <v>-</v>
          </cell>
          <cell r="D111">
            <v>3.9826492264262547E-2</v>
          </cell>
          <cell r="E111">
            <v>3.98250666666667E-2</v>
          </cell>
          <cell r="F111">
            <v>3.0634666666666699E-2</v>
          </cell>
          <cell r="G111">
            <v>1.5317333333333299E-2</v>
          </cell>
        </row>
        <row r="112">
          <cell r="A112" t="str">
            <v>TFRLFELCEXT</v>
          </cell>
          <cell r="B112" t="str">
            <v>VAR_fout</v>
          </cell>
          <cell r="C112" t="str">
            <v>TFRLF</v>
          </cell>
          <cell r="D112">
            <v>2.5094612516715405E-2</v>
          </cell>
          <cell r="E112">
            <v>2.7687215617260969E-2</v>
          </cell>
          <cell r="F112">
            <v>2.9170761238601687E-2</v>
          </cell>
          <cell r="G112">
            <v>3.1643448314511012E-2</v>
          </cell>
          <cell r="H112">
            <v>3.3097452045680084E-2</v>
          </cell>
          <cell r="I112">
            <v>3.3877902655594476E-2</v>
          </cell>
          <cell r="J112">
            <v>3.5149085499876866E-2</v>
          </cell>
          <cell r="K112">
            <v>3.6420319966383279E-2</v>
          </cell>
          <cell r="L112">
            <v>3.6998081538062264E-2</v>
          </cell>
          <cell r="M112">
            <v>3.7871553126591781E-2</v>
          </cell>
          <cell r="N112">
            <v>3.8120949739686952E-2</v>
          </cell>
          <cell r="O112">
            <v>3.8610984598281231E-2</v>
          </cell>
        </row>
        <row r="113">
          <cell r="A113" t="str">
            <v>TFRLFELCEXT</v>
          </cell>
          <cell r="B113" t="str">
            <v>VAR_fin</v>
          </cell>
          <cell r="C113" t="str">
            <v>TELC</v>
          </cell>
          <cell r="D113">
            <v>1.5023086753609507</v>
          </cell>
          <cell r="E113">
            <v>1.6575168949388748</v>
          </cell>
          <cell r="F113">
            <v>1.7463305180123283</v>
          </cell>
          <cell r="G113">
            <v>1.8943598706519491</v>
          </cell>
          <cell r="H113">
            <v>1.9814049452825071</v>
          </cell>
          <cell r="I113">
            <v>2.0281272336296245</v>
          </cell>
          <cell r="J113">
            <v>2.1042275923685119</v>
          </cell>
          <cell r="K113">
            <v>2.1803310415123605</v>
          </cell>
          <cell r="L113">
            <v>2.2149191914925743</v>
          </cell>
          <cell r="M113">
            <v>2.2672102537377117</v>
          </cell>
          <cell r="N113">
            <v>2.2821405777349053</v>
          </cell>
          <cell r="O113">
            <v>2.3114768991786065</v>
          </cell>
        </row>
        <row r="114">
          <cell r="A114" t="str">
            <v>TFRLFELCEXT</v>
          </cell>
          <cell r="B114" t="str">
            <v>VAR_ncap</v>
          </cell>
          <cell r="C114" t="str">
            <v>-</v>
          </cell>
          <cell r="D114">
            <v>9.4893813438756197E-8</v>
          </cell>
          <cell r="E114">
            <v>2.39279678333235E-4</v>
          </cell>
          <cell r="F114">
            <v>1.3695765142981699E-4</v>
          </cell>
          <cell r="G114">
            <v>2.2825439750770199E-4</v>
          </cell>
          <cell r="H114">
            <v>1.3424608116245201E-4</v>
          </cell>
          <cell r="I114">
            <v>7.20470070389558E-5</v>
          </cell>
          <cell r="J114">
            <v>1.17350528219732E-4</v>
          </cell>
          <cell r="K114">
            <v>1.7205546014879699E-3</v>
          </cell>
          <cell r="L114">
            <v>1.16280938241462E-3</v>
          </cell>
          <cell r="M114">
            <v>2.8925254467943501E-4</v>
          </cell>
          <cell r="N114">
            <v>1.4475844241341299E-4</v>
          </cell>
          <cell r="O114">
            <v>1.29840091386781E-4</v>
          </cell>
        </row>
        <row r="115">
          <cell r="A115" t="str">
            <v>TFRLFELCEXT</v>
          </cell>
          <cell r="B115" t="str">
            <v>VAR_cap</v>
          </cell>
          <cell r="C115" t="str">
            <v>-</v>
          </cell>
          <cell r="D115">
            <v>2.3167593814966184E-3</v>
          </cell>
          <cell r="E115">
            <v>2.5560390598298537E-3</v>
          </cell>
          <cell r="F115">
            <v>2.6929967112596697E-3</v>
          </cell>
          <cell r="G115">
            <v>2.9212511087673729E-3</v>
          </cell>
          <cell r="H115">
            <v>3.0554971899298239E-3</v>
          </cell>
          <cell r="I115">
            <v>3.1275441969687797E-3</v>
          </cell>
          <cell r="J115">
            <v>3.2448947251885116E-3</v>
          </cell>
          <cell r="K115">
            <v>3.3622898334182767E-3</v>
          </cell>
          <cell r="L115">
            <v>3.41559553501902E-3</v>
          </cell>
          <cell r="M115">
            <v>3.4962601450031598E-3</v>
          </cell>
          <cell r="N115">
            <v>3.5192714735668E-3</v>
          </cell>
          <cell r="O115">
            <v>3.5645655906019502E-3</v>
          </cell>
        </row>
        <row r="116">
          <cell r="A116" t="str">
            <v>TFLGV-ICEDSLExt</v>
          </cell>
          <cell r="B116" t="str">
            <v>VAR_fout</v>
          </cell>
          <cell r="C116" t="str">
            <v>CO2_T</v>
          </cell>
          <cell r="D116">
            <v>812.12242357702996</v>
          </cell>
          <cell r="E116">
            <v>571.10750265899298</v>
          </cell>
          <cell r="F116">
            <v>399.59212387393802</v>
          </cell>
          <cell r="G116">
            <v>199.77241895800501</v>
          </cell>
        </row>
        <row r="117">
          <cell r="A117" t="str">
            <v>TFLGV-ICEDSLExt</v>
          </cell>
          <cell r="B117" t="str">
            <v>VAR_fout</v>
          </cell>
          <cell r="C117" t="str">
            <v>TFLGV</v>
          </cell>
          <cell r="D117">
            <v>2.8699790018299312</v>
          </cell>
          <cell r="E117">
            <v>2.0876002078424598</v>
          </cell>
          <cell r="F117">
            <v>1.5334345167017511</v>
          </cell>
          <cell r="G117">
            <v>0.76662652843440549</v>
          </cell>
        </row>
        <row r="118">
          <cell r="A118" t="str">
            <v>TFLGV-ICEDSLExt</v>
          </cell>
          <cell r="B118" t="str">
            <v>VAR_fin</v>
          </cell>
          <cell r="C118" t="str">
            <v>TDSL</v>
          </cell>
          <cell r="D118">
            <v>11.0794327909554</v>
          </cell>
          <cell r="E118">
            <v>7.7913711140380997</v>
          </cell>
          <cell r="F118">
            <v>5.4514614443920593</v>
          </cell>
          <cell r="G118">
            <v>2.7254081713233957</v>
          </cell>
        </row>
        <row r="119">
          <cell r="A119" t="str">
            <v>TFLGV-ICEDSLExt</v>
          </cell>
          <cell r="B119" t="str">
            <v>VAR_cap</v>
          </cell>
          <cell r="C119" t="str">
            <v>-</v>
          </cell>
          <cell r="D119">
            <v>0.22868976143811454</v>
          </cell>
          <cell r="E119">
            <v>0.19846058667885025</v>
          </cell>
          <cell r="F119">
            <v>0.15266198377816892</v>
          </cell>
          <cell r="G119">
            <v>7.6330999999999996E-2</v>
          </cell>
        </row>
        <row r="120">
          <cell r="A120" t="str">
            <v>T_C-ICE-NGA-S1</v>
          </cell>
          <cell r="B120" t="str">
            <v>VAR_fout</v>
          </cell>
          <cell r="C120" t="str">
            <v>CO2_T</v>
          </cell>
          <cell r="D120">
            <v>0.2026383082334251</v>
          </cell>
          <cell r="E120">
            <v>0.11581913704776139</v>
          </cell>
          <cell r="F120">
            <v>0.11099622807638784</v>
          </cell>
          <cell r="G120">
            <v>6.4034043899403297E-3</v>
          </cell>
          <cell r="H120">
            <v>1.2173147603705501E-3</v>
          </cell>
        </row>
        <row r="121">
          <cell r="A121" t="str">
            <v>T_C-ICE-NGA-S1</v>
          </cell>
          <cell r="B121" t="str">
            <v>VAR_fout</v>
          </cell>
          <cell r="C121" t="str">
            <v>TPCAR</v>
          </cell>
          <cell r="D121">
            <v>2.2106445177146332E-3</v>
          </cell>
          <cell r="E121">
            <v>1.3148100264193142E-3</v>
          </cell>
          <cell r="F121">
            <v>1.2553913940883184E-3</v>
          </cell>
          <cell r="G121">
            <v>7.2038299386828768E-5</v>
          </cell>
          <cell r="H121">
            <v>1.3694791054168684E-5</v>
          </cell>
        </row>
        <row r="122">
          <cell r="A122" t="str">
            <v>T_C-ICE-NGA-S1</v>
          </cell>
          <cell r="B122" t="str">
            <v>VAR_fin</v>
          </cell>
          <cell r="C122" t="str">
            <v>TNGA</v>
          </cell>
          <cell r="D122">
            <v>3.5928778055571843E-3</v>
          </cell>
          <cell r="E122">
            <v>2.0535307987191755E-3</v>
          </cell>
          <cell r="F122">
            <v>1.9680182283047507E-3</v>
          </cell>
          <cell r="G122">
            <v>1.1353553882872929E-4</v>
          </cell>
          <cell r="H122">
            <v>2.1583595042031039E-5</v>
          </cell>
        </row>
        <row r="123">
          <cell r="A123" t="str">
            <v>T_C-ICE-NGA-S1</v>
          </cell>
          <cell r="B123" t="str">
            <v>VAR_ncap</v>
          </cell>
          <cell r="C123" t="str">
            <v>-</v>
          </cell>
          <cell r="E123">
            <v>2.66068019592733E-6</v>
          </cell>
          <cell r="F123">
            <v>2.7119732967627402E-6</v>
          </cell>
          <cell r="G123">
            <v>1.3644723176537201E-8</v>
          </cell>
        </row>
        <row r="124">
          <cell r="A124" t="str">
            <v>T_C-ICE-NGA-S1</v>
          </cell>
          <cell r="B124" t="str">
            <v>VAR_cap</v>
          </cell>
          <cell r="C124" t="str">
            <v>-</v>
          </cell>
          <cell r="D124">
            <v>2.5629355550414398E-4</v>
          </cell>
          <cell r="E124">
            <v>1.8228977987459706E-4</v>
          </cell>
          <cell r="F124">
            <v>1.8380491506027661E-4</v>
          </cell>
          <cell r="G124">
            <v>1.0410113143711607E-5</v>
          </cell>
          <cell r="H124">
            <v>1.87588943324782E-6</v>
          </cell>
          <cell r="I124">
            <v>1.9287198501149964E-8</v>
          </cell>
        </row>
        <row r="125">
          <cell r="A125" t="str">
            <v>D-T-ELC-car</v>
          </cell>
          <cell r="B125" t="str">
            <v>VAR_fout</v>
          </cell>
          <cell r="C125" t="str">
            <v>T-ELC-car</v>
          </cell>
          <cell r="D125">
            <v>0.73866811595525295</v>
          </cell>
          <cell r="E125">
            <v>1.6391151154060999</v>
          </cell>
          <cell r="F125">
            <v>4.3135928974159059</v>
          </cell>
          <cell r="G125">
            <v>18.555579403974061</v>
          </cell>
          <cell r="H125">
            <v>33.103772326914878</v>
          </cell>
          <cell r="I125">
            <v>37.826706957541653</v>
          </cell>
          <cell r="J125">
            <v>37.50639676010163</v>
          </cell>
          <cell r="K125">
            <v>38.37992895692345</v>
          </cell>
          <cell r="L125">
            <v>36.241179905023323</v>
          </cell>
          <cell r="M125">
            <v>35.053744796034856</v>
          </cell>
          <cell r="N125">
            <v>33.895835996293414</v>
          </cell>
          <cell r="O125">
            <v>33.88209001608125</v>
          </cell>
        </row>
        <row r="126">
          <cell r="A126" t="str">
            <v>D-T-ELC-car</v>
          </cell>
          <cell r="B126" t="str">
            <v>VAR_fin</v>
          </cell>
          <cell r="C126" t="str">
            <v>TELC</v>
          </cell>
          <cell r="D126">
            <v>0.73866811595525295</v>
          </cell>
          <cell r="E126">
            <v>1.6391151154060999</v>
          </cell>
          <cell r="F126">
            <v>4.3135928974159059</v>
          </cell>
          <cell r="G126">
            <v>18.555579403974061</v>
          </cell>
          <cell r="H126">
            <v>33.103772326914878</v>
          </cell>
          <cell r="I126">
            <v>37.826706957541653</v>
          </cell>
          <cell r="J126">
            <v>37.50639676010163</v>
          </cell>
          <cell r="K126">
            <v>38.37992895692345</v>
          </cell>
          <cell r="L126">
            <v>36.241179905023323</v>
          </cell>
          <cell r="M126">
            <v>35.053744796034856</v>
          </cell>
          <cell r="N126">
            <v>33.895835996293414</v>
          </cell>
          <cell r="O126">
            <v>33.88209001608125</v>
          </cell>
        </row>
        <row r="127">
          <cell r="A127" t="str">
            <v>D-T-ELC-car</v>
          </cell>
          <cell r="B127" t="str">
            <v>VAR_ncap</v>
          </cell>
          <cell r="C127" t="str">
            <v>-</v>
          </cell>
          <cell r="D127">
            <v>1.94509805023211E-7</v>
          </cell>
          <cell r="E127">
            <v>1.8097291503696301E-7</v>
          </cell>
          <cell r="F127">
            <v>0.98068885640457204</v>
          </cell>
          <cell r="G127">
            <v>9.1340175902329293</v>
          </cell>
          <cell r="H127">
            <v>14.6223730843697</v>
          </cell>
          <cell r="I127">
            <v>10.8293914003398</v>
          </cell>
          <cell r="J127">
            <v>9.0758590685243394</v>
          </cell>
          <cell r="K127">
            <v>19.965534915208</v>
          </cell>
          <cell r="L127">
            <v>12.474334455507799</v>
          </cell>
          <cell r="M127">
            <v>10.4897577877109</v>
          </cell>
          <cell r="N127">
            <v>22.470826097141401</v>
          </cell>
          <cell r="O127">
            <v>13.363702661642501</v>
          </cell>
        </row>
        <row r="128">
          <cell r="A128" t="str">
            <v>D-T-ELC-car</v>
          </cell>
          <cell r="B128" t="str">
            <v>VAR_cap</v>
          </cell>
          <cell r="C128" t="str">
            <v>-</v>
          </cell>
          <cell r="D128">
            <v>1.2762581515678548</v>
          </cell>
          <cell r="E128">
            <v>1.2762583325407699</v>
          </cell>
          <cell r="F128">
            <v>2.2569471889453427</v>
          </cell>
          <cell r="G128">
            <v>11.390964779178249</v>
          </cell>
          <cell r="H128">
            <v>25.068057413069909</v>
          </cell>
          <cell r="I128">
            <v>33.0540055716626</v>
          </cell>
          <cell r="J128">
            <v>34.527623553233802</v>
          </cell>
          <cell r="K128">
            <v>39.8707853840721</v>
          </cell>
          <cell r="L128">
            <v>41.9771987527363</v>
          </cell>
          <cell r="M128">
            <v>42.929627158426698</v>
          </cell>
          <cell r="N128">
            <v>45.016717483149101</v>
          </cell>
          <cell r="O128">
            <v>46.324286546494797</v>
          </cell>
        </row>
        <row r="129">
          <cell r="A129" t="str">
            <v>T_C-ICE-NGA-S2</v>
          </cell>
          <cell r="B129" t="str">
            <v>VAR_fout</v>
          </cell>
          <cell r="C129" t="str">
            <v>CO2_T</v>
          </cell>
          <cell r="D129">
            <v>3.1566239331597932</v>
          </cell>
          <cell r="E129">
            <v>3.0323871305306125</v>
          </cell>
          <cell r="F129">
            <v>3.3440877895291106</v>
          </cell>
        </row>
        <row r="130">
          <cell r="A130" t="str">
            <v>T_C-ICE-NGA-S2</v>
          </cell>
          <cell r="B130" t="str">
            <v>VAR_fout</v>
          </cell>
          <cell r="C130" t="str">
            <v>TPCAR</v>
          </cell>
          <cell r="D130">
            <v>3.533822462105439E-2</v>
          </cell>
          <cell r="E130">
            <v>3.3934145850864419E-2</v>
          </cell>
          <cell r="F130">
            <v>3.6691951131874241E-2</v>
          </cell>
        </row>
        <row r="131">
          <cell r="A131" t="str">
            <v>T_C-ICE-NGA-S2</v>
          </cell>
          <cell r="B131" t="str">
            <v>VAR_fin</v>
          </cell>
          <cell r="C131" t="str">
            <v>TNGA</v>
          </cell>
          <cell r="D131">
            <v>5.5968509453187903E-2</v>
          </cell>
          <cell r="E131">
            <v>5.3765729264727287E-2</v>
          </cell>
          <cell r="F131">
            <v>5.9292336693778584E-2</v>
          </cell>
        </row>
        <row r="132">
          <cell r="A132" t="str">
            <v>T_C-ICE-NGA-S2</v>
          </cell>
          <cell r="B132" t="str">
            <v>VAR_ncap</v>
          </cell>
          <cell r="C132" t="str">
            <v>-</v>
          </cell>
          <cell r="E132">
            <v>1.5115379601316699E-6</v>
          </cell>
          <cell r="F132">
            <v>1.32101514908381E-6</v>
          </cell>
        </row>
        <row r="133">
          <cell r="A133" t="str">
            <v>T_C-ICE-NGA-S2</v>
          </cell>
          <cell r="B133" t="str">
            <v>VAR_cap</v>
          </cell>
          <cell r="C133" t="str">
            <v>-</v>
          </cell>
          <cell r="D133">
            <v>2.6902364593150698E-3</v>
          </cell>
          <cell r="E133">
            <v>2.8272199919184391E-3</v>
          </cell>
          <cell r="F133">
            <v>2.7900651234605005E-3</v>
          </cell>
          <cell r="G133">
            <v>2.6955590735639606E-8</v>
          </cell>
          <cell r="H133">
            <v>1.7195417558677753E-8</v>
          </cell>
          <cell r="I133">
            <v>2.5593809821850134E-9</v>
          </cell>
        </row>
        <row r="134">
          <cell r="A134" t="str">
            <v>TFLGV-ICEDSL</v>
          </cell>
          <cell r="B134" t="str">
            <v>VAR_fout</v>
          </cell>
          <cell r="C134" t="str">
            <v>CO2_T</v>
          </cell>
          <cell r="D134">
            <v>325.96322118260366</v>
          </cell>
          <cell r="E134">
            <v>384.71639603228346</v>
          </cell>
          <cell r="F134">
            <v>373.6111431049124</v>
          </cell>
          <cell r="G134">
            <v>152.82482218838487</v>
          </cell>
          <cell r="H134">
            <v>0.19303548271519738</v>
          </cell>
          <cell r="I134">
            <v>9.1382462232322201E-3</v>
          </cell>
        </row>
        <row r="135">
          <cell r="A135" t="str">
            <v>TFLGV-ICEDSL</v>
          </cell>
          <cell r="B135" t="str">
            <v>VAR_fout</v>
          </cell>
          <cell r="C135" t="str">
            <v>TFLGV</v>
          </cell>
          <cell r="D135">
            <v>1.5213744721891045</v>
          </cell>
          <cell r="E135">
            <v>1.79559430610801</v>
          </cell>
          <cell r="F135">
            <v>1.7437625434643325</v>
          </cell>
          <cell r="G135">
            <v>0.71328226034433451</v>
          </cell>
          <cell r="H135">
            <v>9.0095825708227299E-4</v>
          </cell>
          <cell r="I135">
            <v>4.265111405564293E-5</v>
          </cell>
        </row>
        <row r="136">
          <cell r="A136" t="str">
            <v>TFLGV-ICEDSL</v>
          </cell>
          <cell r="B136" t="str">
            <v>VAR_fin</v>
          </cell>
          <cell r="C136" t="str">
            <v>TDSL</v>
          </cell>
          <cell r="D136">
            <v>4.4469743681119196</v>
          </cell>
          <cell r="E136">
            <v>5.2485183633326526</v>
          </cell>
          <cell r="F136">
            <v>5.0970142306263657</v>
          </cell>
          <cell r="G136">
            <v>2.0849225400871068</v>
          </cell>
          <cell r="H136">
            <v>2.6334990820627209E-3</v>
          </cell>
          <cell r="I136">
            <v>1.2466911627874796E-4</v>
          </cell>
        </row>
        <row r="137">
          <cell r="A137" t="str">
            <v>TFLGV-ICEDSL</v>
          </cell>
          <cell r="B137" t="str">
            <v>VAR_ncap</v>
          </cell>
          <cell r="C137" t="str">
            <v>-</v>
          </cell>
          <cell r="E137">
            <v>1.2118033777257001E-5</v>
          </cell>
          <cell r="F137">
            <v>8.1516144792267094E-5</v>
          </cell>
          <cell r="G137">
            <v>3.6555563396401999E-5</v>
          </cell>
        </row>
        <row r="138">
          <cell r="A138" t="str">
            <v>TFLGV-ICEDSL</v>
          </cell>
          <cell r="B138" t="str">
            <v>VAR_cap</v>
          </cell>
          <cell r="C138" t="str">
            <v>-</v>
          </cell>
          <cell r="D138">
            <v>0.1061689772935866</v>
          </cell>
          <cell r="E138">
            <v>0.12516810292832628</v>
          </cell>
          <cell r="F138">
            <v>0.12524958245932299</v>
          </cell>
          <cell r="G138">
            <v>7.0971463689453118E-2</v>
          </cell>
          <cell r="H138">
            <v>7.8313236034349259E-5</v>
          </cell>
          <cell r="I138">
            <v>3.3683471975464705E-6</v>
          </cell>
        </row>
        <row r="139">
          <cell r="A139" t="str">
            <v>T_C-ICE-NGA-S3</v>
          </cell>
          <cell r="B139" t="str">
            <v>VAR_fout</v>
          </cell>
          <cell r="C139" t="str">
            <v>CO2_T</v>
          </cell>
          <cell r="D139">
            <v>0.2425471078320828</v>
          </cell>
          <cell r="E139">
            <v>0.23915079907053519</v>
          </cell>
          <cell r="F139">
            <v>0.27022878819080559</v>
          </cell>
          <cell r="G139">
            <v>2.07037405920255E-2</v>
          </cell>
          <cell r="H139">
            <v>3.3477040498293802E-3</v>
          </cell>
        </row>
        <row r="140">
          <cell r="A140" t="str">
            <v>T_C-ICE-NGA-S3</v>
          </cell>
          <cell r="B140" t="str">
            <v>VAR_fout</v>
          </cell>
          <cell r="C140" t="str">
            <v>TPCAR</v>
          </cell>
          <cell r="D140">
            <v>2.0118738558170812E-3</v>
          </cell>
          <cell r="E140">
            <v>2.0094699634675803E-3</v>
          </cell>
          <cell r="F140">
            <v>2.2607954016688812E-3</v>
          </cell>
          <cell r="G140">
            <v>1.7862050706845541E-4</v>
          </cell>
          <cell r="H140">
            <v>2.8882152586763275E-5</v>
          </cell>
        </row>
        <row r="141">
          <cell r="A141" t="str">
            <v>T_C-ICE-NGA-S3</v>
          </cell>
          <cell r="B141" t="str">
            <v>VAR_fin</v>
          </cell>
          <cell r="C141" t="str">
            <v>TNGA</v>
          </cell>
          <cell r="D141">
            <v>4.3004806353206144E-3</v>
          </cell>
          <cell r="E141">
            <v>4.240262394867641E-3</v>
          </cell>
          <cell r="F141">
            <v>4.7912905707589715E-3</v>
          </cell>
          <cell r="G141">
            <v>3.6708759914938878E-4</v>
          </cell>
          <cell r="H141">
            <v>5.9356454784208894E-5</v>
          </cell>
        </row>
        <row r="142">
          <cell r="A142" t="str">
            <v>T_C-ICE-NGA-S3</v>
          </cell>
          <cell r="B142" t="str">
            <v>VAR_ncap</v>
          </cell>
          <cell r="C142" t="str">
            <v>-</v>
          </cell>
          <cell r="E142">
            <v>1.78841396698982E-6</v>
          </cell>
          <cell r="F142">
            <v>1.1691786516677101E-6</v>
          </cell>
        </row>
        <row r="143">
          <cell r="A143" t="str">
            <v>T_C-ICE-NGA-S3</v>
          </cell>
          <cell r="B143" t="str">
            <v>VAR_cap</v>
          </cell>
          <cell r="C143" t="str">
            <v>-</v>
          </cell>
          <cell r="D143">
            <v>1.5112174236928E-4</v>
          </cell>
          <cell r="E143">
            <v>1.6015142628127987E-4</v>
          </cell>
          <cell r="F143">
            <v>1.5966446403298774E-4</v>
          </cell>
          <cell r="G143">
            <v>1.2703100648853133E-5</v>
          </cell>
          <cell r="H143">
            <v>2.2371806017407902E-6</v>
          </cell>
          <cell r="I143">
            <v>3.4794519976159987E-9</v>
          </cell>
        </row>
        <row r="144">
          <cell r="A144" t="str">
            <v>T_C-ICE-NGA-S4</v>
          </cell>
          <cell r="B144" t="str">
            <v>VAR_fout</v>
          </cell>
          <cell r="C144" t="str">
            <v>CO2_T</v>
          </cell>
          <cell r="D144">
            <v>2.7237823447036273</v>
          </cell>
          <cell r="E144">
            <v>2.6594163664185171</v>
          </cell>
          <cell r="F144">
            <v>2.4743061738851129</v>
          </cell>
        </row>
        <row r="145">
          <cell r="A145" t="str">
            <v>T_C-ICE-NGA-S4</v>
          </cell>
          <cell r="B145" t="str">
            <v>VAR_fout</v>
          </cell>
          <cell r="C145" t="str">
            <v>TPCAR</v>
          </cell>
          <cell r="D145">
            <v>3.2969697212531353E-2</v>
          </cell>
          <cell r="E145">
            <v>3.2173473840255526E-2</v>
          </cell>
          <cell r="F145">
            <v>2.9925162349150609E-2</v>
          </cell>
        </row>
        <row r="146">
          <cell r="A146" t="str">
            <v>T_C-ICE-NGA-S4</v>
          </cell>
          <cell r="B146" t="str">
            <v>VAR_fin</v>
          </cell>
          <cell r="C146" t="str">
            <v>TNGA</v>
          </cell>
          <cell r="D146">
            <v>4.8294013203965001E-2</v>
          </cell>
          <cell r="E146">
            <v>4.7152772454229074E-2</v>
          </cell>
          <cell r="F146">
            <v>4.3870676841934478E-2</v>
          </cell>
        </row>
        <row r="147">
          <cell r="A147" t="str">
            <v>T_C-ICE-NGA-S4</v>
          </cell>
          <cell r="B147" t="str">
            <v>VAR_ncap</v>
          </cell>
          <cell r="C147" t="str">
            <v>-</v>
          </cell>
          <cell r="E147">
            <v>1.84968822139886E-6</v>
          </cell>
          <cell r="F147">
            <v>1.4190938011422401E-6</v>
          </cell>
        </row>
        <row r="148">
          <cell r="A148" t="str">
            <v>T_C-ICE-NGA-S4</v>
          </cell>
          <cell r="B148" t="str">
            <v>VAR_cap</v>
          </cell>
          <cell r="C148" t="str">
            <v>-</v>
          </cell>
          <cell r="D148">
            <v>2.6074482428115001E-3</v>
          </cell>
          <cell r="E148">
            <v>2.535421008122837E-3</v>
          </cell>
          <cell r="F148">
            <v>2.3608004768817959E-3</v>
          </cell>
          <cell r="G148">
            <v>2.1445820149899528E-8</v>
          </cell>
          <cell r="H148">
            <v>1.2532220262028663E-8</v>
          </cell>
          <cell r="I148">
            <v>2.7939772857400145E-9</v>
          </cell>
        </row>
        <row r="149">
          <cell r="A149" t="str">
            <v>T_C-MHY-GSL-S1</v>
          </cell>
          <cell r="B149" t="str">
            <v>VAR_fout</v>
          </cell>
          <cell r="C149" t="str">
            <v>CO2_T</v>
          </cell>
          <cell r="E149">
            <v>2.35203678120522E-2</v>
          </cell>
          <cell r="F149">
            <v>8.7592288145536212E-2</v>
          </cell>
          <cell r="G149">
            <v>0.1085774631882665</v>
          </cell>
          <cell r="H149">
            <v>7.6719759338016572E-2</v>
          </cell>
          <cell r="I149">
            <v>2.4003462111772303E-2</v>
          </cell>
        </row>
        <row r="150">
          <cell r="A150" t="str">
            <v>T_C-MHY-GSL-S1</v>
          </cell>
          <cell r="B150" t="str">
            <v>VAR_fout</v>
          </cell>
          <cell r="C150" t="str">
            <v>TPCAR</v>
          </cell>
          <cell r="E150">
            <v>1.6520868133560761E-4</v>
          </cell>
          <cell r="F150">
            <v>6.4730433078248053E-4</v>
          </cell>
          <cell r="G150">
            <v>8.3207782678729495E-4</v>
          </cell>
          <cell r="H150">
            <v>5.9333699678116539E-4</v>
          </cell>
          <cell r="I150">
            <v>1.9248346411279496E-4</v>
          </cell>
        </row>
        <row r="151">
          <cell r="A151" t="str">
            <v>T_C-MHY-GSL-S1</v>
          </cell>
          <cell r="B151" t="str">
            <v>VAR_fin</v>
          </cell>
          <cell r="C151" t="str">
            <v>TGSL</v>
          </cell>
          <cell r="E151">
            <v>3.1870417089501575E-4</v>
          </cell>
          <cell r="F151">
            <v>1.1868873732457489E-3</v>
          </cell>
          <cell r="G151">
            <v>1.4712393385943984E-3</v>
          </cell>
          <cell r="H151">
            <v>1.0395631346614715E-3</v>
          </cell>
          <cell r="I151">
            <v>3.2525016411615536E-4</v>
          </cell>
        </row>
        <row r="152">
          <cell r="A152" t="str">
            <v>T_C-MHY-GSL-S1</v>
          </cell>
          <cell r="B152" t="str">
            <v>VAR_ncap</v>
          </cell>
          <cell r="C152" t="str">
            <v>-</v>
          </cell>
          <cell r="E152">
            <v>1.9802204443827601E-5</v>
          </cell>
          <cell r="F152">
            <v>7.8223103781171197E-5</v>
          </cell>
          <cell r="G152">
            <v>4.3440484087033999E-5</v>
          </cell>
        </row>
        <row r="153">
          <cell r="A153" t="str">
            <v>T_C-MHY-GSL-S1</v>
          </cell>
          <cell r="B153" t="str">
            <v>VAR_cap</v>
          </cell>
          <cell r="C153" t="str">
            <v>-</v>
          </cell>
          <cell r="E153">
            <v>1.9538574707558298E-5</v>
          </cell>
          <cell r="F153">
            <v>9.5601920230375403E-5</v>
          </cell>
          <cell r="G153">
            <v>1.2383005611669301E-4</v>
          </cell>
          <cell r="H153">
            <v>8.7009170419337706E-5</v>
          </cell>
          <cell r="I153">
            <v>2.7470785919239301E-5</v>
          </cell>
        </row>
        <row r="154">
          <cell r="A154" t="str">
            <v>T_TRLY_ELC</v>
          </cell>
          <cell r="B154" t="str">
            <v>VAR_fout</v>
          </cell>
          <cell r="C154" t="str">
            <v>TPTRLY</v>
          </cell>
          <cell r="D154">
            <v>2.7120999999999972E-2</v>
          </cell>
          <cell r="E154">
            <v>2.7782165745480814E-2</v>
          </cell>
          <cell r="F154">
            <v>2.8773914363701983E-2</v>
          </cell>
          <cell r="G154">
            <v>3.042682872740389E-2</v>
          </cell>
          <cell r="H154">
            <v>3.1023641718362919E-2</v>
          </cell>
          <cell r="I154">
            <v>3.1892522889951397E-2</v>
          </cell>
          <cell r="J154">
            <v>3.2426583620297177E-2</v>
          </cell>
          <cell r="K154">
            <v>3.2960644350642984E-2</v>
          </cell>
          <cell r="L154">
            <v>3.5939564798539693E-2</v>
          </cell>
          <cell r="M154">
            <v>3.8019840657423198E-2</v>
          </cell>
          <cell r="N154">
            <v>4.0091477970173192E-2</v>
          </cell>
          <cell r="O154">
            <v>4.2130119148439206E-2</v>
          </cell>
        </row>
        <row r="155">
          <cell r="A155" t="str">
            <v>T_TRLY_ELC</v>
          </cell>
          <cell r="B155" t="str">
            <v>VAR_fin</v>
          </cell>
          <cell r="C155" t="str">
            <v>TELC</v>
          </cell>
          <cell r="D155">
            <v>0.2816422643485601</v>
          </cell>
          <cell r="E155">
            <v>0.30668648626079364</v>
          </cell>
          <cell r="F155">
            <v>0.35078787907941233</v>
          </cell>
          <cell r="G155">
            <v>0.44905706465165934</v>
          </cell>
          <cell r="H155">
            <v>0.45786518239100965</v>
          </cell>
          <cell r="I155">
            <v>0.4706886426319784</v>
          </cell>
          <cell r="J155">
            <v>0.47857062553803131</v>
          </cell>
          <cell r="K155">
            <v>0.48645260844408511</v>
          </cell>
          <cell r="L155">
            <v>0.5304172714770905</v>
          </cell>
          <cell r="M155">
            <v>0.5611192082193377</v>
          </cell>
          <cell r="N155">
            <v>0.59169365220825365</v>
          </cell>
          <cell r="O155">
            <v>0.62178111980442863</v>
          </cell>
        </row>
        <row r="156">
          <cell r="A156" t="str">
            <v>T_C-MHY-GSL-S2</v>
          </cell>
          <cell r="B156" t="str">
            <v>VAR_fout</v>
          </cell>
          <cell r="C156" t="str">
            <v>CO2_T</v>
          </cell>
          <cell r="E156">
            <v>2.2000326128508701E-2</v>
          </cell>
          <cell r="F156">
            <v>8.8713405346600396E-2</v>
          </cell>
          <cell r="G156">
            <v>0.12293892655024891</v>
          </cell>
          <cell r="H156">
            <v>8.3717728340042763E-2</v>
          </cell>
          <cell r="I156">
            <v>2.857384387285062E-2</v>
          </cell>
        </row>
        <row r="157">
          <cell r="A157" t="str">
            <v>T_C-MHY-GSL-S2</v>
          </cell>
          <cell r="B157" t="str">
            <v>VAR_fout</v>
          </cell>
          <cell r="C157" t="str">
            <v>TPCAR</v>
          </cell>
          <cell r="E157">
            <v>1.244112815001051E-4</v>
          </cell>
          <cell r="F157">
            <v>5.2875953467580933E-4</v>
          </cell>
          <cell r="G157">
            <v>7.6713486283544431E-4</v>
          </cell>
          <cell r="H157">
            <v>5.2742587956721538E-4</v>
          </cell>
          <cell r="I157">
            <v>1.8673466527261107E-4</v>
          </cell>
        </row>
        <row r="158">
          <cell r="A158" t="str">
            <v>T_C-MHY-GSL-S2</v>
          </cell>
          <cell r="B158" t="str">
            <v>VAR_fin</v>
          </cell>
          <cell r="C158" t="str">
            <v>TGSL</v>
          </cell>
          <cell r="E158">
            <v>2.981074001152944E-4</v>
          </cell>
          <cell r="F158">
            <v>1.2020786632330684E-3</v>
          </cell>
          <cell r="G158">
            <v>1.665839113147003E-3</v>
          </cell>
          <cell r="H158">
            <v>1.1343865628732075E-3</v>
          </cell>
          <cell r="I158">
            <v>3.8717945627168886E-4</v>
          </cell>
        </row>
        <row r="159">
          <cell r="A159" t="str">
            <v>T_C-MHY-GSL-S2</v>
          </cell>
          <cell r="B159" t="str">
            <v>VAR_ncap</v>
          </cell>
          <cell r="C159" t="str">
            <v>-</v>
          </cell>
          <cell r="E159">
            <v>1.04780775665535E-5</v>
          </cell>
          <cell r="F159">
            <v>3.88021635079304E-5</v>
          </cell>
          <cell r="G159">
            <v>2.8428087324154201E-5</v>
          </cell>
        </row>
        <row r="160">
          <cell r="A160" t="str">
            <v>T_C-MHY-GSL-S2</v>
          </cell>
          <cell r="B160" t="str">
            <v>VAR_cap</v>
          </cell>
          <cell r="C160" t="str">
            <v>-</v>
          </cell>
          <cell r="E160">
            <v>1.03385813385797E-5</v>
          </cell>
          <cell r="F160">
            <v>4.8032399013969303E-5</v>
          </cell>
          <cell r="G160">
            <v>6.8437498639736905E-5</v>
          </cell>
          <cell r="H160">
            <v>4.8646203688980797E-5</v>
          </cell>
          <cell r="I160">
            <v>1.6751198398812E-5</v>
          </cell>
        </row>
        <row r="161">
          <cell r="A161" t="str">
            <v>T_C-MHY-DSL-S1</v>
          </cell>
          <cell r="B161" t="str">
            <v>VAR_fout</v>
          </cell>
          <cell r="C161" t="str">
            <v>CO2_T</v>
          </cell>
          <cell r="E161">
            <v>2.1519507170873201E-2</v>
          </cell>
          <cell r="F161">
            <v>6.8852872399921508E-2</v>
          </cell>
          <cell r="G161">
            <v>9.5183433449579496E-2</v>
          </cell>
          <cell r="H161">
            <v>6.7964601386638984E-2</v>
          </cell>
          <cell r="I161">
            <v>2.3601262058755939E-2</v>
          </cell>
        </row>
        <row r="162">
          <cell r="A162" t="str">
            <v>T_C-MHY-DSL-S1</v>
          </cell>
          <cell r="B162" t="str">
            <v>VAR_fout</v>
          </cell>
          <cell r="C162" t="str">
            <v>TPCAR</v>
          </cell>
          <cell r="E162">
            <v>1.6500308107026158E-4</v>
          </cell>
          <cell r="F162">
            <v>5.4961995084474029E-4</v>
          </cell>
          <cell r="G162">
            <v>7.8917920546147291E-4</v>
          </cell>
          <cell r="H162">
            <v>5.6822318937114601E-4</v>
          </cell>
          <cell r="I162">
            <v>2.0317812879913988E-4</v>
          </cell>
        </row>
        <row r="163">
          <cell r="A163" t="str">
            <v>T_C-MHY-DSL-S1</v>
          </cell>
          <cell r="B163" t="str">
            <v>VAR_fin</v>
          </cell>
          <cell r="C163" t="str">
            <v>TDSL</v>
          </cell>
          <cell r="E163">
            <v>2.9358127108967573E-4</v>
          </cell>
          <cell r="F163">
            <v>9.3932977353235344E-4</v>
          </cell>
          <cell r="G163">
            <v>1.2985461589301429E-3</v>
          </cell>
          <cell r="H163">
            <v>9.2721147867174552E-4</v>
          </cell>
          <cell r="I163">
            <v>3.2198174704987746E-4</v>
          </cell>
        </row>
        <row r="164">
          <cell r="A164" t="str">
            <v>T_C-MHY-DSL-S1</v>
          </cell>
          <cell r="B164" t="str">
            <v>VAR_ncap</v>
          </cell>
          <cell r="C164" t="str">
            <v>-</v>
          </cell>
          <cell r="E164">
            <v>1.9417515352790099E-5</v>
          </cell>
          <cell r="F164">
            <v>6.3317142503877395E-5</v>
          </cell>
          <cell r="G164">
            <v>5.0389454059857803E-5</v>
          </cell>
        </row>
        <row r="165">
          <cell r="A165" t="str">
            <v>T_C-MHY-DSL-S1</v>
          </cell>
          <cell r="B165" t="str">
            <v>VAR_cap</v>
          </cell>
          <cell r="C165" t="str">
            <v>-</v>
          </cell>
          <cell r="E165">
            <v>1.9159007040446199E-5</v>
          </cell>
          <cell r="F165">
            <v>8.0536562551182804E-5</v>
          </cell>
          <cell r="G165">
            <v>1.1720126032360601E-4</v>
          </cell>
          <cell r="H165">
            <v>8.30682904969636E-5</v>
          </cell>
          <cell r="I165">
            <v>2.9151445394947499E-5</v>
          </cell>
        </row>
        <row r="166">
          <cell r="A166" t="str">
            <v>T_C-MHY-GSL-S3</v>
          </cell>
          <cell r="B166" t="str">
            <v>VAR_fout</v>
          </cell>
          <cell r="C166" t="str">
            <v>CO2_T</v>
          </cell>
          <cell r="E166">
            <v>3.09644163800415E-2</v>
          </cell>
          <cell r="F166">
            <v>0.1047631229007962</v>
          </cell>
          <cell r="G166">
            <v>0.13258220048753588</v>
          </cell>
          <cell r="H166">
            <v>8.7213116952408382E-2</v>
          </cell>
          <cell r="I166">
            <v>2.657787095259442E-2</v>
          </cell>
        </row>
        <row r="167">
          <cell r="A167" t="str">
            <v>T_C-MHY-GSL-S3</v>
          </cell>
          <cell r="B167" t="str">
            <v>VAR_fout</v>
          </cell>
          <cell r="C167" t="str">
            <v>TPCAR</v>
          </cell>
          <cell r="E167">
            <v>1.6278132567460417E-4</v>
          </cell>
          <cell r="F167">
            <v>5.7890136381516858E-4</v>
          </cell>
          <cell r="G167">
            <v>7.6361630521008296E-4</v>
          </cell>
          <cell r="H167">
            <v>5.0844903460452498E-4</v>
          </cell>
          <cell r="I167">
            <v>1.6144859166489505E-4</v>
          </cell>
        </row>
        <row r="168">
          <cell r="A168" t="str">
            <v>T_C-MHY-GSL-S3</v>
          </cell>
          <cell r="B168" t="str">
            <v>VAR_fin</v>
          </cell>
          <cell r="C168" t="str">
            <v>TGSL</v>
          </cell>
          <cell r="E168">
            <v>4.1957203766993802E-4</v>
          </cell>
          <cell r="F168">
            <v>1.4195545108508989E-3</v>
          </cell>
          <cell r="G168">
            <v>1.7965067816739266E-3</v>
          </cell>
          <cell r="H168">
            <v>1.1817495522006562E-3</v>
          </cell>
          <cell r="I168">
            <v>3.6013375274518243E-4</v>
          </cell>
        </row>
        <row r="169">
          <cell r="A169" t="str">
            <v>T_C-MHY-GSL-S3</v>
          </cell>
          <cell r="B169" t="str">
            <v>VAR_ncap</v>
          </cell>
          <cell r="C169" t="str">
            <v>-</v>
          </cell>
          <cell r="E169">
            <v>1.20316628370129E-5</v>
          </cell>
          <cell r="F169">
            <v>3.17260002970024E-5</v>
          </cell>
          <cell r="G169">
            <v>2.05766194814718E-5</v>
          </cell>
        </row>
        <row r="170">
          <cell r="A170" t="str">
            <v>T_C-MHY-GSL-S3</v>
          </cell>
          <cell r="B170" t="str">
            <v>VAR_cap</v>
          </cell>
          <cell r="C170" t="str">
            <v>-</v>
          </cell>
          <cell r="E170">
            <v>1.18714834938695E-5</v>
          </cell>
          <cell r="F170">
            <v>4.2495602687445203E-5</v>
          </cell>
          <cell r="G170">
            <v>5.6015265887990598E-5</v>
          </cell>
          <cell r="H170">
            <v>3.8602657186796797E-5</v>
          </cell>
          <cell r="I170">
            <v>1.24850425816696E-5</v>
          </cell>
        </row>
        <row r="171">
          <cell r="A171" t="str">
            <v>T_C-MHY-DSL-S2</v>
          </cell>
          <cell r="B171" t="str">
            <v>VAR_fout</v>
          </cell>
          <cell r="C171" t="str">
            <v>CO2_T</v>
          </cell>
          <cell r="E171">
            <v>2.0071249514665698E-2</v>
          </cell>
          <cell r="F171">
            <v>7.3195584544991504E-2</v>
          </cell>
          <cell r="G171">
            <v>0.10082204450362159</v>
          </cell>
          <cell r="H171">
            <v>6.6555653394526834E-2</v>
          </cell>
          <cell r="I171">
            <v>2.2386301871506212E-2</v>
          </cell>
        </row>
        <row r="172">
          <cell r="A172" t="str">
            <v>T_C-MHY-DSL-S2</v>
          </cell>
          <cell r="B172" t="str">
            <v>VAR_fout</v>
          </cell>
          <cell r="C172" t="str">
            <v>TPCAR</v>
          </cell>
          <cell r="E172">
            <v>1.2379592309269322E-4</v>
          </cell>
          <cell r="F172">
            <v>4.7102254333513532E-4</v>
          </cell>
          <cell r="G172">
            <v>6.7527747215836412E-4</v>
          </cell>
          <cell r="H172">
            <v>4.4981570998529029E-4</v>
          </cell>
          <cell r="I172">
            <v>1.5613105255190044E-4</v>
          </cell>
        </row>
        <row r="173">
          <cell r="A173" t="str">
            <v>T_C-MHY-DSL-S2</v>
          </cell>
          <cell r="B173" t="str">
            <v>VAR_fin</v>
          </cell>
          <cell r="C173" t="str">
            <v>TDSL</v>
          </cell>
          <cell r="E173">
            <v>2.7382332216460687E-4</v>
          </cell>
          <cell r="F173">
            <v>9.9857550538869772E-4</v>
          </cell>
          <cell r="G173">
            <v>1.3754712756292211E-3</v>
          </cell>
          <cell r="H173">
            <v>9.0798981438645118E-4</v>
          </cell>
          <cell r="I173">
            <v>3.0540657396325017E-4</v>
          </cell>
        </row>
        <row r="174">
          <cell r="A174" t="str">
            <v>T_C-MHY-DSL-S2</v>
          </cell>
          <cell r="B174" t="str">
            <v>VAR_ncap</v>
          </cell>
          <cell r="C174" t="str">
            <v>-</v>
          </cell>
          <cell r="E174">
            <v>1.0192360459680901E-5</v>
          </cell>
          <cell r="F174">
            <v>3.0461027605418601E-5</v>
          </cell>
          <cell r="G174">
            <v>2.41337400181174E-5</v>
          </cell>
        </row>
        <row r="175">
          <cell r="A175" t="str">
            <v>T_C-MHY-DSL-S2</v>
          </cell>
          <cell r="B175" t="str">
            <v>VAR_cap</v>
          </cell>
          <cell r="C175" t="str">
            <v>-</v>
          </cell>
          <cell r="E175">
            <v>1.00566680266707E-5</v>
          </cell>
          <cell r="F175">
            <v>3.95365329471737E-5</v>
          </cell>
          <cell r="G175">
            <v>5.69170207250601E-5</v>
          </cell>
          <cell r="H175">
            <v>4.0098031082297402E-5</v>
          </cell>
          <cell r="I175">
            <v>1.3975342694715899E-5</v>
          </cell>
        </row>
        <row r="176">
          <cell r="A176" t="str">
            <v>T_C-MHY-GSL-S4</v>
          </cell>
          <cell r="B176" t="str">
            <v>VAR_fout</v>
          </cell>
          <cell r="C176" t="str">
            <v>CO2_T</v>
          </cell>
          <cell r="E176">
            <v>3.6764292883290001E-2</v>
          </cell>
          <cell r="F176">
            <v>0.1344947104850473</v>
          </cell>
          <cell r="G176">
            <v>0.19242923089056102</v>
          </cell>
          <cell r="H176">
            <v>0.1253226790653228</v>
          </cell>
          <cell r="I176">
            <v>4.2453525469322261E-2</v>
          </cell>
        </row>
        <row r="177">
          <cell r="A177" t="str">
            <v>T_C-MHY-GSL-S4</v>
          </cell>
          <cell r="B177" t="str">
            <v>VAR_fout</v>
          </cell>
          <cell r="C177" t="str">
            <v>TPCAR</v>
          </cell>
          <cell r="E177">
            <v>1.9593902889170506E-4</v>
          </cell>
          <cell r="F177">
            <v>7.5388787526533012E-4</v>
          </cell>
          <cell r="G177">
            <v>1.1292671126858097E-3</v>
          </cell>
          <cell r="H177">
            <v>7.4309890358719062E-4</v>
          </cell>
          <cell r="I177">
            <v>2.6109997076705495E-4</v>
          </cell>
        </row>
        <row r="178">
          <cell r="A178" t="str">
            <v>T_C-MHY-GSL-S4</v>
          </cell>
          <cell r="B178" t="str">
            <v>VAR_fin</v>
          </cell>
          <cell r="C178" t="str">
            <v>TGSL</v>
          </cell>
          <cell r="E178">
            <v>4.9816115018008116E-4</v>
          </cell>
          <cell r="F178">
            <v>1.8224215512879088E-3</v>
          </cell>
          <cell r="G178">
            <v>2.6074421529886306E-3</v>
          </cell>
          <cell r="H178">
            <v>1.6981392827279511E-3</v>
          </cell>
          <cell r="I178">
            <v>5.7525102261954332E-4</v>
          </cell>
        </row>
        <row r="179">
          <cell r="A179" t="str">
            <v>T_C-MHY-GSL-S4</v>
          </cell>
          <cell r="B179" t="str">
            <v>VAR_ncap</v>
          </cell>
          <cell r="C179" t="str">
            <v>-</v>
          </cell>
          <cell r="E179">
            <v>1.6472587075749001E-5</v>
          </cell>
          <cell r="F179">
            <v>5.2565563020353703E-5</v>
          </cell>
          <cell r="G179">
            <v>4.0832189170284097E-5</v>
          </cell>
        </row>
        <row r="180">
          <cell r="A180" t="str">
            <v>T_C-MHY-GSL-S4</v>
          </cell>
          <cell r="B180" t="str">
            <v>VAR_cap</v>
          </cell>
          <cell r="C180" t="str">
            <v>-</v>
          </cell>
          <cell r="E180">
            <v>1.6253285038E-5</v>
          </cell>
          <cell r="F180">
            <v>6.7188718164355398E-5</v>
          </cell>
          <cell r="G180">
            <v>9.6613984362575899E-5</v>
          </cell>
          <cell r="H180">
            <v>6.8279686201281006E-5</v>
          </cell>
          <cell r="I180">
            <v>2.37468229988452E-5</v>
          </cell>
        </row>
        <row r="181">
          <cell r="A181" t="str">
            <v>T_C-MHY-DSL-S3</v>
          </cell>
          <cell r="B181" t="str">
            <v>VAR_fout</v>
          </cell>
          <cell r="C181" t="str">
            <v>CO2_T</v>
          </cell>
          <cell r="E181">
            <v>2.7144393677161399E-2</v>
          </cell>
          <cell r="F181">
            <v>8.0139771331722703E-2</v>
          </cell>
          <cell r="G181">
            <v>0.10103183334947549</v>
          </cell>
          <cell r="H181">
            <v>6.5793855605802171E-2</v>
          </cell>
          <cell r="I181">
            <v>1.9894167967319451E-2</v>
          </cell>
        </row>
        <row r="182">
          <cell r="A182" t="str">
            <v>T_C-MHY-DSL-S3</v>
          </cell>
          <cell r="B182" t="str">
            <v>VAR_fout</v>
          </cell>
          <cell r="C182" t="str">
            <v>TPCAR</v>
          </cell>
          <cell r="E182">
            <v>1.5563828637891634E-4</v>
          </cell>
          <cell r="F182">
            <v>4.7791793804559721E-4</v>
          </cell>
          <cell r="G182">
            <v>6.2452848757941083E-4</v>
          </cell>
          <cell r="H182">
            <v>4.1139871940006631E-4</v>
          </cell>
          <cell r="I182">
            <v>1.2893356956313672E-4</v>
          </cell>
        </row>
        <row r="183">
          <cell r="A183" t="str">
            <v>T_C-MHY-DSL-S3</v>
          </cell>
          <cell r="B183" t="str">
            <v>VAR_fin</v>
          </cell>
          <cell r="C183" t="str">
            <v>TDSL</v>
          </cell>
          <cell r="E183">
            <v>3.7031914975663562E-4</v>
          </cell>
          <cell r="F183">
            <v>1.0933120236251393E-3</v>
          </cell>
          <cell r="G183">
            <v>1.378333333553554E-3</v>
          </cell>
          <cell r="H183">
            <v>8.9759693868761523E-4</v>
          </cell>
          <cell r="I183">
            <v>2.7140747567966491E-4</v>
          </cell>
        </row>
        <row r="184">
          <cell r="A184" t="str">
            <v>T_C-MHY-DSL-S3</v>
          </cell>
          <cell r="B184" t="str">
            <v>VAR_ncap</v>
          </cell>
          <cell r="C184" t="str">
            <v>-</v>
          </cell>
          <cell r="E184">
            <v>1.14343523303882E-5</v>
          </cell>
          <cell r="F184">
            <v>2.46028303013657E-5</v>
          </cell>
          <cell r="G184">
            <v>1.67320798870166E-5</v>
          </cell>
        </row>
        <row r="185">
          <cell r="A185" t="str">
            <v>T_C-MHY-DSL-S3</v>
          </cell>
          <cell r="B185" t="str">
            <v>VAR_cap</v>
          </cell>
          <cell r="C185" t="str">
            <v>-</v>
          </cell>
          <cell r="E185">
            <v>1.12821250721644E-5</v>
          </cell>
          <cell r="F185">
            <v>3.4911640206795798E-5</v>
          </cell>
          <cell r="G185">
            <v>4.57450870898906E-5</v>
          </cell>
          <cell r="H185">
            <v>3.1074977582907902E-5</v>
          </cell>
          <cell r="I185">
            <v>1.0034015720356101E-5</v>
          </cell>
        </row>
        <row r="186">
          <cell r="A186" t="str">
            <v>T_B_c-HYBDSL-S1</v>
          </cell>
          <cell r="B186" t="str">
            <v>VAR_fout</v>
          </cell>
          <cell r="C186" t="str">
            <v>CO2_T</v>
          </cell>
          <cell r="E186">
            <v>0.13123117359513101</v>
          </cell>
          <cell r="F186">
            <v>0.1503310070666975</v>
          </cell>
          <cell r="G186">
            <v>1.1838401423066122E-4</v>
          </cell>
          <cell r="I186">
            <v>1.22789141181071E-4</v>
          </cell>
          <cell r="J186">
            <v>2.9131873984200734E-2</v>
          </cell>
          <cell r="K186">
            <v>2.90559648383713E-2</v>
          </cell>
        </row>
        <row r="187">
          <cell r="A187" t="str">
            <v>T_B_c-HYBDSL-S1</v>
          </cell>
          <cell r="B187" t="str">
            <v>VAR_fout</v>
          </cell>
          <cell r="C187" t="str">
            <v>TPBSc</v>
          </cell>
          <cell r="E187">
            <v>2.9095311780972643E-4</v>
          </cell>
          <cell r="F187">
            <v>3.3563166770126827E-4</v>
          </cell>
          <cell r="G187">
            <v>2.7197889232132791E-7</v>
          </cell>
          <cell r="I187">
            <v>3.4281860048775238E-7</v>
          </cell>
          <cell r="J187">
            <v>8.5345857710165577E-5</v>
          </cell>
          <cell r="K187">
            <v>8.5142555802043365E-5</v>
          </cell>
        </row>
        <row r="188">
          <cell r="A188" t="str">
            <v>T_B_c-HYBDSL-S1</v>
          </cell>
          <cell r="B188" t="str">
            <v>VAR_fin</v>
          </cell>
          <cell r="C188" t="str">
            <v>TDSL</v>
          </cell>
          <cell r="E188">
            <v>1.7903297898380743E-3</v>
          </cell>
          <cell r="F188">
            <v>2.0509005056848217E-3</v>
          </cell>
          <cell r="G188">
            <v>1.6150615856843275E-6</v>
          </cell>
          <cell r="I188">
            <v>1.675158815567138E-6</v>
          </cell>
          <cell r="J188">
            <v>3.9743347863848224E-4</v>
          </cell>
          <cell r="K188">
            <v>3.9639788319742513E-4</v>
          </cell>
        </row>
        <row r="189">
          <cell r="A189" t="str">
            <v>T_B_c-HYBDSL-S1</v>
          </cell>
          <cell r="B189" t="str">
            <v>VAR_ncap</v>
          </cell>
          <cell r="C189" t="str">
            <v>-</v>
          </cell>
          <cell r="E189">
            <v>6.4329550910380003E-6</v>
          </cell>
          <cell r="F189">
            <v>1.15808409236869E-6</v>
          </cell>
          <cell r="G189">
            <v>1.3436613751735101E-8</v>
          </cell>
          <cell r="I189">
            <v>2.0695361737263701E-8</v>
          </cell>
          <cell r="J189">
            <v>1.8518412562751499E-6</v>
          </cell>
        </row>
        <row r="190">
          <cell r="A190" t="str">
            <v>T_B_c-HYBDSL-S1</v>
          </cell>
          <cell r="B190" t="str">
            <v>VAR_cap</v>
          </cell>
          <cell r="C190" t="str">
            <v>-</v>
          </cell>
          <cell r="E190">
            <v>6.4329550910380003E-6</v>
          </cell>
          <cell r="F190">
            <v>7.5910391834066904E-6</v>
          </cell>
          <cell r="G190">
            <v>4.3388421356049991E-8</v>
          </cell>
          <cell r="H190">
            <v>2.0259580166061083E-8</v>
          </cell>
          <cell r="I190">
            <v>2.3517009480416601E-8</v>
          </cell>
          <cell r="J190">
            <v>1.87253661801242E-6</v>
          </cell>
          <cell r="K190">
            <v>1.8589107346722399E-6</v>
          </cell>
        </row>
        <row r="191">
          <cell r="A191" t="str">
            <v>T_C-MHY-DSL-S4</v>
          </cell>
          <cell r="B191" t="str">
            <v>VAR_fout</v>
          </cell>
          <cell r="C191" t="str">
            <v>CO2_T</v>
          </cell>
          <cell r="E191">
            <v>1.8621691714534001E-2</v>
          </cell>
          <cell r="F191">
            <v>4.5044847047779502E-2</v>
          </cell>
          <cell r="G191">
            <v>5.9424471163830699E-2</v>
          </cell>
          <cell r="H191">
            <v>3.8299442737210088E-2</v>
          </cell>
          <cell r="I191">
            <v>1.229001622533573E-2</v>
          </cell>
        </row>
        <row r="192">
          <cell r="A192" t="str">
            <v>T_C-MHY-DSL-S4</v>
          </cell>
          <cell r="B192" t="str">
            <v>VAR_fout</v>
          </cell>
          <cell r="C192" t="str">
            <v>TPCAR</v>
          </cell>
          <cell r="E192">
            <v>1.0147527338740375E-4</v>
          </cell>
          <cell r="F192">
            <v>2.5427295900621726E-4</v>
          </cell>
          <cell r="G192">
            <v>3.4893076413369632E-4</v>
          </cell>
          <cell r="H192">
            <v>2.2774337992586427E-4</v>
          </cell>
          <cell r="I192">
            <v>7.5731513947887067E-5</v>
          </cell>
        </row>
        <row r="193">
          <cell r="A193" t="str">
            <v>T_C-MHY-DSL-S4</v>
          </cell>
          <cell r="B193" t="str">
            <v>VAR_fin</v>
          </cell>
          <cell r="C193" t="str">
            <v>TDSL</v>
          </cell>
          <cell r="E193">
            <v>2.5404763594180044E-4</v>
          </cell>
          <cell r="F193">
            <v>6.1452724485374483E-4</v>
          </cell>
          <cell r="G193">
            <v>8.1070219868800491E-4</v>
          </cell>
          <cell r="H193">
            <v>5.2250262942987833E-4</v>
          </cell>
          <cell r="I193">
            <v>1.6766734277402084E-4</v>
          </cell>
        </row>
        <row r="194">
          <cell r="A194" t="str">
            <v>T_C-MHY-DSL-S4</v>
          </cell>
          <cell r="B194" t="str">
            <v>VAR_ncap</v>
          </cell>
          <cell r="C194" t="str">
            <v>-</v>
          </cell>
          <cell r="E194">
            <v>8.6793243466201993E-6</v>
          </cell>
          <cell r="F194">
            <v>1.45674336763885E-5</v>
          </cell>
          <cell r="G194">
            <v>1.21102829837798E-5</v>
          </cell>
        </row>
        <row r="195">
          <cell r="A195" t="str">
            <v>T_C-MHY-DSL-S4</v>
          </cell>
          <cell r="B195" t="str">
            <v>VAR_cap</v>
          </cell>
          <cell r="C195" t="str">
            <v>-</v>
          </cell>
          <cell r="E195">
            <v>8.5637751917275602E-6</v>
          </cell>
          <cell r="F195">
            <v>2.2447091216659199E-5</v>
          </cell>
          <cell r="G195">
            <v>3.0600381657647101E-5</v>
          </cell>
          <cell r="H195">
            <v>2.0592585494741E-5</v>
          </cell>
          <cell r="I195">
            <v>6.9417612327734497E-6</v>
          </cell>
        </row>
        <row r="196">
          <cell r="A196" t="str">
            <v>T_B_c-HYBDSL-S2</v>
          </cell>
          <cell r="B196" t="str">
            <v>VAR_fout</v>
          </cell>
          <cell r="C196" t="str">
            <v>CO2_T</v>
          </cell>
          <cell r="E196">
            <v>1.15207555987904E-2</v>
          </cell>
          <cell r="F196">
            <v>2.2444024879356803E-2</v>
          </cell>
        </row>
        <row r="197">
          <cell r="A197" t="str">
            <v>T_B_c-HYBDSL-S2</v>
          </cell>
          <cell r="B197" t="str">
            <v>VAR_fout</v>
          </cell>
          <cell r="C197" t="str">
            <v>TPBSc</v>
          </cell>
          <cell r="E197">
            <v>1.8309660934155764E-5</v>
          </cell>
          <cell r="F197">
            <v>3.6523361739281625E-5</v>
          </cell>
        </row>
        <row r="198">
          <cell r="A198" t="str">
            <v>T_B_c-HYBDSL-S2</v>
          </cell>
          <cell r="B198" t="str">
            <v>VAR_fin</v>
          </cell>
          <cell r="C198" t="str">
            <v>TDSL</v>
          </cell>
          <cell r="E198">
            <v>1.5717265482660881E-4</v>
          </cell>
          <cell r="F198">
            <v>3.0619406383842828E-4</v>
          </cell>
        </row>
        <row r="199">
          <cell r="A199" t="str">
            <v>T_B_c-HYBDSL-S2</v>
          </cell>
          <cell r="B199" t="str">
            <v>VAR_ncap</v>
          </cell>
          <cell r="C199" t="str">
            <v>-</v>
          </cell>
          <cell r="E199">
            <v>4.4107855077650301E-7</v>
          </cell>
          <cell r="F199">
            <v>4.1894449987379599E-7</v>
          </cell>
        </row>
        <row r="200">
          <cell r="A200" t="str">
            <v>T_B_c-HYBDSL-S2</v>
          </cell>
          <cell r="B200" t="str">
            <v>VAR_cap</v>
          </cell>
          <cell r="C200" t="str">
            <v>-</v>
          </cell>
          <cell r="E200">
            <v>4.4107855077650301E-7</v>
          </cell>
          <cell r="F200">
            <v>8.60023050650298E-7</v>
          </cell>
          <cell r="G200">
            <v>8.6765881301779591E-9</v>
          </cell>
          <cell r="H200">
            <v>1.6066098777710121E-9</v>
          </cell>
        </row>
        <row r="201">
          <cell r="A201" t="str">
            <v>T_C-BATELCEXT</v>
          </cell>
          <cell r="B201" t="str">
            <v>VAR_fout</v>
          </cell>
          <cell r="C201" t="str">
            <v>TPCAR</v>
          </cell>
          <cell r="D201">
            <v>0.41619369554556712</v>
          </cell>
          <cell r="E201">
            <v>0.36066151430340565</v>
          </cell>
          <cell r="F201">
            <v>0.27745431276524335</v>
          </cell>
          <cell r="G201">
            <v>0.13873168638687658</v>
          </cell>
        </row>
        <row r="202">
          <cell r="A202" t="str">
            <v>T_C-BATELCEXT</v>
          </cell>
          <cell r="B202" t="str">
            <v>VAR_fin</v>
          </cell>
          <cell r="C202" t="str">
            <v>T-ELC-car</v>
          </cell>
          <cell r="D202">
            <v>0.4678899196482677</v>
          </cell>
          <cell r="E202">
            <v>0.3768883007777547</v>
          </cell>
          <cell r="F202">
            <v>0.26222049940345415</v>
          </cell>
          <cell r="G202">
            <v>0.11309535826273021</v>
          </cell>
        </row>
        <row r="203">
          <cell r="A203" t="str">
            <v>T_C-BATELCEXT</v>
          </cell>
          <cell r="B203" t="str">
            <v>VAR_cap</v>
          </cell>
          <cell r="C203" t="str">
            <v>-</v>
          </cell>
          <cell r="D203">
            <v>4.203987817837352E-2</v>
          </cell>
          <cell r="E203">
            <v>3.6430444771548859E-2</v>
          </cell>
          <cell r="F203">
            <v>2.8025712870660288E-2</v>
          </cell>
          <cell r="G203">
            <v>1.40133333333333E-2</v>
          </cell>
        </row>
        <row r="204">
          <cell r="A204" t="str">
            <v>D-TDSL</v>
          </cell>
          <cell r="B204" t="str">
            <v>VAR_fout</v>
          </cell>
          <cell r="C204" t="str">
            <v>CO2</v>
          </cell>
          <cell r="D204">
            <v>8688.5354271433698</v>
          </cell>
          <cell r="E204">
            <v>8196.1036438101692</v>
          </cell>
          <cell r="F204">
            <v>7017.7276928834799</v>
          </cell>
          <cell r="G204">
            <v>4635.8958298498901</v>
          </cell>
          <cell r="H204">
            <v>2685.4874703120399</v>
          </cell>
          <cell r="I204">
            <v>1782.5619159585699</v>
          </cell>
          <cell r="J204">
            <v>778.690737531781</v>
          </cell>
          <cell r="K204">
            <v>3.14347453868166E-2</v>
          </cell>
          <cell r="L204">
            <v>6.03780488708556E-2</v>
          </cell>
          <cell r="M204">
            <v>0.11437983699165701</v>
          </cell>
          <cell r="N204">
            <v>8.0017387672263796E-2</v>
          </cell>
          <cell r="O204">
            <v>0.171950122529133</v>
          </cell>
        </row>
        <row r="205">
          <cell r="A205" t="str">
            <v>D-TDSL</v>
          </cell>
          <cell r="B205" t="str">
            <v>VAR_fout</v>
          </cell>
          <cell r="C205" t="str">
            <v>TDSL</v>
          </cell>
          <cell r="D205">
            <v>116.79192088072892</v>
          </cell>
          <cell r="E205">
            <v>110.17261727536669</v>
          </cell>
          <cell r="F205">
            <v>94.332802615874485</v>
          </cell>
          <cell r="G205">
            <v>62.316046646902336</v>
          </cell>
          <cell r="H205">
            <v>36.098516578414028</v>
          </cell>
          <cell r="I205">
            <v>23.961326048489465</v>
          </cell>
          <cell r="J205">
            <v>10.467217147351741</v>
          </cell>
          <cell r="K205">
            <v>4.2254811836912838E-4</v>
          </cell>
          <cell r="L205">
            <v>8.116060946966999E-4</v>
          </cell>
          <cell r="M205">
            <v>1.5375020317632954E-3</v>
          </cell>
          <cell r="N205">
            <v>1.0755995056320143E-3</v>
          </cell>
          <cell r="O205">
            <v>2.3113659688968925E-3</v>
          </cell>
        </row>
        <row r="206">
          <cell r="A206" t="str">
            <v>D-TDSL</v>
          </cell>
          <cell r="B206" t="str">
            <v>VAR_fin</v>
          </cell>
          <cell r="C206" t="str">
            <v>DSL</v>
          </cell>
          <cell r="D206">
            <v>118.53390760086451</v>
          </cell>
          <cell r="E206">
            <v>111.81587508608686</v>
          </cell>
          <cell r="F206">
            <v>95.73980481423574</v>
          </cell>
          <cell r="G206">
            <v>63.245509274896143</v>
          </cell>
          <cell r="H206">
            <v>36.636936839181963</v>
          </cell>
          <cell r="I206">
            <v>24.318716452367923</v>
          </cell>
          <cell r="J206">
            <v>10.623338847636843</v>
          </cell>
          <cell r="K206">
            <v>4.2885055097976256E-4</v>
          </cell>
          <cell r="L206">
            <v>8.2371144435000772E-4</v>
          </cell>
          <cell r="M206">
            <v>1.5604343382217894E-3</v>
          </cell>
          <cell r="N206">
            <v>1.0916423966202435E-3</v>
          </cell>
          <cell r="O206">
            <v>2.345840689346978E-3</v>
          </cell>
        </row>
        <row r="207">
          <cell r="A207" t="str">
            <v>T_B_c-HYBDSL-S3</v>
          </cell>
          <cell r="B207" t="str">
            <v>VAR_fout</v>
          </cell>
          <cell r="C207" t="str">
            <v>CO2_T</v>
          </cell>
          <cell r="E207">
            <v>7.79704510819951E-3</v>
          </cell>
          <cell r="F207">
            <v>1.4169194622993229E-2</v>
          </cell>
        </row>
        <row r="208">
          <cell r="A208" t="str">
            <v>T_B_c-HYBDSL-S3</v>
          </cell>
          <cell r="B208" t="str">
            <v>VAR_fout</v>
          </cell>
          <cell r="C208" t="str">
            <v>TPBSc</v>
          </cell>
          <cell r="E208">
            <v>8.3220775071837301E-6</v>
          </cell>
          <cell r="F208">
            <v>1.5457741024017272E-5</v>
          </cell>
        </row>
        <row r="209">
          <cell r="A209" t="str">
            <v>T_B_c-HYBDSL-S3</v>
          </cell>
          <cell r="B209" t="str">
            <v>VAR_fin</v>
          </cell>
          <cell r="C209" t="str">
            <v>TDSL</v>
          </cell>
          <cell r="E209">
            <v>1.0637169315415436E-4</v>
          </cell>
          <cell r="F209">
            <v>1.9330415583892533E-4</v>
          </cell>
        </row>
        <row r="210">
          <cell r="A210" t="str">
            <v>T_B_c-HYBDSL-S3</v>
          </cell>
          <cell r="B210" t="str">
            <v>VAR_ncap</v>
          </cell>
          <cell r="C210" t="str">
            <v>-</v>
          </cell>
          <cell r="E210">
            <v>2.0682989809548399E-7</v>
          </cell>
          <cell r="F210">
            <v>1.71994268307418E-7</v>
          </cell>
        </row>
        <row r="211">
          <cell r="A211" t="str">
            <v>T_B_c-HYBDSL-S3</v>
          </cell>
          <cell r="B211" t="str">
            <v>VAR_cap</v>
          </cell>
          <cell r="C211" t="str">
            <v>-</v>
          </cell>
          <cell r="E211">
            <v>2.0682989809548399E-7</v>
          </cell>
          <cell r="F211">
            <v>3.7882416640290199E-7</v>
          </cell>
          <cell r="G211">
            <v>1.2082602970779963E-9</v>
          </cell>
        </row>
        <row r="212">
          <cell r="A212" t="str">
            <v>T-Bat-Car-STG_S1</v>
          </cell>
          <cell r="B212" t="str">
            <v>VAR_fout</v>
          </cell>
          <cell r="C212" t="str">
            <v>T-ELC-car-BatSTGAUXout_S1</v>
          </cell>
          <cell r="D212">
            <v>7.6820879722414512E-3</v>
          </cell>
          <cell r="E212">
            <v>1.4499974421841011E-2</v>
          </cell>
          <cell r="F212">
            <v>1.3833073794221216E-2</v>
          </cell>
          <cell r="G212">
            <v>0.58344870981530439</v>
          </cell>
          <cell r="H212">
            <v>1.3801147404360907</v>
          </cell>
          <cell r="I212">
            <v>1.6403766959155746</v>
          </cell>
          <cell r="J212">
            <v>1.9798916739829684</v>
          </cell>
          <cell r="K212">
            <v>2.0001306988882384</v>
          </cell>
          <cell r="L212">
            <v>1.4659327003670621</v>
          </cell>
          <cell r="M212">
            <v>1.5834027522411984</v>
          </cell>
          <cell r="N212">
            <v>1.598729643946982</v>
          </cell>
          <cell r="O212">
            <v>1.640500024355535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T-ELC-car-BatSTGOut_S1</v>
          </cell>
          <cell r="D213">
            <v>7.6820879722414512E-3</v>
          </cell>
          <cell r="E213">
            <v>1.4499974421841007E-2</v>
          </cell>
          <cell r="F213">
            <v>1.3833073794221216E-2</v>
          </cell>
          <cell r="G213">
            <v>0.58344870981530417</v>
          </cell>
          <cell r="H213">
            <v>1.3801147404360903</v>
          </cell>
          <cell r="I213">
            <v>1.6403766959155746</v>
          </cell>
          <cell r="J213">
            <v>1.9798916739829684</v>
          </cell>
          <cell r="K213">
            <v>2.0001306988882379</v>
          </cell>
          <cell r="L213">
            <v>1.4659327003670619</v>
          </cell>
          <cell r="M213">
            <v>1.5834027522411982</v>
          </cell>
          <cell r="N213">
            <v>1.598729643946982</v>
          </cell>
          <cell r="O213">
            <v>1.640500024355535</v>
          </cell>
        </row>
        <row r="214">
          <cell r="A214" t="str">
            <v>T-Bat-Car-STG_S1</v>
          </cell>
          <cell r="B214" t="str">
            <v>VAR_fin</v>
          </cell>
          <cell r="C214" t="str">
            <v>T-ELC-car-BatSTGAUXin_S1</v>
          </cell>
          <cell r="D214">
            <v>7.6834608224020497E-3</v>
          </cell>
          <cell r="E214">
            <v>1.4505633688317752E-2</v>
          </cell>
          <cell r="F214">
            <v>1.3843050527349854E-2</v>
          </cell>
          <cell r="G214">
            <v>0.58351455613242187</v>
          </cell>
          <cell r="H214">
            <v>1.3802610661875698</v>
          </cell>
          <cell r="I214">
            <v>1.6405478628042052</v>
          </cell>
          <cell r="J214">
            <v>1.9801004077954532</v>
          </cell>
          <cell r="K214">
            <v>2.0003429978110354</v>
          </cell>
          <cell r="L214">
            <v>1.4660860366812325</v>
          </cell>
          <cell r="M214">
            <v>1.583571120767427</v>
          </cell>
          <cell r="N214">
            <v>1.5988956396467815</v>
          </cell>
          <cell r="O214">
            <v>1.6406760327013803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T-ELC-car-BatSTGin_S1</v>
          </cell>
          <cell r="D215">
            <v>7.6834608224020497E-3</v>
          </cell>
          <cell r="E215">
            <v>1.4505633688317752E-2</v>
          </cell>
          <cell r="F215">
            <v>1.3843050527349854E-2</v>
          </cell>
          <cell r="G215">
            <v>0.58351455613242187</v>
          </cell>
          <cell r="H215">
            <v>1.3802610661875698</v>
          </cell>
          <cell r="I215">
            <v>1.6405478628042052</v>
          </cell>
          <cell r="J215">
            <v>1.9801004077954532</v>
          </cell>
          <cell r="K215">
            <v>2.0003429978110354</v>
          </cell>
          <cell r="L215">
            <v>1.4660860366812325</v>
          </cell>
          <cell r="M215">
            <v>1.583571120767427</v>
          </cell>
          <cell r="N215">
            <v>1.5988956396467815</v>
          </cell>
          <cell r="O215">
            <v>1.6406760327013803</v>
          </cell>
        </row>
        <row r="216">
          <cell r="A216" t="str">
            <v>T-Bat-Car-STG_S1</v>
          </cell>
          <cell r="B216" t="str">
            <v>VAR_ncap</v>
          </cell>
          <cell r="C216" t="str">
            <v>-</v>
          </cell>
          <cell r="D216">
            <v>4.2695485403338104E-3</v>
          </cell>
          <cell r="E216">
            <v>4.9831558054328803E-2</v>
          </cell>
          <cell r="F216">
            <v>8.65678700729543E-2</v>
          </cell>
          <cell r="G216">
            <v>11.4358648691707</v>
          </cell>
          <cell r="H216">
            <v>12.876525538036001</v>
          </cell>
          <cell r="I216">
            <v>9.8255772743140906</v>
          </cell>
          <cell r="J216">
            <v>10.823598080665301</v>
          </cell>
          <cell r="K216">
            <v>11.2229167180909</v>
          </cell>
          <cell r="L216">
            <v>9.1307794451420303</v>
          </cell>
          <cell r="M216">
            <v>9.0746952921555497</v>
          </cell>
          <cell r="N216">
            <v>8.8206459384768205</v>
          </cell>
          <cell r="O216">
            <v>7.1481467617671202</v>
          </cell>
        </row>
        <row r="217">
          <cell r="A217" t="str">
            <v>T-Bat-Car-STG_S1</v>
          </cell>
          <cell r="B217" t="str">
            <v>VAR_cap</v>
          </cell>
          <cell r="C217" t="str">
            <v>-</v>
          </cell>
          <cell r="D217">
            <v>4.2695485403338104E-3</v>
          </cell>
          <cell r="E217">
            <v>5.3313205886065321E-2</v>
          </cell>
          <cell r="F217">
            <v>0.1356026923643591</v>
          </cell>
          <cell r="G217">
            <v>10.957982215603387</v>
          </cell>
          <cell r="H217">
            <v>21.500113566712979</v>
          </cell>
          <cell r="I217">
            <v>25.912194381007751</v>
          </cell>
          <cell r="J217">
            <v>26.314597530369205</v>
          </cell>
          <cell r="K217">
            <v>25.901846194769359</v>
          </cell>
          <cell r="L217">
            <v>25.358202687160382</v>
          </cell>
          <cell r="M217">
            <v>25.120757021466311</v>
          </cell>
          <cell r="N217">
            <v>25.044363591639993</v>
          </cell>
          <cell r="O217">
            <v>25.043406899875883</v>
          </cell>
        </row>
        <row r="218">
          <cell r="A218" t="str">
            <v>T_B_c-HYBDSL-S4</v>
          </cell>
          <cell r="B218" t="str">
            <v>VAR_fout</v>
          </cell>
          <cell r="C218" t="str">
            <v>CO2_T</v>
          </cell>
          <cell r="E218">
            <v>1.8679314448056699E-3</v>
          </cell>
          <cell r="F218">
            <v>3.4574218939324801E-3</v>
          </cell>
        </row>
        <row r="219">
          <cell r="A219" t="str">
            <v>T_B_c-HYBDSL-S4</v>
          </cell>
          <cell r="B219" t="str">
            <v>VAR_fout</v>
          </cell>
          <cell r="C219" t="str">
            <v>TPBSc</v>
          </cell>
          <cell r="E219">
            <v>1.3442847642313899E-6</v>
          </cell>
          <cell r="F219">
            <v>2.5442295637353837E-6</v>
          </cell>
        </row>
        <row r="220">
          <cell r="A220" t="str">
            <v>T_B_c-HYBDSL-S4</v>
          </cell>
          <cell r="B220" t="str">
            <v>VAR_fin</v>
          </cell>
          <cell r="C220" t="str">
            <v>TDSL</v>
          </cell>
          <cell r="E220">
            <v>2.5483375781796271E-5</v>
          </cell>
          <cell r="F220">
            <v>4.7168102236459566E-5</v>
          </cell>
        </row>
        <row r="221">
          <cell r="A221" t="str">
            <v>T_B_c-HYBDSL-S4</v>
          </cell>
          <cell r="B221" t="str">
            <v>VAR_ncap</v>
          </cell>
          <cell r="C221" t="str">
            <v>-</v>
          </cell>
          <cell r="E221">
            <v>5.4621987312224798E-8</v>
          </cell>
          <cell r="F221">
            <v>4.5492358472761199E-8</v>
          </cell>
        </row>
        <row r="222">
          <cell r="A222" t="str">
            <v>T_B_c-HYBDSL-S4</v>
          </cell>
          <cell r="B222" t="str">
            <v>VAR_cap</v>
          </cell>
          <cell r="C222" t="str">
            <v>-</v>
          </cell>
          <cell r="E222">
            <v>5.4621987312224798E-8</v>
          </cell>
          <cell r="F222">
            <v>1.00114345784986E-7</v>
          </cell>
          <cell r="G222">
            <v>4.0000568017062033E-9</v>
          </cell>
        </row>
        <row r="223">
          <cell r="A223" t="str">
            <v>TFHGV-ICEDSLExt</v>
          </cell>
          <cell r="B223" t="str">
            <v>VAR_fout</v>
          </cell>
          <cell r="C223" t="str">
            <v>CO2_T</v>
          </cell>
          <cell r="D223">
            <v>1410.0553541462</v>
          </cell>
          <cell r="E223">
            <v>865.25504047953996</v>
          </cell>
          <cell r="F223">
            <v>842.01924234196497</v>
          </cell>
          <cell r="G223">
            <v>362.56161935386399</v>
          </cell>
        </row>
        <row r="224">
          <cell r="A224" t="str">
            <v>TFHGV-ICEDSLExt</v>
          </cell>
          <cell r="B224" t="str">
            <v>VAR_fout</v>
          </cell>
          <cell r="C224" t="str">
            <v>TFHGV</v>
          </cell>
          <cell r="D224">
            <v>1.5765238705871154</v>
          </cell>
          <cell r="E224">
            <v>0.99151629763139226</v>
          </cell>
          <cell r="F224">
            <v>1.0000849064254644</v>
          </cell>
          <cell r="G224">
            <v>0.43062246672234017</v>
          </cell>
        </row>
        <row r="225">
          <cell r="A225" t="str">
            <v>TFHGV-ICEDSLExt</v>
          </cell>
          <cell r="B225" t="str">
            <v>VAR_fin</v>
          </cell>
          <cell r="C225" t="str">
            <v>TDSL</v>
          </cell>
          <cell r="D225">
            <v>19.236771543604398</v>
          </cell>
          <cell r="E225">
            <v>11.804297960157431</v>
          </cell>
          <cell r="F225">
            <v>11.487302078335135</v>
          </cell>
          <cell r="G225">
            <v>4.9462703868194193</v>
          </cell>
        </row>
        <row r="226">
          <cell r="A226" t="str">
            <v>TFHGV-ICEDSLExt</v>
          </cell>
          <cell r="B226" t="str">
            <v>VAR_cap</v>
          </cell>
          <cell r="C226" t="str">
            <v>-</v>
          </cell>
          <cell r="D226">
            <v>2.9661983219314396E-2</v>
          </cell>
          <cell r="E226">
            <v>1.9774657415899972E-2</v>
          </cell>
          <cell r="F226">
            <v>1.9774666666666701E-2</v>
          </cell>
          <cell r="G226">
            <v>9.8873333333333296E-3</v>
          </cell>
        </row>
        <row r="227">
          <cell r="A227" t="str">
            <v>TPSHPGSLEXT</v>
          </cell>
          <cell r="B227" t="str">
            <v>VAR_fout</v>
          </cell>
          <cell r="C227" t="str">
            <v>TPSHP</v>
          </cell>
          <cell r="D227">
            <v>1.5951113482171899</v>
          </cell>
          <cell r="E227">
            <v>0.72180299038741103</v>
          </cell>
          <cell r="F227">
            <v>1.4471062525085701</v>
          </cell>
          <cell r="G227">
            <v>1.9057869183821701</v>
          </cell>
          <cell r="H227">
            <v>1.9058048515191299</v>
          </cell>
          <cell r="I227">
            <v>0.97250980136640697</v>
          </cell>
          <cell r="J227">
            <v>4.6521513914214302E-3</v>
          </cell>
        </row>
        <row r="228">
          <cell r="A228" t="str">
            <v>TPSHPGSLEXT</v>
          </cell>
          <cell r="B228" t="str">
            <v>VAR_fout</v>
          </cell>
          <cell r="C228" t="str">
            <v>CO2_T</v>
          </cell>
          <cell r="D228">
            <v>129.873812963153</v>
          </cell>
          <cell r="E228">
            <v>58.769130239461397</v>
          </cell>
          <cell r="F228">
            <v>117.82325226772601</v>
          </cell>
          <cell r="G228">
            <v>155.16898808489199</v>
          </cell>
          <cell r="H228">
            <v>155.170448199183</v>
          </cell>
          <cell r="I228">
            <v>79.181654740692096</v>
          </cell>
          <cell r="J228">
            <v>0.37877772003881</v>
          </cell>
        </row>
        <row r="229">
          <cell r="A229" t="str">
            <v>TPSHPGSLEXT</v>
          </cell>
          <cell r="B229" t="str">
            <v>VAR_fin</v>
          </cell>
          <cell r="C229" t="str">
            <v>TGSL</v>
          </cell>
          <cell r="D229">
            <v>1.759807763728358</v>
          </cell>
          <cell r="E229">
            <v>0.79632967804148302</v>
          </cell>
          <cell r="F229">
            <v>1.5965210334380247</v>
          </cell>
          <cell r="G229">
            <v>2.1025608141584242</v>
          </cell>
          <cell r="H229">
            <v>2.102580598904912</v>
          </cell>
          <cell r="I229">
            <v>1.0729221509578877</v>
          </cell>
          <cell r="J229">
            <v>5.1324894314201813E-3</v>
          </cell>
        </row>
        <row r="230">
          <cell r="A230" t="str">
            <v>TPSHPGSLEXT</v>
          </cell>
          <cell r="B230" t="str">
            <v>VAR_ncap</v>
          </cell>
          <cell r="C230" t="str">
            <v>-</v>
          </cell>
          <cell r="D230">
            <v>7.3357945260928102E-7</v>
          </cell>
          <cell r="E230">
            <v>3.9044335395316699E-6</v>
          </cell>
          <cell r="F230">
            <v>6.3603073127951303E-6</v>
          </cell>
          <cell r="G230">
            <v>0.310681165666501</v>
          </cell>
          <cell r="H230">
            <v>2.2666964380029399E-5</v>
          </cell>
          <cell r="I230">
            <v>1.04245372224286E-5</v>
          </cell>
          <cell r="J230">
            <v>4.4262292442698103E-6</v>
          </cell>
          <cell r="K230">
            <v>3.7211097550542302E-6</v>
          </cell>
          <cell r="L230">
            <v>3.6637175219407399E-6</v>
          </cell>
          <cell r="M230">
            <v>4.1802118090595703E-6</v>
          </cell>
          <cell r="N230">
            <v>2.3586292177574801E-6</v>
          </cell>
          <cell r="O230">
            <v>8.3538797215248201E-6</v>
          </cell>
        </row>
        <row r="231">
          <cell r="A231" t="str">
            <v>TPSHPGSLEXT</v>
          </cell>
          <cell r="B231" t="str">
            <v>VAR_cap</v>
          </cell>
          <cell r="C231" t="str">
            <v>-</v>
          </cell>
          <cell r="D231">
            <v>1.5951120817966424</v>
          </cell>
          <cell r="E231">
            <v>1.5951052155508749</v>
          </cell>
          <cell r="F231">
            <v>1.595108853023822</v>
          </cell>
          <cell r="G231">
            <v>1.9057878449332151</v>
          </cell>
          <cell r="H231">
            <v>1.9058049784076614</v>
          </cell>
          <cell r="I231">
            <v>0.9724704272656306</v>
          </cell>
          <cell r="J231">
            <v>4.6282213357950186E-3</v>
          </cell>
          <cell r="K231">
            <v>1.2042144021316904E-5</v>
          </cell>
          <cell r="L231">
            <v>8.8643285712811975E-6</v>
          </cell>
          <cell r="M231">
            <v>8.9699889760993497E-6</v>
          </cell>
          <cell r="N231">
            <v>6.8830886877157195E-6</v>
          </cell>
          <cell r="O231">
            <v>1.3608169768036101E-5</v>
          </cell>
        </row>
        <row r="232">
          <cell r="A232" t="str">
            <v>T-Bat-Car-STG_S2</v>
          </cell>
          <cell r="B232" t="str">
            <v>VAR_fout</v>
          </cell>
          <cell r="C232" t="str">
            <v>T-ELC-car-BatSTGAUXout_S2</v>
          </cell>
          <cell r="D232">
            <v>6.620676226634499E-2</v>
          </cell>
          <cell r="E232">
            <v>0.10321074230219643</v>
          </cell>
          <cell r="F232">
            <v>1.0404568688041453</v>
          </cell>
          <cell r="G232">
            <v>5.841014202811289</v>
          </cell>
          <cell r="H232">
            <v>11.189669488024707</v>
          </cell>
          <cell r="I232">
            <v>11.917590841119635</v>
          </cell>
          <cell r="J232">
            <v>11.498704888047303</v>
          </cell>
          <cell r="K232">
            <v>10.634091078221413</v>
          </cell>
          <cell r="L232">
            <v>10.092952404493717</v>
          </cell>
          <cell r="M232">
            <v>9.6792737782231786</v>
          </cell>
          <cell r="N232">
            <v>9.3584022464458183</v>
          </cell>
          <cell r="O232">
            <v>9.2619363485196011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T-ELC-car-BatSTGOut_S2</v>
          </cell>
          <cell r="D233">
            <v>6.620676226634499E-2</v>
          </cell>
          <cell r="E233">
            <v>0.10321074230219643</v>
          </cell>
          <cell r="F233">
            <v>1.0404568688041453</v>
          </cell>
          <cell r="G233">
            <v>5.841014202811289</v>
          </cell>
          <cell r="H233">
            <v>11.189669488024704</v>
          </cell>
          <cell r="I233">
            <v>11.917590841119633</v>
          </cell>
          <cell r="J233">
            <v>11.498704888047302</v>
          </cell>
          <cell r="K233">
            <v>10.634091078221411</v>
          </cell>
          <cell r="L233">
            <v>10.092952404493717</v>
          </cell>
          <cell r="M233">
            <v>9.6792737782231715</v>
          </cell>
          <cell r="N233">
            <v>9.3584022464458183</v>
          </cell>
          <cell r="O233">
            <v>9.2619363485195993</v>
          </cell>
        </row>
        <row r="234">
          <cell r="A234" t="str">
            <v>T-Bat-Car-STG_S2</v>
          </cell>
          <cell r="B234" t="str">
            <v>VAR_fin</v>
          </cell>
          <cell r="C234" t="str">
            <v>T-ELC-car-BatSTGAUXin_S2</v>
          </cell>
          <cell r="D234">
            <v>6.6213912461882435E-2</v>
          </cell>
          <cell r="E234">
            <v>0.10322517374386433</v>
          </cell>
          <cell r="F234">
            <v>1.0405686004539105</v>
          </cell>
          <cell r="G234">
            <v>5.8416036727882839</v>
          </cell>
          <cell r="H234">
            <v>11.190797047294058</v>
          </cell>
          <cell r="I234">
            <v>11.918788755885098</v>
          </cell>
          <cell r="J234">
            <v>11.499865250743506</v>
          </cell>
          <cell r="K234">
            <v>10.635165464470525</v>
          </cell>
          <cell r="L234">
            <v>10.093968632177958</v>
          </cell>
          <cell r="M234">
            <v>9.6802525501845214</v>
          </cell>
          <cell r="N234">
            <v>9.3593445437932719</v>
          </cell>
          <cell r="O234">
            <v>9.2628745579261107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T-ELC-car-BatSTGin_S2</v>
          </cell>
          <cell r="D235">
            <v>6.6213912461882435E-2</v>
          </cell>
          <cell r="E235">
            <v>0.10322517374386433</v>
          </cell>
          <cell r="F235">
            <v>1.0405686004539105</v>
          </cell>
          <cell r="G235">
            <v>5.8416036727882839</v>
          </cell>
          <cell r="H235">
            <v>11.190797047294058</v>
          </cell>
          <cell r="I235">
            <v>11.918788755885098</v>
          </cell>
          <cell r="J235">
            <v>11.499865250743506</v>
          </cell>
          <cell r="K235">
            <v>10.635165464470525</v>
          </cell>
          <cell r="L235">
            <v>10.093968632177958</v>
          </cell>
          <cell r="M235">
            <v>9.6802525501845214</v>
          </cell>
          <cell r="N235">
            <v>9.3593445437932719</v>
          </cell>
          <cell r="O235">
            <v>9.2628745579261107</v>
          </cell>
        </row>
        <row r="236">
          <cell r="A236" t="str">
            <v>T-Bat-Car-STG_S2</v>
          </cell>
          <cell r="B236" t="str">
            <v>VAR_ncap</v>
          </cell>
          <cell r="C236" t="str">
            <v>-</v>
          </cell>
          <cell r="D236">
            <v>1.0750415336307001E-2</v>
          </cell>
          <cell r="E236">
            <v>2.85075403080986E-2</v>
          </cell>
          <cell r="F236">
            <v>14.8141927544249</v>
          </cell>
          <cell r="G236">
            <v>77.874656582155893</v>
          </cell>
          <cell r="H236">
            <v>169.54358104187801</v>
          </cell>
          <cell r="I236">
            <v>70.795431132498507</v>
          </cell>
          <cell r="J236">
            <v>88.042089786842993</v>
          </cell>
          <cell r="K236">
            <v>120.579205812026</v>
          </cell>
          <cell r="L236">
            <v>73.614847308795007</v>
          </cell>
          <cell r="M236">
            <v>79.963520574476306</v>
          </cell>
          <cell r="N236">
            <v>87.200513244250502</v>
          </cell>
          <cell r="O236">
            <v>60.247904316611802</v>
          </cell>
        </row>
        <row r="237">
          <cell r="A237" t="str">
            <v>T-Bat-Car-STG_S2</v>
          </cell>
          <cell r="B237" t="str">
            <v>VAR_cap</v>
          </cell>
          <cell r="C237" t="str">
            <v>-</v>
          </cell>
          <cell r="D237">
            <v>1.0750415336307001E-2</v>
          </cell>
          <cell r="E237">
            <v>3.8567523982136941E-2</v>
          </cell>
          <cell r="F237">
            <v>14.653185586407039</v>
          </cell>
          <cell r="G237">
            <v>86.708157524562992</v>
          </cell>
          <cell r="H237">
            <v>235.18422254359297</v>
          </cell>
          <cell r="I237">
            <v>248.59726015603184</v>
          </cell>
          <cell r="J237">
            <v>242.64684447072278</v>
          </cell>
          <cell r="K237">
            <v>234.12897287754367</v>
          </cell>
          <cell r="L237">
            <v>230.09169950579169</v>
          </cell>
          <cell r="M237">
            <v>227.6564144889858</v>
          </cell>
          <cell r="N237">
            <v>227.02878965138379</v>
          </cell>
          <cell r="O237">
            <v>227.4118552668449</v>
          </cell>
        </row>
        <row r="238">
          <cell r="A238" t="str">
            <v>T_TW-ICEGSL-S1</v>
          </cell>
          <cell r="B238" t="str">
            <v>VAR_fout</v>
          </cell>
          <cell r="C238" t="str">
            <v>CO2_T</v>
          </cell>
          <cell r="D238">
            <v>3.2649110226074969</v>
          </cell>
          <cell r="E238">
            <v>36.573000721611486</v>
          </cell>
          <cell r="F238">
            <v>36.984986665743435</v>
          </cell>
          <cell r="G238">
            <v>45.815502893666704</v>
          </cell>
          <cell r="H238">
            <v>62.475773097437745</v>
          </cell>
          <cell r="I238">
            <v>65.881392245656841</v>
          </cell>
          <cell r="J238">
            <v>65.775766735589102</v>
          </cell>
          <cell r="K238">
            <v>27.676972997187313</v>
          </cell>
          <cell r="L238">
            <v>10.554110011284015</v>
          </cell>
          <cell r="M238">
            <v>0.33667247035613967</v>
          </cell>
          <cell r="N238">
            <v>0.35647152083203298</v>
          </cell>
          <cell r="O238">
            <v>0.52478680095538799</v>
          </cell>
        </row>
        <row r="239">
          <cell r="A239" t="str">
            <v>T_TW-ICEGSL-S1</v>
          </cell>
          <cell r="B239" t="str">
            <v>VAR_fout</v>
          </cell>
          <cell r="C239" t="str">
            <v>TPTWL</v>
          </cell>
          <cell r="D239">
            <v>8.4404746674475686E-2</v>
          </cell>
          <cell r="E239">
            <v>0.95350318572853032</v>
          </cell>
          <cell r="F239">
            <v>0.9644079413462272</v>
          </cell>
          <cell r="G239">
            <v>1.2122458154677289</v>
          </cell>
          <cell r="H239">
            <v>1.7226510213934656</v>
          </cell>
          <cell r="I239">
            <v>1.835939517248055</v>
          </cell>
          <cell r="J239">
            <v>1.8726120612904</v>
          </cell>
          <cell r="K239">
            <v>0.79982773449450373</v>
          </cell>
          <cell r="L239">
            <v>0.30625667372845644</v>
          </cell>
          <cell r="M239">
            <v>9.9828338029456041E-3</v>
          </cell>
          <cell r="N239">
            <v>1.0569904762884486E-2</v>
          </cell>
          <cell r="O239">
            <v>1.5560700316171837E-2</v>
          </cell>
        </row>
        <row r="240">
          <cell r="A240" t="str">
            <v>T_TW-ICEGSL-S1</v>
          </cell>
          <cell r="B240" t="str">
            <v>VAR_fin</v>
          </cell>
          <cell r="C240" t="str">
            <v>TGSL</v>
          </cell>
          <cell r="D240">
            <v>4.4239986756199189E-2</v>
          </cell>
          <cell r="E240">
            <v>0.49556911546899007</v>
          </cell>
          <cell r="F240">
            <v>0.5011515808366318</v>
          </cell>
          <cell r="G240">
            <v>0.6208062722719071</v>
          </cell>
          <cell r="H240">
            <v>0.84655519102219168</v>
          </cell>
          <cell r="I240">
            <v>0.89270179194657018</v>
          </cell>
          <cell r="J240">
            <v>0.89127055197275362</v>
          </cell>
          <cell r="K240">
            <v>0.37502673437923251</v>
          </cell>
          <cell r="L240">
            <v>0.14300962074910639</v>
          </cell>
          <cell r="M240">
            <v>4.5619575929016238E-3</v>
          </cell>
          <cell r="N240">
            <v>4.8302374096481438E-3</v>
          </cell>
          <cell r="O240">
            <v>7.1109322622681286E-3</v>
          </cell>
        </row>
        <row r="241">
          <cell r="A241" t="str">
            <v>T_TW-ICEGSL-S1</v>
          </cell>
          <cell r="B241" t="str">
            <v>VAR_ncap</v>
          </cell>
          <cell r="C241" t="str">
            <v>-</v>
          </cell>
          <cell r="E241">
            <v>0.29521462701111101</v>
          </cell>
          <cell r="F241">
            <v>3.8347728198310101E-3</v>
          </cell>
          <cell r="G241">
            <v>0.16311414105354599</v>
          </cell>
          <cell r="H241">
            <v>0.51879795708358101</v>
          </cell>
          <cell r="I241">
            <v>0.18398502071678799</v>
          </cell>
          <cell r="J241">
            <v>0.32111488369813201</v>
          </cell>
          <cell r="K241">
            <v>1.15509260357654E-3</v>
          </cell>
          <cell r="L241">
            <v>1.84356140332551E-3</v>
          </cell>
          <cell r="M241">
            <v>2.1408478571995101E-3</v>
          </cell>
          <cell r="N241">
            <v>2.44035658266324E-3</v>
          </cell>
          <cell r="O241">
            <v>3.2303625904390198E-3</v>
          </cell>
        </row>
        <row r="242">
          <cell r="A242" t="str">
            <v>T_TW-ICEGSL-S1</v>
          </cell>
          <cell r="B242" t="str">
            <v>VAR_cap</v>
          </cell>
          <cell r="C242" t="str">
            <v>-</v>
          </cell>
          <cell r="D242">
            <v>2.912175755997121E-2</v>
          </cell>
          <cell r="E242">
            <v>0.32818728077553805</v>
          </cell>
          <cell r="F242">
            <v>0.33202169623206423</v>
          </cell>
          <cell r="G242">
            <v>0.44089677372519392</v>
          </cell>
          <cell r="H242">
            <v>0.68387658678497487</v>
          </cell>
          <cell r="I242">
            <v>0.73703617856893588</v>
          </cell>
          <cell r="J242">
            <v>0.77410208999984209</v>
          </cell>
          <cell r="K242">
            <v>0.38511817845246116</v>
          </cell>
          <cell r="L242">
            <v>0.14743924398562386</v>
          </cell>
          <cell r="M242">
            <v>4.5755611307488099E-3</v>
          </cell>
          <cell r="N242">
            <v>4.9073864600534351E-3</v>
          </cell>
          <cell r="O242">
            <v>7.1138375473500113E-3</v>
          </cell>
        </row>
        <row r="243">
          <cell r="A243" t="str">
            <v>TPSHPDSLEXT</v>
          </cell>
          <cell r="B243" t="str">
            <v>VAR_fout</v>
          </cell>
          <cell r="C243" t="str">
            <v>TPSHP</v>
          </cell>
          <cell r="D243">
            <v>17.176521919007701</v>
          </cell>
          <cell r="E243">
            <v>17.176530171314202</v>
          </cell>
          <cell r="F243">
            <v>15.577854682409001</v>
          </cell>
          <cell r="G243">
            <v>14.245721200297201</v>
          </cell>
          <cell r="H243">
            <v>13.712712680619401</v>
          </cell>
          <cell r="I243">
            <v>10.494879783781199</v>
          </cell>
          <cell r="J243">
            <v>4.8058684584823101</v>
          </cell>
          <cell r="K243">
            <v>2.0189582063184401</v>
          </cell>
          <cell r="L243">
            <v>2.01895548534945</v>
          </cell>
          <cell r="M243">
            <v>2.0189580367111999</v>
          </cell>
          <cell r="N243">
            <v>2.0189555785145701</v>
          </cell>
          <cell r="O243">
            <v>2.0189564741818802</v>
          </cell>
        </row>
        <row r="244">
          <cell r="A244" t="str">
            <v>TPSHPDSLEXT</v>
          </cell>
          <cell r="B244" t="str">
            <v>VAR_fout</v>
          </cell>
          <cell r="C244" t="str">
            <v>CO2_T</v>
          </cell>
          <cell r="D244">
            <v>1273.9831592043399</v>
          </cell>
          <cell r="E244">
            <v>1273.98377127817</v>
          </cell>
          <cell r="F244">
            <v>1155.4099610794799</v>
          </cell>
          <cell r="G244">
            <v>1056.60557972539</v>
          </cell>
          <cell r="H244">
            <v>1017.07232142176</v>
          </cell>
          <cell r="I244">
            <v>778.40555645992197</v>
          </cell>
          <cell r="J244">
            <v>356.45141142820398</v>
          </cell>
          <cell r="K244">
            <v>149.74619228010101</v>
          </cell>
          <cell r="L244">
            <v>149.74599046574801</v>
          </cell>
          <cell r="M244">
            <v>149.74617970032699</v>
          </cell>
          <cell r="N244">
            <v>149.74599737580601</v>
          </cell>
          <cell r="O244">
            <v>149.74606380747801</v>
          </cell>
        </row>
        <row r="245">
          <cell r="A245" t="str">
            <v>TPSHPDSLEXT</v>
          </cell>
          <cell r="B245" t="str">
            <v>VAR_fin</v>
          </cell>
          <cell r="C245" t="str">
            <v>TDSL</v>
          </cell>
          <cell r="D245">
            <v>17.38039780633471</v>
          </cell>
          <cell r="E245">
            <v>17.380406156591604</v>
          </cell>
          <cell r="F245">
            <v>15.762755267114379</v>
          </cell>
          <cell r="G245">
            <v>14.414810091751573</v>
          </cell>
          <cell r="H245">
            <v>13.875475053502866</v>
          </cell>
          <cell r="I245">
            <v>10.619448246383676</v>
          </cell>
          <cell r="J245">
            <v>4.8629114792388171</v>
          </cell>
          <cell r="K245">
            <v>2.0429221320614008</v>
          </cell>
          <cell r="L245">
            <v>2.04291937879601</v>
          </cell>
          <cell r="M245">
            <v>2.0429219604410096</v>
          </cell>
          <cell r="N245">
            <v>2.0429194730669384</v>
          </cell>
          <cell r="O245">
            <v>2.0429203793653348</v>
          </cell>
        </row>
        <row r="246">
          <cell r="A246" t="str">
            <v>TPSHPDSLEXT</v>
          </cell>
          <cell r="B246" t="str">
            <v>VAR_ncap</v>
          </cell>
          <cell r="C246" t="str">
            <v>-</v>
          </cell>
          <cell r="D246">
            <v>1.1359110910839E-6</v>
          </cell>
          <cell r="E246">
            <v>9.8042103226821504E-6</v>
          </cell>
          <cell r="F246">
            <v>4.2413127133748098E-6</v>
          </cell>
          <cell r="G246">
            <v>5.76415626243622E-6</v>
          </cell>
          <cell r="H246">
            <v>7.1137434224332797E-6</v>
          </cell>
          <cell r="I246">
            <v>4.8058472341023304</v>
          </cell>
          <cell r="J246">
            <v>7.6637141887557095E-6</v>
          </cell>
          <cell r="K246">
            <v>6.9146958118342802E-6</v>
          </cell>
          <cell r="L246">
            <v>7.3115662669045201E-5</v>
          </cell>
          <cell r="M246">
            <v>2.0188373032115701</v>
          </cell>
          <cell r="N246">
            <v>3.4045195511445301E-5</v>
          </cell>
          <cell r="O246">
            <v>1.5028602719785299E-5</v>
          </cell>
        </row>
        <row r="247">
          <cell r="A247" t="str">
            <v>TPSHPDSLEXT</v>
          </cell>
          <cell r="B247" t="str">
            <v>VAR_cap</v>
          </cell>
          <cell r="C247" t="str">
            <v>-</v>
          </cell>
          <cell r="D247">
            <v>17.176523054918793</v>
          </cell>
          <cell r="E247">
            <v>17.176531010303446</v>
          </cell>
          <cell r="F247">
            <v>15.577856870638778</v>
          </cell>
          <cell r="G247">
            <v>14.2457219559025</v>
          </cell>
          <cell r="H247">
            <v>13.712720236608412</v>
          </cell>
          <cell r="I247">
            <v>10.49487409027209</v>
          </cell>
          <cell r="J247">
            <v>4.8058527666040218</v>
          </cell>
          <cell r="K247">
            <v>2.3272195581663402</v>
          </cell>
          <cell r="L247">
            <v>2.0189463941679602</v>
          </cell>
          <cell r="M247">
            <v>2.018913797380486</v>
          </cell>
          <cell r="N247">
            <v>2.018937685015433</v>
          </cell>
          <cell r="O247">
            <v>2.0189259545961016</v>
          </cell>
        </row>
        <row r="248">
          <cell r="A248" t="str">
            <v>T-Bat-Car-STG_S3</v>
          </cell>
          <cell r="B248" t="str">
            <v>VAR_fout</v>
          </cell>
          <cell r="C248" t="str">
            <v>T-ELC-car-BatSTGAUXout_S3</v>
          </cell>
          <cell r="D248">
            <v>4.5980760671096819E-2</v>
          </cell>
          <cell r="E248">
            <v>9.5120627928133611E-2</v>
          </cell>
          <cell r="F248">
            <v>0.10688191079951576</v>
          </cell>
          <cell r="G248">
            <v>0.122506968274183</v>
          </cell>
          <cell r="H248">
            <v>0.9183332666946098</v>
          </cell>
          <cell r="I248">
            <v>4.2203148329109643</v>
          </cell>
          <cell r="J248">
            <v>3.9095592638709187</v>
          </cell>
          <cell r="K248">
            <v>8.0442458087915725</v>
          </cell>
          <cell r="L248">
            <v>8.5061572207815903</v>
          </cell>
          <cell r="M248">
            <v>9.9052816622471731</v>
          </cell>
          <cell r="N248">
            <v>13.315555337049826</v>
          </cell>
          <cell r="O248">
            <v>11.014758173202697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T-ELC-car-BatSTGOut_S3</v>
          </cell>
          <cell r="D249">
            <v>4.5980760671096813E-2</v>
          </cell>
          <cell r="E249">
            <v>9.5120627928133583E-2</v>
          </cell>
          <cell r="F249">
            <v>0.10688191079951574</v>
          </cell>
          <cell r="G249">
            <v>0.122506968274183</v>
          </cell>
          <cell r="H249">
            <v>0.91833326669460968</v>
          </cell>
          <cell r="I249">
            <v>4.2203148329109625</v>
          </cell>
          <cell r="J249">
            <v>3.9095592638709187</v>
          </cell>
          <cell r="K249">
            <v>8.0442458087915707</v>
          </cell>
          <cell r="L249">
            <v>8.5061572207815885</v>
          </cell>
          <cell r="M249">
            <v>9.9052816622471713</v>
          </cell>
          <cell r="N249">
            <v>13.315555337049823</v>
          </cell>
          <cell r="O249">
            <v>11.014758173202697</v>
          </cell>
        </row>
        <row r="250">
          <cell r="A250" t="str">
            <v>T-Bat-Car-STG_S3</v>
          </cell>
          <cell r="B250" t="str">
            <v>VAR_fin</v>
          </cell>
          <cell r="C250" t="str">
            <v>T-ELC-car-BatSTGAUXin_S3</v>
          </cell>
          <cell r="D250">
            <v>4.5985772192570336E-2</v>
          </cell>
          <cell r="E250">
            <v>9.5134250277404894E-2</v>
          </cell>
          <cell r="F250">
            <v>0.10690025107897153</v>
          </cell>
          <cell r="G250">
            <v>0.12252454008400394</v>
          </cell>
          <cell r="H250">
            <v>0.91843244286570314</v>
          </cell>
          <cell r="I250">
            <v>4.2207428905409223</v>
          </cell>
          <cell r="J250">
            <v>3.9099606490844638</v>
          </cell>
          <cell r="K250">
            <v>8.0450603990366183</v>
          </cell>
          <cell r="L250">
            <v>8.5070147365618496</v>
          </cell>
          <cell r="M250">
            <v>9.9062830298356346</v>
          </cell>
          <cell r="N250">
            <v>13.316893408895961</v>
          </cell>
          <cell r="O250">
            <v>11.01587166763098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T-ELC-car-BatSTGin_S3</v>
          </cell>
          <cell r="D251">
            <v>4.5985772192570336E-2</v>
          </cell>
          <cell r="E251">
            <v>9.5134250277404894E-2</v>
          </cell>
          <cell r="F251">
            <v>0.10690025107897153</v>
          </cell>
          <cell r="G251">
            <v>0.12252454008400394</v>
          </cell>
          <cell r="H251">
            <v>0.91843244286570314</v>
          </cell>
          <cell r="I251">
            <v>4.2207428905409223</v>
          </cell>
          <cell r="J251">
            <v>3.9099606490844638</v>
          </cell>
          <cell r="K251">
            <v>8.0450603990366183</v>
          </cell>
          <cell r="L251">
            <v>8.5070147365618496</v>
          </cell>
          <cell r="M251">
            <v>9.9062830298356346</v>
          </cell>
          <cell r="N251">
            <v>13.316893408895961</v>
          </cell>
          <cell r="O251">
            <v>11.01587166763098</v>
          </cell>
        </row>
        <row r="252">
          <cell r="A252" t="str">
            <v>T-Bat-Car-STG_S3</v>
          </cell>
          <cell r="B252" t="str">
            <v>VAR_ncap</v>
          </cell>
          <cell r="C252" t="str">
            <v>-</v>
          </cell>
          <cell r="D252">
            <v>9.1366898627289108E-3</v>
          </cell>
          <cell r="E252">
            <v>0.42651520458902897</v>
          </cell>
          <cell r="F252">
            <v>0.23345332520367701</v>
          </cell>
          <cell r="G252">
            <v>3.67236448107481E-2</v>
          </cell>
          <cell r="H252">
            <v>8.9023121250372803</v>
          </cell>
          <cell r="I252">
            <v>54.888157331161501</v>
          </cell>
          <cell r="J252">
            <v>4.2002072020696097</v>
          </cell>
          <cell r="K252">
            <v>86.739100163514607</v>
          </cell>
          <cell r="L252">
            <v>53.3188438291807</v>
          </cell>
          <cell r="M252">
            <v>76.548457027989102</v>
          </cell>
          <cell r="N252">
            <v>193.24300145140401</v>
          </cell>
          <cell r="O252">
            <v>5.14030644343055E-2</v>
          </cell>
        </row>
        <row r="253">
          <cell r="A253" t="str">
            <v>T-Bat-Car-STG_S3</v>
          </cell>
          <cell r="B253" t="str">
            <v>VAR_cap</v>
          </cell>
          <cell r="C253" t="str">
            <v>-</v>
          </cell>
          <cell r="D253">
            <v>9.1366898627289108E-3</v>
          </cell>
          <cell r="E253">
            <v>0.42970798497440066</v>
          </cell>
          <cell r="F253">
            <v>0.63515194880400883</v>
          </cell>
          <cell r="G253">
            <v>0.56171037413295755</v>
          </cell>
          <cell r="H253">
            <v>8.9953561344049895</v>
          </cell>
          <cell r="I253">
            <v>61.005656081055619</v>
          </cell>
          <cell r="J253">
            <v>54.151677213707835</v>
          </cell>
          <cell r="K253">
            <v>121.37564220740477</v>
          </cell>
          <cell r="L253">
            <v>134.69461132924491</v>
          </cell>
          <cell r="M253">
            <v>183.25609411067143</v>
          </cell>
          <cell r="N253">
            <v>313.21893246835509</v>
          </cell>
          <cell r="O253">
            <v>269.8427616525334</v>
          </cell>
        </row>
        <row r="254">
          <cell r="A254" t="str">
            <v>T_TW-ICEGSL-S2</v>
          </cell>
          <cell r="B254" t="str">
            <v>VAR_fout</v>
          </cell>
          <cell r="C254" t="str">
            <v>CO2_T</v>
          </cell>
          <cell r="D254">
            <v>8.2853225760532503</v>
          </cell>
          <cell r="E254">
            <v>12.027429129998453</v>
          </cell>
          <cell r="F254">
            <v>11.373967365104145</v>
          </cell>
          <cell r="G254">
            <v>7.5150495902958729</v>
          </cell>
          <cell r="H254">
            <v>0.74246674579305272</v>
          </cell>
          <cell r="I254">
            <v>3.7158561348415928E-2</v>
          </cell>
          <cell r="J254">
            <v>4.1069617394901795E-2</v>
          </cell>
          <cell r="K254">
            <v>4.1955321268221504E-2</v>
          </cell>
          <cell r="L254">
            <v>4.1214919444246101E-2</v>
          </cell>
          <cell r="M254">
            <v>5.2610895550291498E-2</v>
          </cell>
          <cell r="N254">
            <v>5.0992983839082309E-2</v>
          </cell>
          <cell r="O254">
            <v>7.6245307045039401E-2</v>
          </cell>
        </row>
        <row r="255">
          <cell r="A255" t="str">
            <v>T_TW-ICEGSL-S2</v>
          </cell>
          <cell r="B255" t="str">
            <v>VAR_fout</v>
          </cell>
          <cell r="C255" t="str">
            <v>TPTWL</v>
          </cell>
          <cell r="D255">
            <v>0.12380416061738271</v>
          </cell>
          <cell r="E255">
            <v>0.17997111487215844</v>
          </cell>
          <cell r="F255">
            <v>0.17020268979051531</v>
          </cell>
          <cell r="G255">
            <v>0.11248637413539291</v>
          </cell>
          <cell r="H255">
            <v>1.1169725298766288E-2</v>
          </cell>
          <cell r="I255">
            <v>5.9552551866266985E-4</v>
          </cell>
          <cell r="J255">
            <v>6.7124394487632234E-4</v>
          </cell>
          <cell r="K255">
            <v>7.0030029010184354E-4</v>
          </cell>
          <cell r="L255">
            <v>6.985833823249444E-4</v>
          </cell>
          <cell r="M255">
            <v>8.9650813327193989E-4</v>
          </cell>
          <cell r="N255">
            <v>8.6893834962078499E-4</v>
          </cell>
          <cell r="O255">
            <v>1.2992468038175301E-3</v>
          </cell>
        </row>
        <row r="256">
          <cell r="A256" t="str">
            <v>T_TW-ICEGSL-S2</v>
          </cell>
          <cell r="B256" t="str">
            <v>VAR_fin</v>
          </cell>
          <cell r="C256" t="str">
            <v>TGSL</v>
          </cell>
          <cell r="D256">
            <v>0.11226724357795728</v>
          </cell>
          <cell r="E256">
            <v>0.16297329444442366</v>
          </cell>
          <cell r="F256">
            <v>0.15411879898515077</v>
          </cell>
          <cell r="G256">
            <v>0.1018299402479115</v>
          </cell>
          <cell r="H256">
            <v>1.0060525010745973E-2</v>
          </cell>
          <cell r="I256">
            <v>5.0350354130644876E-4</v>
          </cell>
          <cell r="J256">
            <v>5.5649888068972644E-4</v>
          </cell>
          <cell r="K256">
            <v>5.6850028818728436E-4</v>
          </cell>
          <cell r="L256">
            <v>5.5846774314696659E-4</v>
          </cell>
          <cell r="M256">
            <v>7.1288476355408736E-4</v>
          </cell>
          <cell r="N256">
            <v>6.9096184063797104E-4</v>
          </cell>
          <cell r="O256">
            <v>1.0331342418027003E-3</v>
          </cell>
        </row>
        <row r="257">
          <cell r="A257" t="str">
            <v>T_TW-ICEGSL-S2</v>
          </cell>
          <cell r="B257" t="str">
            <v>VAR_ncap</v>
          </cell>
          <cell r="C257" t="str">
            <v>-</v>
          </cell>
          <cell r="E257">
            <v>6.8921129345166603E-5</v>
          </cell>
          <cell r="F257">
            <v>6.8923533689248601E-5</v>
          </cell>
          <cell r="G257">
            <v>8.0722063581109105E-5</v>
          </cell>
          <cell r="H257">
            <v>9.6940716444687204E-5</v>
          </cell>
          <cell r="I257">
            <v>9.1029136327520099E-5</v>
          </cell>
          <cell r="J257">
            <v>9.9183058081803895E-5</v>
          </cell>
          <cell r="K257">
            <v>1.0201859992258399E-4</v>
          </cell>
          <cell r="L257">
            <v>1.20261943576202E-4</v>
          </cell>
          <cell r="M257">
            <v>1.4917016995202501E-4</v>
          </cell>
          <cell r="N257">
            <v>1.54379808731561E-4</v>
          </cell>
          <cell r="O257">
            <v>2.3415128798441099E-4</v>
          </cell>
        </row>
        <row r="258">
          <cell r="A258" t="str">
            <v>T_TW-ICEGSL-S2</v>
          </cell>
          <cell r="B258" t="str">
            <v>VAR_cap</v>
          </cell>
          <cell r="C258" t="str">
            <v>-</v>
          </cell>
          <cell r="D258">
            <v>4.2720657917119355E-2</v>
          </cell>
          <cell r="E258">
            <v>6.195829315803987E-2</v>
          </cell>
          <cell r="F258">
            <v>6.2027057890262936E-2</v>
          </cell>
          <cell r="G258">
            <v>5.3811939251953253E-2</v>
          </cell>
          <cell r="H258">
            <v>5.2352832168754242E-3</v>
          </cell>
          <cell r="I258">
            <v>2.3745547209958598E-4</v>
          </cell>
          <cell r="J258">
            <v>2.7181777090164898E-4</v>
          </cell>
          <cell r="K258">
            <v>2.9192776739509461E-4</v>
          </cell>
          <cell r="L258">
            <v>2.946707819241517E-4</v>
          </cell>
          <cell r="M258">
            <v>3.7099827502078131E-4</v>
          </cell>
          <cell r="N258">
            <v>3.6571353002416566E-4</v>
          </cell>
          <cell r="O258">
            <v>5.3712313054937949E-4</v>
          </cell>
        </row>
        <row r="259">
          <cell r="A259" t="str">
            <v>T-Bat-Car-STG_S4</v>
          </cell>
          <cell r="B259" t="str">
            <v>VAR_fout</v>
          </cell>
          <cell r="C259" t="str">
            <v>T-ELC-car-BatSTGAUXout_S4</v>
          </cell>
          <cell r="D259">
            <v>0.14994822309261202</v>
          </cell>
          <cell r="E259">
            <v>0.97694721189379419</v>
          </cell>
          <cell r="F259">
            <v>2.5880903596887714</v>
          </cell>
          <cell r="G259">
            <v>9.8507221482048628</v>
          </cell>
          <cell r="H259">
            <v>15.618107191099103</v>
          </cell>
          <cell r="I259">
            <v>16.603910505367875</v>
          </cell>
          <cell r="J259">
            <v>16.26972361720863</v>
          </cell>
          <cell r="K259">
            <v>15.794915632416078</v>
          </cell>
          <cell r="L259">
            <v>14.096172540681465</v>
          </cell>
          <cell r="M259">
            <v>11.898752942653644</v>
          </cell>
          <cell r="N259">
            <v>7.7237973905882242</v>
          </cell>
          <cell r="O259">
            <v>10.20576350528966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T-ELC-car-BatSTGOut_S4</v>
          </cell>
          <cell r="D260">
            <v>0.14994822309261202</v>
          </cell>
          <cell r="E260">
            <v>0.97694721189379397</v>
          </cell>
          <cell r="F260">
            <v>2.5880903596887714</v>
          </cell>
          <cell r="G260">
            <v>9.8507221482048628</v>
          </cell>
          <cell r="H260">
            <v>15.618107191099101</v>
          </cell>
          <cell r="I260">
            <v>16.603910505367871</v>
          </cell>
          <cell r="J260">
            <v>16.269723617208626</v>
          </cell>
          <cell r="K260">
            <v>15.794915632416076</v>
          </cell>
          <cell r="L260">
            <v>14.096172540681465</v>
          </cell>
          <cell r="M260">
            <v>11.898752942653642</v>
          </cell>
          <cell r="N260">
            <v>7.7237973905882225</v>
          </cell>
          <cell r="O260">
            <v>10.205763505289658</v>
          </cell>
        </row>
        <row r="261">
          <cell r="A261" t="str">
            <v>T-Bat-Car-STG_S4</v>
          </cell>
          <cell r="B261" t="str">
            <v>VAR_fin</v>
          </cell>
          <cell r="C261" t="str">
            <v>T-ELC-car-BatSTGAUXin_S4</v>
          </cell>
          <cell r="D261">
            <v>0.14996358880369604</v>
          </cell>
          <cell r="E261">
            <v>0.97704902898735146</v>
          </cell>
          <cell r="F261">
            <v>2.5883568603500455</v>
          </cell>
          <cell r="G261">
            <v>9.8517126584927031</v>
          </cell>
          <cell r="H261">
            <v>15.619676570040898</v>
          </cell>
          <cell r="I261">
            <v>16.605577039276604</v>
          </cell>
          <cell r="J261">
            <v>16.271361150547477</v>
          </cell>
          <cell r="K261">
            <v>15.796505371908971</v>
          </cell>
          <cell r="L261">
            <v>14.09758843024723</v>
          </cell>
          <cell r="M261">
            <v>11.899953632393691</v>
          </cell>
          <cell r="N261">
            <v>7.7245762766067863</v>
          </cell>
          <cell r="O261">
            <v>10.206796096229663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T-ELC-car-BatSTGin_S4</v>
          </cell>
          <cell r="D262">
            <v>0.14996358880369604</v>
          </cell>
          <cell r="E262">
            <v>0.97704902898735146</v>
          </cell>
          <cell r="F262">
            <v>2.5883568603500455</v>
          </cell>
          <cell r="G262">
            <v>9.8517126584927031</v>
          </cell>
          <cell r="H262">
            <v>15.619676570040898</v>
          </cell>
          <cell r="I262">
            <v>16.605577039276604</v>
          </cell>
          <cell r="J262">
            <v>16.271361150547477</v>
          </cell>
          <cell r="K262">
            <v>15.796505371908971</v>
          </cell>
          <cell r="L262">
            <v>14.09758843024723</v>
          </cell>
          <cell r="M262">
            <v>11.899953632393691</v>
          </cell>
          <cell r="N262">
            <v>7.7245762766067863</v>
          </cell>
          <cell r="O262">
            <v>10.206796096229663</v>
          </cell>
        </row>
        <row r="263">
          <cell r="A263" t="str">
            <v>T-Bat-Car-STG_S4</v>
          </cell>
          <cell r="B263" t="str">
            <v>VAR_ncap</v>
          </cell>
          <cell r="C263" t="str">
            <v>-</v>
          </cell>
          <cell r="D263">
            <v>2.4192566485660601E-2</v>
          </cell>
          <cell r="E263">
            <v>11.5833853837595</v>
          </cell>
          <cell r="F263">
            <v>27.047450514699101</v>
          </cell>
          <cell r="G263">
            <v>125.29940536881</v>
          </cell>
          <cell r="H263">
            <v>131.11167982217901</v>
          </cell>
          <cell r="I263">
            <v>117.954982371428</v>
          </cell>
          <cell r="J263">
            <v>136.48083411733299</v>
          </cell>
          <cell r="K263">
            <v>135.12467063867899</v>
          </cell>
          <cell r="L263">
            <v>136.953640453204</v>
          </cell>
          <cell r="M263">
            <v>77.010639566454998</v>
          </cell>
          <cell r="N263">
            <v>10.5192209671408</v>
          </cell>
          <cell r="O263">
            <v>177.616940937245</v>
          </cell>
        </row>
        <row r="264">
          <cell r="A264" t="str">
            <v>T-Bat-Car-STG_S4</v>
          </cell>
          <cell r="B264" t="str">
            <v>VAR_cap</v>
          </cell>
          <cell r="C264" t="str">
            <v>-</v>
          </cell>
          <cell r="D264">
            <v>2.4192566485660601E-2</v>
          </cell>
          <cell r="E264">
            <v>11.452662927596572</v>
          </cell>
          <cell r="F264">
            <v>37.478312309786197</v>
          </cell>
          <cell r="G264">
            <v>150.90391638493128</v>
          </cell>
          <cell r="H264">
            <v>244.59324346795319</v>
          </cell>
          <cell r="I264">
            <v>287.07634006301555</v>
          </cell>
          <cell r="J264">
            <v>306.91309378860058</v>
          </cell>
          <cell r="K264">
            <v>316.41897486839542</v>
          </cell>
          <cell r="L264">
            <v>334.74262660753021</v>
          </cell>
          <cell r="M264">
            <v>285.90621426010739</v>
          </cell>
          <cell r="N264">
            <v>179.63651228911951</v>
          </cell>
          <cell r="O264">
            <v>265.14674595622199</v>
          </cell>
        </row>
        <row r="265">
          <cell r="A265" t="str">
            <v>T_TW-ICEGSL-S3</v>
          </cell>
          <cell r="B265" t="str">
            <v>VAR_fout</v>
          </cell>
          <cell r="C265" t="str">
            <v>CO2_T</v>
          </cell>
          <cell r="D265">
            <v>11.984228230812191</v>
          </cell>
          <cell r="E265">
            <v>14.527024277959383</v>
          </cell>
          <cell r="F265">
            <v>14.615547869354742</v>
          </cell>
          <cell r="G265">
            <v>14.546282273392492</v>
          </cell>
          <cell r="H265">
            <v>13.921700678104312</v>
          </cell>
          <cell r="I265">
            <v>4.0292140256665707</v>
          </cell>
          <cell r="J265">
            <v>3.8619880824196727E-2</v>
          </cell>
          <cell r="K265">
            <v>4.1603938086061484E-2</v>
          </cell>
          <cell r="L265">
            <v>4.4212836356802648E-2</v>
          </cell>
          <cell r="M265">
            <v>4.9129852435041102E-2</v>
          </cell>
          <cell r="N265">
            <v>5.4075485438607102E-2</v>
          </cell>
          <cell r="O265">
            <v>6.9030803567966703E-2</v>
          </cell>
        </row>
        <row r="266">
          <cell r="A266" t="str">
            <v>T_TW-ICEGSL-S3</v>
          </cell>
          <cell r="B266" t="str">
            <v>VAR_fout</v>
          </cell>
          <cell r="C266" t="str">
            <v>TPTWL</v>
          </cell>
          <cell r="D266">
            <v>0.11845012752387045</v>
          </cell>
          <cell r="E266">
            <v>0.14372967477388535</v>
          </cell>
          <cell r="F266">
            <v>0.14460758305385402</v>
          </cell>
          <cell r="G266">
            <v>0.14392603562644157</v>
          </cell>
          <cell r="H266">
            <v>0.13776081653057698</v>
          </cell>
          <cell r="I266">
            <v>3.9937156433950988E-2</v>
          </cell>
          <cell r="J266">
            <v>4.1253714742318893E-4</v>
          </cell>
          <cell r="K266">
            <v>4.5392030031903311E-4</v>
          </cell>
          <cell r="L266">
            <v>4.894877222693314E-4</v>
          </cell>
          <cell r="M266">
            <v>5.5106668264902998E-4</v>
          </cell>
          <cell r="N266">
            <v>6.0915361087411483E-4</v>
          </cell>
          <cell r="O266">
            <v>7.7762340761063108E-4</v>
          </cell>
        </row>
        <row r="267">
          <cell r="A267" t="str">
            <v>T_TW-ICEGSL-S3</v>
          </cell>
          <cell r="B267" t="str">
            <v>VAR_fin</v>
          </cell>
          <cell r="C267" t="str">
            <v>TGSL</v>
          </cell>
          <cell r="D267">
            <v>0.1623879164066693</v>
          </cell>
          <cell r="E267">
            <v>0.19684314739782338</v>
          </cell>
          <cell r="F267">
            <v>0.19804265405629734</v>
          </cell>
          <cell r="G267">
            <v>0.19710409584542693</v>
          </cell>
          <cell r="H267">
            <v>0.18864093059761897</v>
          </cell>
          <cell r="I267">
            <v>5.4596396011742113E-2</v>
          </cell>
          <cell r="J267">
            <v>5.233046182140476E-4</v>
          </cell>
          <cell r="K267">
            <v>5.6373899845611709E-4</v>
          </cell>
          <cell r="L267">
            <v>5.9908992353391072E-4</v>
          </cell>
          <cell r="M267">
            <v>6.6571615765638286E-4</v>
          </cell>
          <cell r="N267">
            <v>7.3273015499467542E-4</v>
          </cell>
          <cell r="O267">
            <v>9.3537674211337089E-4</v>
          </cell>
        </row>
        <row r="268">
          <cell r="A268" t="str">
            <v>T_TW-ICEGSL-S3</v>
          </cell>
          <cell r="B268" t="str">
            <v>VAR_ncap</v>
          </cell>
          <cell r="C268" t="str">
            <v>-</v>
          </cell>
          <cell r="E268">
            <v>3.1848311080659398E-5</v>
          </cell>
          <cell r="F268">
            <v>4.0381896386018999E-5</v>
          </cell>
          <cell r="G268">
            <v>3.62786811001149E-5</v>
          </cell>
          <cell r="H268">
            <v>4.8793084337289497E-5</v>
          </cell>
          <cell r="I268">
            <v>4.1158845072619102E-5</v>
          </cell>
          <cell r="J268">
            <v>4.4864974685425499E-5</v>
          </cell>
          <cell r="K268">
            <v>5.0330149476163002E-5</v>
          </cell>
          <cell r="L268">
            <v>5.69809305541101E-5</v>
          </cell>
          <cell r="M268">
            <v>7.1472140956260603E-5</v>
          </cell>
          <cell r="N268">
            <v>7.3556953336850894E-5</v>
          </cell>
          <cell r="O268">
            <v>1.13599270852383E-4</v>
          </cell>
        </row>
        <row r="269">
          <cell r="A269" t="str">
            <v>T_TW-ICEGSL-S3</v>
          </cell>
          <cell r="B269" t="str">
            <v>VAR_cap</v>
          </cell>
          <cell r="C269" t="str">
            <v>-</v>
          </cell>
          <cell r="D269">
            <v>5.3235509569518911E-2</v>
          </cell>
          <cell r="E269">
            <v>6.9092782216813989E-2</v>
          </cell>
          <cell r="F269">
            <v>6.9133218430360965E-2</v>
          </cell>
          <cell r="G269">
            <v>6.9169624541586705E-2</v>
          </cell>
          <cell r="H269">
            <v>6.6089725803175833E-2</v>
          </cell>
          <cell r="I269">
            <v>1.907959444822898E-2</v>
          </cell>
          <cell r="J269">
            <v>1.665515174922545E-4</v>
          </cell>
          <cell r="K269">
            <v>1.8485432928209934E-4</v>
          </cell>
          <cell r="L269">
            <v>2.0245320383156153E-4</v>
          </cell>
          <cell r="M269">
            <v>2.2329722307468282E-4</v>
          </cell>
          <cell r="N269">
            <v>2.521197080361676E-4</v>
          </cell>
          <cell r="O269">
            <v>3.1517880809627029E-4</v>
          </cell>
        </row>
        <row r="270">
          <cell r="A270" t="str">
            <v>T_C-ICEGSLEXT</v>
          </cell>
          <cell r="B270" t="str">
            <v>VAR_fout</v>
          </cell>
          <cell r="C270" t="str">
            <v>CO2_T</v>
          </cell>
          <cell r="D270">
            <v>4722.2884709025302</v>
          </cell>
          <cell r="E270">
            <v>4009.00715055211</v>
          </cell>
          <cell r="F270">
            <v>3603.3762789448101</v>
          </cell>
          <cell r="G270">
            <v>1302.1561944371899</v>
          </cell>
        </row>
        <row r="271">
          <cell r="A271" t="str">
            <v>T_C-ICEGSLEXT</v>
          </cell>
          <cell r="B271" t="str">
            <v>VAR_fout</v>
          </cell>
          <cell r="C271" t="str">
            <v>TPCAR</v>
          </cell>
          <cell r="D271">
            <v>18.30298898184126</v>
          </cell>
          <cell r="E271">
            <v>15.891994966864704</v>
          </cell>
          <cell r="F271">
            <v>14.760770327429176</v>
          </cell>
          <cell r="G271">
            <v>5.621241156906553</v>
          </cell>
        </row>
        <row r="272">
          <cell r="A272" t="str">
            <v>T_C-ICEGSLEXT</v>
          </cell>
          <cell r="B272" t="str">
            <v>VAR_fin</v>
          </cell>
          <cell r="C272" t="str">
            <v>TGSL</v>
          </cell>
          <cell r="D272">
            <v>63.987648657215793</v>
          </cell>
          <cell r="E272">
            <v>54.322590115882321</v>
          </cell>
          <cell r="F272">
            <v>48.826236842070564</v>
          </cell>
          <cell r="G272">
            <v>17.644392878552722</v>
          </cell>
        </row>
        <row r="273">
          <cell r="A273" t="str">
            <v>T_C-ICEGSLEXT</v>
          </cell>
          <cell r="B273" t="str">
            <v>VAR_cap</v>
          </cell>
          <cell r="C273" t="str">
            <v>-</v>
          </cell>
          <cell r="D273">
            <v>2.4922979411077097</v>
          </cell>
          <cell r="E273">
            <v>2.1591640094146265</v>
          </cell>
          <cell r="F273">
            <v>1.6628846666666701</v>
          </cell>
          <cell r="G273">
            <v>0.83144193181461179</v>
          </cell>
        </row>
        <row r="274">
          <cell r="A274" t="str">
            <v>T_TW-ICEGSL-S4</v>
          </cell>
          <cell r="B274" t="str">
            <v>VAR_fout</v>
          </cell>
          <cell r="C274" t="str">
            <v>CO2_T</v>
          </cell>
          <cell r="D274">
            <v>7.8105237514929202</v>
          </cell>
          <cell r="E274">
            <v>9.2850679697062297</v>
          </cell>
          <cell r="F274">
            <v>9.3577485986533908</v>
          </cell>
          <cell r="G274">
            <v>9.3029041986451233</v>
          </cell>
          <cell r="H274">
            <v>9.3276202617034265</v>
          </cell>
          <cell r="I274">
            <v>8.9744992876381229</v>
          </cell>
          <cell r="J274">
            <v>2.0003566807682294</v>
          </cell>
          <cell r="K274">
            <v>3.1598892204428561E-2</v>
          </cell>
          <cell r="L274">
            <v>3.3301554486577734E-2</v>
          </cell>
          <cell r="M274">
            <v>3.8207108254908952E-2</v>
          </cell>
          <cell r="N274">
            <v>4.0349671320910926E-2</v>
          </cell>
          <cell r="O274">
            <v>5.1206373544481529E-2</v>
          </cell>
        </row>
        <row r="275">
          <cell r="A275" t="str">
            <v>T_TW-ICEGSL-S4</v>
          </cell>
          <cell r="B275" t="str">
            <v>VAR_fout</v>
          </cell>
          <cell r="C275" t="str">
            <v>TPTWL</v>
          </cell>
          <cell r="D275">
            <v>7.1522560403621635E-2</v>
          </cell>
          <cell r="E275">
            <v>8.5102426190339683E-2</v>
          </cell>
          <cell r="F275">
            <v>8.5769604494775553E-2</v>
          </cell>
          <cell r="G275">
            <v>8.5268988692887557E-2</v>
          </cell>
          <cell r="H275">
            <v>8.5499216901609762E-2</v>
          </cell>
          <cell r="I275">
            <v>8.2270750579712296E-2</v>
          </cell>
          <cell r="J275">
            <v>1.8376963994898601E-2</v>
          </cell>
          <cell r="K275">
            <v>3.1790900226105133E-4</v>
          </cell>
          <cell r="L275">
            <v>3.4058034390915842E-4</v>
          </cell>
          <cell r="M275">
            <v>3.9557627447251619E-4</v>
          </cell>
          <cell r="N275">
            <v>4.2097524649951424E-4</v>
          </cell>
          <cell r="O275">
            <v>5.3581555363102951E-4</v>
          </cell>
        </row>
        <row r="276">
          <cell r="A276" t="str">
            <v>T_TW-ICEGSL-S4</v>
          </cell>
          <cell r="B276" t="str">
            <v>VAR_fin</v>
          </cell>
          <cell r="C276" t="str">
            <v>TGSL</v>
          </cell>
          <cell r="D276">
            <v>0.10583365516928091</v>
          </cell>
          <cell r="E276">
            <v>0.12581392912881093</v>
          </cell>
          <cell r="F276">
            <v>0.12679876149936825</v>
          </cell>
          <cell r="G276">
            <v>0.12605561244776578</v>
          </cell>
          <cell r="H276">
            <v>0.12639051845126556</v>
          </cell>
          <cell r="I276">
            <v>0.12160568140431072</v>
          </cell>
          <cell r="J276">
            <v>2.7105104075450227E-2</v>
          </cell>
          <cell r="K276">
            <v>4.2816927106271763E-4</v>
          </cell>
          <cell r="L276">
            <v>4.5124057569888553E-4</v>
          </cell>
          <cell r="M276">
            <v>5.1771149396895614E-4</v>
          </cell>
          <cell r="N276">
            <v>5.4674351383348176E-4</v>
          </cell>
          <cell r="O276">
            <v>6.9385330006072467E-4</v>
          </cell>
        </row>
        <row r="277">
          <cell r="A277" t="str">
            <v>T_TW-ICEGSL-S4</v>
          </cell>
          <cell r="B277" t="str">
            <v>VAR_ncap</v>
          </cell>
          <cell r="C277" t="str">
            <v>-</v>
          </cell>
          <cell r="E277">
            <v>1.8657757342502301E-5</v>
          </cell>
          <cell r="F277">
            <v>1.8522741650802702E-5</v>
          </cell>
          <cell r="G277">
            <v>1.9422119191859E-5</v>
          </cell>
          <cell r="H277">
            <v>2.2526848705613401E-5</v>
          </cell>
          <cell r="I277">
            <v>2.40791592190384E-5</v>
          </cell>
          <cell r="J277">
            <v>2.7031858558071699E-5</v>
          </cell>
          <cell r="K277">
            <v>3.2598839655638199E-5</v>
          </cell>
          <cell r="L277">
            <v>3.2304375410761797E-5</v>
          </cell>
          <cell r="M277">
            <v>4.0788293293063003E-5</v>
          </cell>
          <cell r="N277">
            <v>4.18437316555668E-5</v>
          </cell>
          <cell r="O277">
            <v>6.5340282127656694E-5</v>
          </cell>
        </row>
        <row r="278">
          <cell r="A278" t="str">
            <v>T_TW-ICEGSL-S4</v>
          </cell>
          <cell r="B278" t="str">
            <v>VAR_cap</v>
          </cell>
          <cell r="C278" t="str">
            <v>-</v>
          </cell>
          <cell r="D278">
            <v>3.2744510189389557E-2</v>
          </cell>
          <cell r="E278">
            <v>4.0893573486779702E-2</v>
          </cell>
          <cell r="F278">
            <v>4.0912211801536078E-2</v>
          </cell>
          <cell r="G278">
            <v>4.0931789702712065E-2</v>
          </cell>
          <cell r="H278">
            <v>4.09541099171917E-2</v>
          </cell>
          <cell r="I278">
            <v>3.9424860953064168E-2</v>
          </cell>
          <cell r="J278">
            <v>8.7587234421382127E-3</v>
          </cell>
          <cell r="K278">
            <v>1.2541171325525279E-4</v>
          </cell>
          <cell r="L278">
            <v>1.3834719105140027E-4</v>
          </cell>
          <cell r="M278">
            <v>1.5652390332008591E-4</v>
          </cell>
          <cell r="N278">
            <v>1.7018952392007232E-4</v>
          </cell>
          <cell r="O278">
            <v>2.1261897609891128E-4</v>
          </cell>
        </row>
        <row r="279">
          <cell r="A279" t="str">
            <v>T_C-ICEDSLEXT</v>
          </cell>
          <cell r="B279" t="str">
            <v>VAR_fout</v>
          </cell>
          <cell r="C279" t="str">
            <v>CO2_T</v>
          </cell>
          <cell r="D279">
            <v>3821.3280545354701</v>
          </cell>
          <cell r="E279">
            <v>3569.7775266716399</v>
          </cell>
          <cell r="F279">
            <v>2582.9153317872301</v>
          </cell>
          <cell r="G279">
            <v>847.77280723057004</v>
          </cell>
        </row>
        <row r="280">
          <cell r="A280" t="str">
            <v>T_C-ICEDSLEXT</v>
          </cell>
          <cell r="B280" t="str">
            <v>VAR_fout</v>
          </cell>
          <cell r="C280" t="str">
            <v>TPCAR</v>
          </cell>
          <cell r="D280">
            <v>17.673955061076928</v>
          </cell>
          <cell r="E280">
            <v>17.235951069054394</v>
          </cell>
          <cell r="F280">
            <v>13.258422551346255</v>
          </cell>
          <cell r="G280">
            <v>4.7824258586237063</v>
          </cell>
        </row>
        <row r="281">
          <cell r="A281" t="str">
            <v>T_C-ICEDSLEXT</v>
          </cell>
          <cell r="B281" t="str">
            <v>VAR_fin</v>
          </cell>
          <cell r="C281" t="str">
            <v>TDSL</v>
          </cell>
          <cell r="D281">
            <v>52.132715614399288</v>
          </cell>
          <cell r="E281">
            <v>48.700921236993736</v>
          </cell>
          <cell r="F281">
            <v>35.237589792458756</v>
          </cell>
          <cell r="G281">
            <v>11.565795460171504</v>
          </cell>
        </row>
        <row r="282">
          <cell r="A282" t="str">
            <v>T_C-ICEDSLEXT</v>
          </cell>
          <cell r="B282" t="str">
            <v>VAR_cap</v>
          </cell>
          <cell r="C282" t="str">
            <v>-</v>
          </cell>
          <cell r="D282">
            <v>1.0585578254090504</v>
          </cell>
          <cell r="E282">
            <v>0.91828359999999998</v>
          </cell>
          <cell r="F282">
            <v>0.70637198267456069</v>
          </cell>
          <cell r="G282">
            <v>0.35318597992320178</v>
          </cell>
        </row>
        <row r="283">
          <cell r="A283" t="str">
            <v>T-Plg-ELC-GSL_S1</v>
          </cell>
          <cell r="B283" t="str">
            <v>VAR_fout</v>
          </cell>
          <cell r="C283" t="str">
            <v>T-PEVmix-ELC_GSL_S1</v>
          </cell>
          <cell r="E283">
            <v>5.8113886555445644E-5</v>
          </cell>
          <cell r="F283">
            <v>9.0817900819956655E-5</v>
          </cell>
          <cell r="G283">
            <v>1.7038342077465359E-4</v>
          </cell>
          <cell r="H283">
            <v>2.0170340297163145E-4</v>
          </cell>
          <cell r="I283">
            <v>1.539354641810246E-4</v>
          </cell>
          <cell r="J283">
            <v>1.7103926896898971E-4</v>
          </cell>
          <cell r="K283">
            <v>1.1434039770018696E-4</v>
          </cell>
          <cell r="L283">
            <v>9.1817887543174399E-4</v>
          </cell>
          <cell r="M283">
            <v>1.5895972503766902E-3</v>
          </cell>
          <cell r="N283">
            <v>1.9490552185434161E-3</v>
          </cell>
          <cell r="O283">
            <v>2.4421850185812077E-3</v>
          </cell>
        </row>
        <row r="284">
          <cell r="A284" t="str">
            <v>T-Plg-ELC-GSL_S1</v>
          </cell>
          <cell r="B284" t="str">
            <v>VAR_fin</v>
          </cell>
          <cell r="C284" t="str">
            <v>T-ELC-car-PlgSTGOut_S1</v>
          </cell>
          <cell r="E284">
            <v>3.1905977975890422E-5</v>
          </cell>
          <cell r="F284">
            <v>4.9861300200831515E-5</v>
          </cell>
          <cell r="G284">
            <v>9.3544761724141741E-5</v>
          </cell>
          <cell r="H284">
            <v>1.0816526006863014E-4</v>
          </cell>
          <cell r="I284">
            <v>8.0700400340416481E-5</v>
          </cell>
          <cell r="J284">
            <v>8.5568055486112034E-5</v>
          </cell>
          <cell r="K284">
            <v>5.4619546262220096E-5</v>
          </cell>
          <cell r="L284">
            <v>4.2684117990180755E-4</v>
          </cell>
          <cell r="M284">
            <v>6.8907462337561439E-4</v>
          </cell>
          <cell r="N284">
            <v>8.4393601277004651E-4</v>
          </cell>
          <cell r="O284">
            <v>1.0093507550557102E-3</v>
          </cell>
        </row>
        <row r="285">
          <cell r="A285" t="str">
            <v>T-Plg-ELC-GSL_S2</v>
          </cell>
          <cell r="B285" t="str">
            <v>VAR_fout</v>
          </cell>
          <cell r="C285" t="str">
            <v>T-PEVmix-ELC_GSL_S2</v>
          </cell>
          <cell r="D285">
            <v>1.4082200511631887E-3</v>
          </cell>
          <cell r="E285">
            <v>9.6833370397425122E-4</v>
          </cell>
          <cell r="F285">
            <v>1.7389945122398159E-3</v>
          </cell>
          <cell r="G285">
            <v>2.1728089678929368E-3</v>
          </cell>
          <cell r="H285">
            <v>2.9322913365702531E-3</v>
          </cell>
          <cell r="I285">
            <v>5.2723867271267839E-4</v>
          </cell>
          <cell r="J285">
            <v>5.7044897184313807E-4</v>
          </cell>
          <cell r="K285">
            <v>5.250837798576796E-4</v>
          </cell>
          <cell r="L285">
            <v>3.9260604254212732E-3</v>
          </cell>
          <cell r="M285">
            <v>4.1509728763938682E-3</v>
          </cell>
          <cell r="N285">
            <v>3.4120252472147916E-3</v>
          </cell>
          <cell r="O285">
            <v>1.6540500326807845E-3</v>
          </cell>
        </row>
        <row r="286">
          <cell r="A286" t="str">
            <v>T-Plg-ELC-GSL_S2</v>
          </cell>
          <cell r="B286" t="str">
            <v>VAR_fin</v>
          </cell>
          <cell r="C286" t="str">
            <v>T-ELC-car-PlgSTGOut_S2</v>
          </cell>
          <cell r="D286">
            <v>9.3685411243930265E-4</v>
          </cell>
          <cell r="E286">
            <v>6.4420856103598585E-4</v>
          </cell>
          <cell r="F286">
            <v>1.1569102136811257E-3</v>
          </cell>
          <cell r="G286">
            <v>1.4455162852098893E-3</v>
          </cell>
          <cell r="H286">
            <v>1.8848726401129092E-3</v>
          </cell>
          <cell r="I286">
            <v>3.3417429955143028E-4</v>
          </cell>
          <cell r="J286">
            <v>3.4442130670474914E-4</v>
          </cell>
          <cell r="K286">
            <v>3.0265335920989973E-4</v>
          </cell>
          <cell r="L286">
            <v>2.1730068728656716E-3</v>
          </cell>
          <cell r="M286">
            <v>2.1596146442597938E-3</v>
          </cell>
          <cell r="N286">
            <v>1.774158364193249E-3</v>
          </cell>
          <cell r="O286">
            <v>8.2261044769836383E-4</v>
          </cell>
        </row>
        <row r="287">
          <cell r="A287" t="str">
            <v>T-Plg-ELC-DSL_S1</v>
          </cell>
          <cell r="B287" t="str">
            <v>VAR_fout</v>
          </cell>
          <cell r="C287" t="str">
            <v>T-PEVmix-ELC_DSL_S1</v>
          </cell>
          <cell r="E287">
            <v>4.3030661879194383E-5</v>
          </cell>
          <cell r="F287">
            <v>7.7030650289839229E-5</v>
          </cell>
          <cell r="G287">
            <v>1.8191329225646387E-4</v>
          </cell>
          <cell r="H287">
            <v>2.2889550731786072E-4</v>
          </cell>
          <cell r="I287">
            <v>1.7063134661420942E-4</v>
          </cell>
          <cell r="J287">
            <v>5.8167778431639011E-4</v>
          </cell>
          <cell r="K287">
            <v>5.5798829513418048E-4</v>
          </cell>
          <cell r="L287">
            <v>3.3651494578935169E-3</v>
          </cell>
          <cell r="M287">
            <v>1.8552128135970435E-4</v>
          </cell>
          <cell r="N287">
            <v>1.1392457105433568E-4</v>
          </cell>
          <cell r="O287">
            <v>1.0869687947388454E-4</v>
          </cell>
        </row>
        <row r="288">
          <cell r="A288" t="str">
            <v>T-Plg-ELC-DSL_S1</v>
          </cell>
          <cell r="B288" t="str">
            <v>VAR_fin</v>
          </cell>
          <cell r="C288" t="str">
            <v>T-ELC-car-PlgSTGOut_S1</v>
          </cell>
          <cell r="E288">
            <v>2.3624910182107105E-5</v>
          </cell>
          <cell r="F288">
            <v>4.2291754644068323E-5</v>
          </cell>
          <cell r="G288">
            <v>9.9874949694146105E-5</v>
          </cell>
          <cell r="H288">
            <v>1.227436126696714E-4</v>
          </cell>
          <cell r="I288">
            <v>8.9450188086508342E-5</v>
          </cell>
          <cell r="J288">
            <v>2.9066086994002121E-4</v>
          </cell>
          <cell r="K288">
            <v>2.6639636737862737E-4</v>
          </cell>
          <cell r="L288">
            <v>1.5511539610241923E-3</v>
          </cell>
          <cell r="M288">
            <v>8.0525481767493241E-5</v>
          </cell>
          <cell r="N288">
            <v>4.9449763863436297E-5</v>
          </cell>
          <cell r="O288">
            <v>4.492422831784587E-5</v>
          </cell>
        </row>
        <row r="289">
          <cell r="A289" t="str">
            <v>T_TRM_ELC</v>
          </cell>
          <cell r="B289" t="str">
            <v>VAR_fout</v>
          </cell>
          <cell r="C289" t="str">
            <v>TPTRM</v>
          </cell>
          <cell r="D289">
            <v>3.3477999999999994E-2</v>
          </cell>
          <cell r="E289">
            <v>3.4238693943285006E-2</v>
          </cell>
          <cell r="F289">
            <v>3.537973485821249E-2</v>
          </cell>
          <cell r="G289">
            <v>3.7281469716424979E-2</v>
          </cell>
          <cell r="H289">
            <v>3.8200039755124107E-2</v>
          </cell>
          <cell r="I289">
            <v>3.9061076358642186E-2</v>
          </cell>
          <cell r="J289">
            <v>3.9708612294883733E-2</v>
          </cell>
          <cell r="K289">
            <v>4.0356148231125301E-2</v>
          </cell>
          <cell r="L289">
            <v>4.2371906290567779E-2</v>
          </cell>
          <cell r="M289">
            <v>4.3525301587149907E-2</v>
          </cell>
          <cell r="N289">
            <v>4.4673212327442917E-2</v>
          </cell>
          <cell r="O289">
            <v>4.5811892235102694E-2</v>
          </cell>
        </row>
        <row r="290">
          <cell r="A290" t="str">
            <v>T_TRM_ELC</v>
          </cell>
          <cell r="B290" t="str">
            <v>VAR_fin</v>
          </cell>
          <cell r="C290" t="str">
            <v>TELC</v>
          </cell>
          <cell r="D290">
            <v>0.58772895164057959</v>
          </cell>
          <cell r="E290">
            <v>0.61504030570008339</v>
          </cell>
          <cell r="F290">
            <v>0.65847123751882963</v>
          </cell>
          <cell r="G290">
            <v>0.73826743502205472</v>
          </cell>
          <cell r="H290">
            <v>0.7564574460789345</v>
          </cell>
          <cell r="I290">
            <v>0.77350814954032066</v>
          </cell>
          <cell r="J290">
            <v>0.78633099956125296</v>
          </cell>
          <cell r="K290">
            <v>0.7991538495821856</v>
          </cell>
          <cell r="L290">
            <v>0.83907095970389334</v>
          </cell>
          <cell r="M290">
            <v>0.86191110505360957</v>
          </cell>
          <cell r="N290">
            <v>0.88464264231103162</v>
          </cell>
          <cell r="O290">
            <v>0.90719138572521052</v>
          </cell>
        </row>
        <row r="291">
          <cell r="A291" t="str">
            <v>T-Plg-ELC-GSL_S3</v>
          </cell>
          <cell r="B291" t="str">
            <v>VAR_fout</v>
          </cell>
          <cell r="C291" t="str">
            <v>T-PEVmix-ELC_GSL_S3</v>
          </cell>
          <cell r="E291">
            <v>2.4988582633437676E-2</v>
          </cell>
          <cell r="F291">
            <v>0.23039788953109772</v>
          </cell>
          <cell r="G291">
            <v>1.0632641059938248</v>
          </cell>
          <cell r="H291">
            <v>3.0113109744711637</v>
          </cell>
          <cell r="I291">
            <v>2.969512122952747</v>
          </cell>
          <cell r="J291">
            <v>3.4243398583722202</v>
          </cell>
          <cell r="K291">
            <v>1.4816255304846859</v>
          </cell>
          <cell r="L291">
            <v>1.1303005809923303</v>
          </cell>
          <cell r="M291">
            <v>7.1720347379609908E-3</v>
          </cell>
          <cell r="N291">
            <v>6.4837571274437818E-3</v>
          </cell>
          <cell r="O291">
            <v>3.5953094198147182E-3</v>
          </cell>
        </row>
        <row r="292">
          <cell r="A292" t="str">
            <v>T-Plg-ELC-GSL_S3</v>
          </cell>
          <cell r="B292" t="str">
            <v>VAR_fin</v>
          </cell>
          <cell r="C292" t="str">
            <v>T-ELC-car-PlgSTGOut_S3</v>
          </cell>
          <cell r="E292">
            <v>1.7834146244163684E-2</v>
          </cell>
          <cell r="F292">
            <v>0.16443308196063922</v>
          </cell>
          <cell r="G292">
            <v>0.75884286198329143</v>
          </cell>
          <cell r="H292">
            <v>2.0479589876762572</v>
          </cell>
          <cell r="I292">
            <v>1.92860666242559</v>
          </cell>
          <cell r="J292">
            <v>2.1159441709220235</v>
          </cell>
          <cell r="K292">
            <v>0.8970130727987714</v>
          </cell>
          <cell r="L292">
            <v>0.65969413544073885</v>
          </cell>
          <cell r="M292">
            <v>3.9851516467578644E-3</v>
          </cell>
          <cell r="N292">
            <v>3.597544423585126E-3</v>
          </cell>
          <cell r="O292">
            <v>1.9162094260920777E-3</v>
          </cell>
        </row>
        <row r="293">
          <cell r="A293" t="str">
            <v>T-Plg-ELC-DSL_S2</v>
          </cell>
          <cell r="B293" t="str">
            <v>VAR_fout</v>
          </cell>
          <cell r="C293" t="str">
            <v>T-PEVmix-ELC_DSL_S2</v>
          </cell>
          <cell r="E293">
            <v>4.7961047647858183E-5</v>
          </cell>
          <cell r="F293">
            <v>1.9844701325219584E-4</v>
          </cell>
          <cell r="G293">
            <v>4.4491538877099157E-4</v>
          </cell>
          <cell r="H293">
            <v>9.4740253087887316E-4</v>
          </cell>
          <cell r="I293">
            <v>7.2020848547676508E-4</v>
          </cell>
          <cell r="J293">
            <v>2.5022942865388842E-3</v>
          </cell>
          <cell r="K293">
            <v>2.4313650826445622E-3</v>
          </cell>
          <cell r="L293">
            <v>2.1334410039444921E-3</v>
          </cell>
          <cell r="M293">
            <v>3.419329713281565E-4</v>
          </cell>
          <cell r="N293">
            <v>3.0343969366774219E-4</v>
          </cell>
          <cell r="O293">
            <v>1.9042138593041959E-4</v>
          </cell>
        </row>
        <row r="294">
          <cell r="A294" t="str">
            <v>T-Plg-ELC-DSL_S2</v>
          </cell>
          <cell r="B294" t="str">
            <v>VAR_fin</v>
          </cell>
          <cell r="C294" t="str">
            <v>T-ELC-car-PlgSTGOut_S2</v>
          </cell>
          <cell r="E294">
            <v>3.1907303612584595E-5</v>
          </cell>
          <cell r="F294">
            <v>1.3202190972430065E-4</v>
          </cell>
          <cell r="G294">
            <v>2.9599124889135127E-4</v>
          </cell>
          <cell r="H294">
            <v>6.1385344974065176E-4</v>
          </cell>
          <cell r="I294">
            <v>4.5619449587291938E-4</v>
          </cell>
          <cell r="J294">
            <v>1.5003886473359974E-3</v>
          </cell>
          <cell r="K294">
            <v>1.3971547192627035E-3</v>
          </cell>
          <cell r="L294">
            <v>1.188178103880205E-3</v>
          </cell>
          <cell r="M294">
            <v>1.7875664193364052E-4</v>
          </cell>
          <cell r="N294">
            <v>1.5861205689781844E-4</v>
          </cell>
          <cell r="O294">
            <v>9.470246875040934E-5</v>
          </cell>
        </row>
        <row r="295">
          <cell r="A295" t="str">
            <v>T_TW-ICEGSLEXT</v>
          </cell>
          <cell r="B295" t="str">
            <v>VAR_fout</v>
          </cell>
          <cell r="C295" t="str">
            <v>CO2_T</v>
          </cell>
          <cell r="D295">
            <v>146.50758360489999</v>
          </cell>
          <cell r="E295">
            <v>52.647000231206803</v>
          </cell>
          <cell r="F295">
            <v>51.102453645190401</v>
          </cell>
          <cell r="G295">
            <v>33.440666430555503</v>
          </cell>
        </row>
        <row r="296">
          <cell r="A296" t="str">
            <v>T_TW-ICEGSLEXT</v>
          </cell>
          <cell r="B296" t="str">
            <v>VAR_fout</v>
          </cell>
          <cell r="C296" t="str">
            <v>TPTWL</v>
          </cell>
          <cell r="D296">
            <v>1.5309151239109449</v>
          </cell>
          <cell r="E296">
            <v>0.56159534606780903</v>
          </cell>
          <cell r="F296">
            <v>0.56181412044849299</v>
          </cell>
          <cell r="G296">
            <v>0.38585056593379774</v>
          </cell>
        </row>
        <row r="297">
          <cell r="A297" t="str">
            <v>T_TW-ICEGSLEXT</v>
          </cell>
          <cell r="B297" t="str">
            <v>VAR_fin</v>
          </cell>
          <cell r="C297" t="str">
            <v>TGSL</v>
          </cell>
          <cell r="D297">
            <v>1.9851976098224891</v>
          </cell>
          <cell r="E297">
            <v>0.71337398687271991</v>
          </cell>
          <cell r="F297">
            <v>0.69244517134404338</v>
          </cell>
          <cell r="G297">
            <v>0.4531255613896405</v>
          </cell>
        </row>
        <row r="298">
          <cell r="A298" t="str">
            <v>T_TW-ICEGSLEXT</v>
          </cell>
          <cell r="B298" t="str">
            <v>VAR_cap</v>
          </cell>
          <cell r="C298" t="str">
            <v>-</v>
          </cell>
          <cell r="D298">
            <v>0.55718578408584951</v>
          </cell>
          <cell r="E298">
            <v>0.27061415756904095</v>
          </cell>
          <cell r="F298">
            <v>0.27058871242736499</v>
          </cell>
          <cell r="G298">
            <v>0.18593194340314032</v>
          </cell>
        </row>
        <row r="299">
          <cell r="A299" t="str">
            <v>T-Plg-ELC-GSL_S4</v>
          </cell>
          <cell r="B299" t="str">
            <v>VAR_fout</v>
          </cell>
          <cell r="C299" t="str">
            <v>T-PEVmix-ELC_GSL_S4</v>
          </cell>
          <cell r="E299">
            <v>5.4477642374274311E-4</v>
          </cell>
          <cell r="F299">
            <v>1.5034984014431021E-3</v>
          </cell>
          <cell r="G299">
            <v>1.1811309181973375E-2</v>
          </cell>
          <cell r="H299">
            <v>8.2252764017732918E-3</v>
          </cell>
          <cell r="I299">
            <v>1.3279404182657084E-3</v>
          </cell>
          <cell r="J299">
            <v>1.0936259816223578E-3</v>
          </cell>
          <cell r="K299">
            <v>7.4874080461500843E-4</v>
          </cell>
          <cell r="L299">
            <v>0.56613796950470596</v>
          </cell>
          <cell r="M299">
            <v>1.559184468168213</v>
          </cell>
          <cell r="N299">
            <v>1.4992839217632952</v>
          </cell>
          <cell r="O299">
            <v>1.2729741216640256</v>
          </cell>
        </row>
        <row r="300">
          <cell r="A300" t="str">
            <v>T-Plg-ELC-GSL_S4</v>
          </cell>
          <cell r="B300" t="str">
            <v>VAR_fin</v>
          </cell>
          <cell r="C300" t="str">
            <v>T-ELC-car-PlgSTGOut_S4</v>
          </cell>
          <cell r="E300">
            <v>4.0673183216729592E-4</v>
          </cell>
          <cell r="F300">
            <v>1.1225167478398966E-3</v>
          </cell>
          <cell r="G300">
            <v>8.8183614681295788E-3</v>
          </cell>
          <cell r="H300">
            <v>5.9122635991434276E-3</v>
          </cell>
          <cell r="I300">
            <v>9.4437488777199523E-4</v>
          </cell>
          <cell r="J300">
            <v>7.4361072200535179E-4</v>
          </cell>
          <cell r="K300">
            <v>4.8838628298147196E-4</v>
          </cell>
          <cell r="L300">
            <v>0.35009396897970696</v>
          </cell>
          <cell r="M300">
            <v>0.91016035192662148</v>
          </cell>
          <cell r="N300">
            <v>0.87527249511976146</v>
          </cell>
          <cell r="O300">
            <v>0.72415572419481689</v>
          </cell>
        </row>
        <row r="301">
          <cell r="A301" t="str">
            <v>T-Plg-ELC-DSL_S3</v>
          </cell>
          <cell r="B301" t="str">
            <v>VAR_fout</v>
          </cell>
          <cell r="C301" t="str">
            <v>T-PEVmix-ELC_DSL_S3</v>
          </cell>
          <cell r="E301">
            <v>7.4622979089811081E-2</v>
          </cell>
          <cell r="F301">
            <v>0.18835244844519222</v>
          </cell>
          <cell r="G301">
            <v>1.6157378372610891</v>
          </cell>
          <cell r="H301">
            <v>2.412097408973116</v>
          </cell>
          <cell r="I301">
            <v>2.142018925061262</v>
          </cell>
          <cell r="J301">
            <v>2.3738253599710508</v>
          </cell>
          <cell r="K301">
            <v>1.021533885242802</v>
          </cell>
          <cell r="L301">
            <v>0.85139613634198275</v>
          </cell>
          <cell r="M301">
            <v>5.730647655389626E-4</v>
          </cell>
          <cell r="N301">
            <v>4.9420770952524615E-4</v>
          </cell>
          <cell r="O301">
            <v>2.6610777277185672E-4</v>
          </cell>
        </row>
        <row r="302">
          <cell r="A302" t="str">
            <v>T-Plg-ELC-DSL_S3</v>
          </cell>
          <cell r="B302" t="str">
            <v>VAR_fin</v>
          </cell>
          <cell r="C302" t="str">
            <v>T-ELC-car-PlgSTGOut_S3</v>
          </cell>
          <cell r="E302">
            <v>5.3257807446911491E-2</v>
          </cell>
          <cell r="F302">
            <v>0.13442559589286102</v>
          </cell>
          <cell r="G302">
            <v>1.1531388276254098</v>
          </cell>
          <cell r="H302">
            <v>1.6404982952072535</v>
          </cell>
          <cell r="I302">
            <v>1.391285912200114</v>
          </cell>
          <cell r="J302">
            <v>1.466976380513306</v>
          </cell>
          <cell r="K302">
            <v>0.616546759978995</v>
          </cell>
          <cell r="L302">
            <v>0.49651411579805538</v>
          </cell>
          <cell r="M302">
            <v>3.2096997535303775E-4</v>
          </cell>
          <cell r="N302">
            <v>2.7673412839757539E-4</v>
          </cell>
          <cell r="O302">
            <v>1.4182874490064869E-4</v>
          </cell>
        </row>
        <row r="303">
          <cell r="A303" t="str">
            <v>T-Plg-ELC-DSL_S4</v>
          </cell>
          <cell r="B303" t="str">
            <v>VAR_fout</v>
          </cell>
          <cell r="C303" t="str">
            <v>T-PEVmix-ELC_DSL_S4</v>
          </cell>
          <cell r="E303">
            <v>1.3247549402036144E-4</v>
          </cell>
          <cell r="F303">
            <v>4.7641389494663326E-4</v>
          </cell>
          <cell r="G303">
            <v>2.6727473275241797E-3</v>
          </cell>
          <cell r="H303">
            <v>7.3002221587572282E-3</v>
          </cell>
          <cell r="I303">
            <v>4.859204124533929E-3</v>
          </cell>
          <cell r="J303">
            <v>5.6244375702111027E-3</v>
          </cell>
          <cell r="K303">
            <v>4.4897464515022767E-3</v>
          </cell>
          <cell r="L303">
            <v>0.33297132705472515</v>
          </cell>
          <cell r="M303">
            <v>1.0963345909419504</v>
          </cell>
          <cell r="N303">
            <v>1.0540141627065978</v>
          </cell>
          <cell r="O303">
            <v>0.89355950245676086</v>
          </cell>
        </row>
        <row r="304">
          <cell r="A304" t="str">
            <v>T-Plg-ELC-DSL_S4</v>
          </cell>
          <cell r="B304" t="str">
            <v>VAR_fin</v>
          </cell>
          <cell r="C304" t="str">
            <v>T-ELC-car-PlgSTGOut_S4</v>
          </cell>
          <cell r="E304">
            <v>9.8906630411769964E-5</v>
          </cell>
          <cell r="F304">
            <v>3.5569214803815721E-4</v>
          </cell>
          <cell r="G304">
            <v>1.995481761078386E-3</v>
          </cell>
          <cell r="H304">
            <v>5.2523829913943242E-3</v>
          </cell>
          <cell r="I304">
            <v>3.4140512253430697E-3</v>
          </cell>
          <cell r="J304">
            <v>3.777782235605077E-3</v>
          </cell>
          <cell r="K304">
            <v>2.9127582019435462E-3</v>
          </cell>
          <cell r="L304">
            <v>0.20569774723140485</v>
          </cell>
          <cell r="M304">
            <v>0.63955082408034125</v>
          </cell>
          <cell r="N304">
            <v>0.61498038698939439</v>
          </cell>
          <cell r="O304">
            <v>0.50831844701358231</v>
          </cell>
        </row>
        <row r="305">
          <cell r="A305" t="str">
            <v>TFLGV-ICENGA</v>
          </cell>
          <cell r="B305" t="str">
            <v>VAR_fout</v>
          </cell>
          <cell r="C305" t="str">
            <v>CO2_T</v>
          </cell>
          <cell r="D305">
            <v>1.4301526770129629</v>
          </cell>
          <cell r="E305">
            <v>1.2628897505176055</v>
          </cell>
          <cell r="F305">
            <v>1.7672174495855479</v>
          </cell>
        </row>
        <row r="306">
          <cell r="A306" t="str">
            <v>TFLGV-ICENGA</v>
          </cell>
          <cell r="B306" t="str">
            <v>VAR_fout</v>
          </cell>
          <cell r="C306" t="str">
            <v>TFLGV</v>
          </cell>
          <cell r="D306">
            <v>8.1289707617023775E-3</v>
          </cell>
          <cell r="E306">
            <v>7.1782502820977798E-3</v>
          </cell>
          <cell r="F306">
            <v>1.0044842909538502E-2</v>
          </cell>
        </row>
        <row r="307">
          <cell r="A307" t="str">
            <v>TFLGV-ICENGA</v>
          </cell>
          <cell r="B307" t="str">
            <v>VAR_fin</v>
          </cell>
          <cell r="C307" t="str">
            <v>TNGA</v>
          </cell>
          <cell r="D307">
            <v>2.5357316968314916E-2</v>
          </cell>
          <cell r="E307">
            <v>2.2391662243219954E-2</v>
          </cell>
          <cell r="F307">
            <v>3.1333642723147981E-2</v>
          </cell>
        </row>
        <row r="308">
          <cell r="A308" t="str">
            <v>TFLGV-ICENGA</v>
          </cell>
          <cell r="B308" t="str">
            <v>VAR_ncap</v>
          </cell>
          <cell r="C308" t="str">
            <v>-</v>
          </cell>
          <cell r="D308">
            <v>1.01530103225899E-8</v>
          </cell>
          <cell r="E308">
            <v>1.6289709149360499E-6</v>
          </cell>
          <cell r="F308">
            <v>1.1063570170068499E-6</v>
          </cell>
        </row>
        <row r="309">
          <cell r="A309" t="str">
            <v>TFLGV-ICENGA</v>
          </cell>
          <cell r="B309" t="str">
            <v>VAR_cap</v>
          </cell>
          <cell r="C309" t="str">
            <v>-</v>
          </cell>
          <cell r="D309">
            <v>5.82908764414829E-4</v>
          </cell>
          <cell r="E309">
            <v>7.1048704335088689E-4</v>
          </cell>
          <cell r="F309">
            <v>7.1158126616513732E-4</v>
          </cell>
          <cell r="G309">
            <v>1.9771435798786839E-9</v>
          </cell>
          <cell r="H309">
            <v>1.4554942064570025E-9</v>
          </cell>
        </row>
        <row r="310">
          <cell r="A310" t="str">
            <v>TFLGV-BEVELC</v>
          </cell>
          <cell r="B310" t="str">
            <v>VAR_fout</v>
          </cell>
          <cell r="C310" t="str">
            <v>TFLGV</v>
          </cell>
          <cell r="D310">
            <v>2.4079307112280166E-2</v>
          </cell>
          <cell r="E310">
            <v>5.334942413580071E-2</v>
          </cell>
          <cell r="F310">
            <v>7.947599949250482E-2</v>
          </cell>
          <cell r="G310">
            <v>1.1450550223539779</v>
          </cell>
          <cell r="H310">
            <v>3.231761249150038</v>
          </cell>
          <cell r="I310">
            <v>5.0138804069145788</v>
          </cell>
          <cell r="J310">
            <v>5.2231015460211401</v>
          </cell>
          <cell r="K310">
            <v>5.4321898054689326</v>
          </cell>
          <cell r="L310">
            <v>5.6865671082548808</v>
          </cell>
          <cell r="M310">
            <v>6.0438667283110128</v>
          </cell>
          <cell r="N310">
            <v>6.4405379893924399</v>
          </cell>
          <cell r="O310">
            <v>6.8765686033018039</v>
          </cell>
        </row>
        <row r="311">
          <cell r="A311" t="str">
            <v>TFLGV-BEVELC</v>
          </cell>
          <cell r="B311" t="str">
            <v>VAR_fin</v>
          </cell>
          <cell r="C311" t="str">
            <v>T-ELC-LGV_BatSTGout</v>
          </cell>
          <cell r="D311">
            <v>3.534019166164673E-2</v>
          </cell>
          <cell r="E311">
            <v>7.8298717866186252E-2</v>
          </cell>
          <cell r="F311">
            <v>0.11664359948022152</v>
          </cell>
          <cell r="G311">
            <v>1.6805493515419005</v>
          </cell>
          <cell r="H311">
            <v>4.7431207807220748</v>
          </cell>
          <cell r="I311">
            <v>7.3586625114545292</v>
          </cell>
          <cell r="J311">
            <v>7.6657276243008612</v>
          </cell>
          <cell r="K311">
            <v>7.9725977152312106</v>
          </cell>
          <cell r="L311">
            <v>8.345936640346844</v>
          </cell>
          <cell r="M311">
            <v>8.8703303446398429</v>
          </cell>
          <cell r="N311">
            <v>9.4525081593052409</v>
          </cell>
          <cell r="O311">
            <v>10.092452049469925</v>
          </cell>
        </row>
        <row r="312">
          <cell r="A312" t="str">
            <v>TFLGV-BEVELC</v>
          </cell>
          <cell r="B312" t="str">
            <v>VAR_ncap</v>
          </cell>
          <cell r="C312" t="str">
            <v>-</v>
          </cell>
          <cell r="E312">
            <v>1.14936195012721E-3</v>
          </cell>
          <cell r="F312">
            <v>1.8191816037682999E-3</v>
          </cell>
          <cell r="G312">
            <v>7.62010314952348E-2</v>
          </cell>
          <cell r="H312">
            <v>0.24065822914819801</v>
          </cell>
          <cell r="I312">
            <v>0.214035306422797</v>
          </cell>
          <cell r="J312">
            <v>0.16337606664129201</v>
          </cell>
          <cell r="K312">
            <v>0.30174538568598103</v>
          </cell>
          <cell r="L312">
            <v>0.18144307177876101</v>
          </cell>
          <cell r="M312">
            <v>0.237090231498468</v>
          </cell>
          <cell r="N312">
            <v>0.319771018216994</v>
          </cell>
          <cell r="O312">
            <v>0.12446209957856701</v>
          </cell>
        </row>
        <row r="313">
          <cell r="A313" t="str">
            <v>TFLGV-BEVELC</v>
          </cell>
          <cell r="B313" t="str">
            <v>VAR_cap</v>
          </cell>
          <cell r="C313" t="str">
            <v>-</v>
          </cell>
          <cell r="D313">
            <v>1.699E-3</v>
          </cell>
          <cell r="E313">
            <v>3.7413619501272099E-3</v>
          </cell>
          <cell r="F313">
            <v>5.5605327957095035E-3</v>
          </cell>
          <cell r="G313">
            <v>8.0799297643912152E-2</v>
          </cell>
          <cell r="H313">
            <v>0.31779129572312415</v>
          </cell>
          <cell r="I313">
            <v>0.47069550958646433</v>
          </cell>
          <cell r="J313">
            <v>0.50219529601205359</v>
          </cell>
          <cell r="K313">
            <v>0.53823530003932851</v>
          </cell>
          <cell r="L313">
            <v>0.55667674146744117</v>
          </cell>
          <cell r="M313">
            <v>0.57313064042631212</v>
          </cell>
          <cell r="N313">
            <v>0.58899877836525505</v>
          </cell>
          <cell r="O313">
            <v>0.60423643268232308</v>
          </cell>
        </row>
        <row r="314">
          <cell r="A314" t="str">
            <v>T_B_c-BEVELC-S1</v>
          </cell>
          <cell r="B314" t="str">
            <v>VAR_fout</v>
          </cell>
          <cell r="C314" t="str">
            <v>TPBSc</v>
          </cell>
          <cell r="D314">
            <v>1.3853125296810792E-4</v>
          </cell>
          <cell r="E314">
            <v>4.5396894842058617E-4</v>
          </cell>
          <cell r="F314">
            <v>6.7265627886481491E-4</v>
          </cell>
          <cell r="G314">
            <v>6.4170580420845308E-2</v>
          </cell>
          <cell r="H314">
            <v>6.4829300112857535E-2</v>
          </cell>
          <cell r="I314">
            <v>6.4859238179301948E-2</v>
          </cell>
          <cell r="J314">
            <v>6.469365875437294E-2</v>
          </cell>
          <cell r="K314">
            <v>6.4848533121854887E-2</v>
          </cell>
          <cell r="L314">
            <v>6.7239671257503977E-2</v>
          </cell>
          <cell r="M314">
            <v>6.9230304906076359E-2</v>
          </cell>
          <cell r="N314">
            <v>7.1134738526966751E-2</v>
          </cell>
          <cell r="O314">
            <v>7.2962200932445778E-2</v>
          </cell>
        </row>
        <row r="315">
          <cell r="A315" t="str">
            <v>T_B_c-BEVELC-S1</v>
          </cell>
          <cell r="B315" t="str">
            <v>VAR_fin</v>
          </cell>
          <cell r="C315" t="str">
            <v>T-ELC-Bus_c_BatSTGout_S1</v>
          </cell>
          <cell r="D315">
            <v>3.6581392732276132E-4</v>
          </cell>
          <cell r="E315">
            <v>1.1776774547234998E-3</v>
          </cell>
          <cell r="F315">
            <v>1.7066837338925549E-3</v>
          </cell>
          <cell r="G315">
            <v>0.14345446476972951</v>
          </cell>
          <cell r="H315">
            <v>0.1377431336464924</v>
          </cell>
          <cell r="I315">
            <v>0.13756911317543138</v>
          </cell>
          <cell r="J315">
            <v>0.13127054506444313</v>
          </cell>
          <cell r="K315">
            <v>0.12221480349789864</v>
          </cell>
          <cell r="L315">
            <v>0.12513748548442133</v>
          </cell>
          <cell r="M315">
            <v>0.12764707401288319</v>
          </cell>
          <cell r="N315">
            <v>0.13115847526538715</v>
          </cell>
          <cell r="O315">
            <v>0.13452795672649606</v>
          </cell>
        </row>
        <row r="316">
          <cell r="A316" t="str">
            <v>T_B_c-BEVELC-S1</v>
          </cell>
          <cell r="B316" t="str">
            <v>VAR_ncap</v>
          </cell>
          <cell r="C316" t="str">
            <v>-</v>
          </cell>
          <cell r="E316">
            <v>3.3688384120528602E-6</v>
          </cell>
          <cell r="F316">
            <v>4.9204727405465602E-6</v>
          </cell>
          <cell r="G316">
            <v>1.40873966524419E-3</v>
          </cell>
          <cell r="H316">
            <v>1.3845731173309701E-3</v>
          </cell>
          <cell r="I316">
            <v>2.3858749412919498E-5</v>
          </cell>
          <cell r="J316">
            <v>6.6407495569774898E-4</v>
          </cell>
          <cell r="K316">
            <v>7.3696197476759895E-4</v>
          </cell>
          <cell r="L316">
            <v>4.2547139720731399E-4</v>
          </cell>
          <cell r="M316">
            <v>7.0140530060346996E-4</v>
          </cell>
          <cell r="N316">
            <v>7.6901252145861404E-4</v>
          </cell>
          <cell r="O316">
            <v>3.4328869229882598E-4</v>
          </cell>
        </row>
        <row r="317">
          <cell r="A317" t="str">
            <v>T_B_c-BEVELC-S1</v>
          </cell>
          <cell r="B317" t="str">
            <v>VAR_cap</v>
          </cell>
          <cell r="C317" t="str">
            <v>-</v>
          </cell>
          <cell r="D317">
            <v>3.3713942307692301E-6</v>
          </cell>
          <cell r="E317">
            <v>1.0111626873591321E-5</v>
          </cell>
          <cell r="F317">
            <v>1.5032099614137879E-5</v>
          </cell>
          <cell r="G317">
            <v>1.4095714122036136E-3</v>
          </cell>
          <cell r="H317">
            <v>1.41025896493207E-3</v>
          </cell>
          <cell r="I317">
            <v>1.4094077857852651E-3</v>
          </cell>
          <cell r="J317">
            <v>1.4058072019424177E-3</v>
          </cell>
          <cell r="K317">
            <v>1.4091506081248904E-3</v>
          </cell>
          <cell r="L317">
            <v>1.4611045210885241E-3</v>
          </cell>
          <cell r="M317">
            <v>1.5043635660417617E-3</v>
          </cell>
          <cell r="N317">
            <v>1.5457450947515636E-3</v>
          </cell>
          <cell r="O317">
            <v>1.5854625261929843E-3</v>
          </cell>
        </row>
        <row r="318">
          <cell r="A318" t="str">
            <v>T_B_c-BEVELC-S2</v>
          </cell>
          <cell r="B318" t="str">
            <v>VAR_fout</v>
          </cell>
          <cell r="C318" t="str">
            <v>TPBSc</v>
          </cell>
          <cell r="D318">
            <v>1.6975065773505024E-4</v>
          </cell>
          <cell r="E318">
            <v>2.1018226727834713E-4</v>
          </cell>
          <cell r="F318">
            <v>2.5986456007125571E-4</v>
          </cell>
          <cell r="G318">
            <v>5.740011400333183E-2</v>
          </cell>
          <cell r="H318">
            <v>5.7502176882759597E-2</v>
          </cell>
          <cell r="I318">
            <v>5.7540444727195453E-2</v>
          </cell>
          <cell r="J318">
            <v>5.7679540466788838E-2</v>
          </cell>
          <cell r="K318">
            <v>5.7821635157384192E-2</v>
          </cell>
          <cell r="L318">
            <v>5.9658888669077266E-2</v>
          </cell>
          <cell r="M318">
            <v>6.1425126667896186E-2</v>
          </cell>
          <cell r="N318">
            <v>6.3124934335516053E-2</v>
          </cell>
          <cell r="O318">
            <v>6.4760042976674634E-2</v>
          </cell>
        </row>
        <row r="319">
          <cell r="A319" t="str">
            <v>T_B_c-BEVELC-S2</v>
          </cell>
          <cell r="B319" t="str">
            <v>VAR_fin</v>
          </cell>
          <cell r="C319" t="str">
            <v>T-ELC-Bus_c_BatSTGout_S2</v>
          </cell>
          <cell r="D319">
            <v>6.1686976838255456E-4</v>
          </cell>
          <cell r="E319">
            <v>7.5437178178395018E-4</v>
          </cell>
          <cell r="F319">
            <v>9.2292070742822367E-4</v>
          </cell>
          <cell r="G319">
            <v>0.17698319155546119</v>
          </cell>
          <cell r="H319">
            <v>0.17643053669031786</v>
          </cell>
          <cell r="I319">
            <v>0.16452155752714789</v>
          </cell>
          <cell r="J319">
            <v>0.15960912078005343</v>
          </cell>
          <cell r="K319">
            <v>0.15232768515675107</v>
          </cell>
          <cell r="L319">
            <v>0.15274270415855226</v>
          </cell>
          <cell r="M319">
            <v>0.15653061158322748</v>
          </cell>
          <cell r="N319">
            <v>0.16086225806439752</v>
          </cell>
          <cell r="O319">
            <v>0.16502903100390459</v>
          </cell>
        </row>
        <row r="320">
          <cell r="A320" t="str">
            <v>T_B_c-BEVELC-S2</v>
          </cell>
          <cell r="B320" t="str">
            <v>VAR_ncap</v>
          </cell>
          <cell r="C320" t="str">
            <v>-</v>
          </cell>
          <cell r="E320">
            <v>4.7683254245444998E-7</v>
          </cell>
          <cell r="F320">
            <v>8.9992697810349301E-7</v>
          </cell>
          <cell r="G320">
            <v>1.2463447572371299E-3</v>
          </cell>
          <cell r="H320">
            <v>1.2103877222365099E-4</v>
          </cell>
          <cell r="I320">
            <v>8.9241802615234599E-4</v>
          </cell>
          <cell r="J320">
            <v>2.9822056529861703E-4</v>
          </cell>
          <cell r="K320">
            <v>6.5340078063501599E-4</v>
          </cell>
          <cell r="L320">
            <v>5.0884050511575303E-4</v>
          </cell>
          <cell r="M320">
            <v>4.9117530242124901E-4</v>
          </cell>
          <cell r="N320">
            <v>7.9040104858274605E-4</v>
          </cell>
          <cell r="O320">
            <v>2.8539139778653799E-4</v>
          </cell>
        </row>
        <row r="321">
          <cell r="A321" t="str">
            <v>T_B_c-BEVELC-S2</v>
          </cell>
          <cell r="B321" t="str">
            <v>VAR_cap</v>
          </cell>
          <cell r="C321" t="str">
            <v>-</v>
          </cell>
          <cell r="D321">
            <v>4.3106280622156506E-6</v>
          </cell>
          <cell r="E321">
            <v>5.1060465310698517E-6</v>
          </cell>
          <cell r="F321">
            <v>6.0088591115389389E-6</v>
          </cell>
          <cell r="G321">
            <v>1.2474093403827837E-3</v>
          </cell>
          <cell r="H321">
            <v>1.249566548878988E-3</v>
          </cell>
          <cell r="I321">
            <v>1.2503701974935228E-3</v>
          </cell>
          <cell r="J321">
            <v>1.2533921351584217E-3</v>
          </cell>
          <cell r="K321">
            <v>1.2564622270107993E-3</v>
          </cell>
          <cell r="L321">
            <v>1.2963784199450375E-3</v>
          </cell>
          <cell r="M321">
            <v>1.3347678874656352E-3</v>
          </cell>
          <cell r="N321">
            <v>1.3716983050284101E-3</v>
          </cell>
          <cell r="O321">
            <v>1.4072400487115666E-3</v>
          </cell>
        </row>
        <row r="322">
          <cell r="A322" t="str">
            <v>T_B_c-BEVELC-S3</v>
          </cell>
          <cell r="B322" t="str">
            <v>VAR_fout</v>
          </cell>
          <cell r="C322" t="str">
            <v>TPBSc</v>
          </cell>
          <cell r="D322">
            <v>4.1748734444205716E-5</v>
          </cell>
          <cell r="E322">
            <v>5.5575733021414613E-5</v>
          </cell>
          <cell r="F322">
            <v>7.2145568210454052E-5</v>
          </cell>
          <cell r="G322">
            <v>1.2275611745037942E-2</v>
          </cell>
          <cell r="H322">
            <v>1.229849488516627E-2</v>
          </cell>
          <cell r="I322">
            <v>1.2306602905409653E-2</v>
          </cell>
          <cell r="J322">
            <v>1.2337028585549536E-2</v>
          </cell>
          <cell r="K322">
            <v>1.2367683853318823E-2</v>
          </cell>
          <cell r="L322">
            <v>1.275996360709445E-2</v>
          </cell>
          <cell r="M322">
            <v>1.3137777566530477E-2</v>
          </cell>
          <cell r="N322">
            <v>1.350133756795182E-2</v>
          </cell>
          <cell r="O322">
            <v>1.3851087013814186E-2</v>
          </cell>
        </row>
        <row r="323">
          <cell r="A323" t="str">
            <v>T_B_c-BEVELC-S3</v>
          </cell>
          <cell r="B323" t="str">
            <v>VAR_fin</v>
          </cell>
          <cell r="C323" t="str">
            <v>T-ELC-Bus_c_BatSTGout_S3</v>
          </cell>
          <cell r="D323">
            <v>2.281720585205871E-4</v>
          </cell>
          <cell r="E323">
            <v>3.0149458867790408E-4</v>
          </cell>
          <cell r="F323">
            <v>3.8584529045041952E-4</v>
          </cell>
          <cell r="G323">
            <v>5.6852869994204962E-2</v>
          </cell>
          <cell r="H323">
            <v>5.6244817194509945E-2</v>
          </cell>
          <cell r="I323">
            <v>5.209770273331743E-2</v>
          </cell>
          <cell r="J323">
            <v>5.0959204059975637E-2</v>
          </cell>
          <cell r="K323">
            <v>4.7866329666222993E-2</v>
          </cell>
          <cell r="L323">
            <v>4.8781176619972444E-2</v>
          </cell>
          <cell r="M323">
            <v>5.0116870064815834E-2</v>
          </cell>
          <cell r="N323">
            <v>5.1503747659578547E-2</v>
          </cell>
          <cell r="O323">
            <v>5.2837941928339884E-2</v>
          </cell>
        </row>
        <row r="324">
          <cell r="A324" t="str">
            <v>T_B_c-BEVELC-S3</v>
          </cell>
          <cell r="B324" t="str">
            <v>VAR_ncap</v>
          </cell>
          <cell r="C324" t="str">
            <v>-</v>
          </cell>
          <cell r="E324">
            <v>2.0767034841446899E-7</v>
          </cell>
          <cell r="F324">
            <v>3.3255415415920501E-7</v>
          </cell>
          <cell r="G324">
            <v>2.6950234181370101E-4</v>
          </cell>
          <cell r="H324">
            <v>6.3824830877101297E-5</v>
          </cell>
          <cell r="I324">
            <v>2.03612915554214E-4</v>
          </cell>
          <cell r="J324">
            <v>8.5066324939722294E-5</v>
          </cell>
          <cell r="K324">
            <v>1.8368963529465999E-4</v>
          </cell>
          <cell r="L324">
            <v>8.0519026248924901E-5</v>
          </cell>
          <cell r="M324">
            <v>2.2436094646433299E-4</v>
          </cell>
          <cell r="N324">
            <v>6.9028495020268405E-5</v>
          </cell>
          <cell r="O324">
            <v>2.3196824574159299E-4</v>
          </cell>
        </row>
        <row r="325">
          <cell r="A325" t="str">
            <v>T_B_c-BEVELC-S3</v>
          </cell>
          <cell r="B325" t="str">
            <v>VAR_cap</v>
          </cell>
          <cell r="C325" t="str">
            <v>-</v>
          </cell>
          <cell r="D325">
            <v>1.0374495752275202E-6</v>
          </cell>
          <cell r="E325">
            <v>1.394682297895399E-6</v>
          </cell>
          <cell r="F325">
            <v>1.7280992284866041E-6</v>
          </cell>
          <cell r="G325">
            <v>2.7045422271183161E-4</v>
          </cell>
          <cell r="H325">
            <v>2.6759299087054277E-4</v>
          </cell>
          <cell r="I325">
            <v>2.6743774643131599E-4</v>
          </cell>
          <cell r="J325">
            <v>2.6810842151841401E-4</v>
          </cell>
          <cell r="K325">
            <v>2.68755960234382E-4</v>
          </cell>
          <cell r="L325">
            <v>2.7727944926276801E-4</v>
          </cell>
          <cell r="M325">
            <v>2.8548955184153502E-4</v>
          </cell>
          <cell r="N325">
            <v>2.9338944148460199E-4</v>
          </cell>
          <cell r="O325">
            <v>3.00996740761862E-4</v>
          </cell>
        </row>
        <row r="326">
          <cell r="A326" t="str">
            <v>T_B_c-BEVELC-S4</v>
          </cell>
          <cell r="B326" t="str">
            <v>VAR_fout</v>
          </cell>
          <cell r="C326" t="str">
            <v>TPBSc</v>
          </cell>
          <cell r="E326">
            <v>4.4869211187532646E-6</v>
          </cell>
          <cell r="F326">
            <v>7.6462367039341812E-6</v>
          </cell>
          <cell r="G326">
            <v>2.2584266765857271E-6</v>
          </cell>
          <cell r="H326">
            <v>4.8897187578336762E-6</v>
          </cell>
          <cell r="I326">
            <v>1.7619700520540157E-5</v>
          </cell>
          <cell r="J326">
            <v>2.0810649234057712E-5</v>
          </cell>
          <cell r="K326">
            <v>2.9402022354641159E-5</v>
          </cell>
          <cell r="L326">
            <v>3.0060609164785164E-5</v>
          </cell>
          <cell r="M326">
            <v>3.0708337833247859E-5</v>
          </cell>
          <cell r="N326">
            <v>4.3149543762509896E-5</v>
          </cell>
          <cell r="O326">
            <v>5.923474914258903E-5</v>
          </cell>
        </row>
        <row r="327">
          <cell r="A327" t="str">
            <v>T_B_c-BEVELC-S4</v>
          </cell>
          <cell r="B327" t="str">
            <v>VAR_fin</v>
          </cell>
          <cell r="C327" t="str">
            <v>T-ELC-Bus_c_BatSTGout_S4</v>
          </cell>
          <cell r="E327">
            <v>3.5488166091771978E-5</v>
          </cell>
          <cell r="F327">
            <v>5.907019342203648E-5</v>
          </cell>
          <cell r="G327">
            <v>1.590609601898691E-5</v>
          </cell>
          <cell r="H327">
            <v>3.2237734021542288E-5</v>
          </cell>
          <cell r="I327">
            <v>1.1179146060183006E-4</v>
          </cell>
          <cell r="J327">
            <v>1.2589634778514618E-4</v>
          </cell>
          <cell r="K327">
            <v>1.7017575608889543E-4</v>
          </cell>
          <cell r="L327">
            <v>1.7130880675712273E-4</v>
          </cell>
          <cell r="M327">
            <v>1.7500007012069809E-4</v>
          </cell>
          <cell r="N327">
            <v>2.4589976914802988E-4</v>
          </cell>
          <cell r="O327">
            <v>3.3756582039134948E-4</v>
          </cell>
        </row>
        <row r="328">
          <cell r="A328" t="str">
            <v>T_B_c-BEVELC-S4</v>
          </cell>
          <cell r="B328" t="str">
            <v>VAR_ncap</v>
          </cell>
          <cell r="C328" t="str">
            <v>-</v>
          </cell>
          <cell r="E328">
            <v>1.2136068979026401E-7</v>
          </cell>
          <cell r="F328">
            <v>1.07219341198704E-7</v>
          </cell>
          <cell r="G328">
            <v>8.4169390266857005E-8</v>
          </cell>
          <cell r="H328">
            <v>1.4334718777810001E-7</v>
          </cell>
          <cell r="I328">
            <v>2.7961256164814498E-7</v>
          </cell>
          <cell r="J328">
            <v>3.2315578888018302E-7</v>
          </cell>
          <cell r="K328">
            <v>4.2521544598909402E-7</v>
          </cell>
          <cell r="L328">
            <v>4.46405606448679E-7</v>
          </cell>
          <cell r="M328">
            <v>5.5960788797682595E-7</v>
          </cell>
          <cell r="N328">
            <v>6.0375788560307195E-7</v>
          </cell>
          <cell r="O328">
            <v>8.8316839235498704E-7</v>
          </cell>
        </row>
        <row r="329">
          <cell r="A329" t="str">
            <v>T_B_c-BEVELC-S4</v>
          </cell>
          <cell r="B329" t="str">
            <v>VAR_cap</v>
          </cell>
          <cell r="C329" t="str">
            <v>-</v>
          </cell>
          <cell r="E329">
            <v>1.2136068979026401E-7</v>
          </cell>
          <cell r="F329">
            <v>2.2858003098896801E-7</v>
          </cell>
          <cell r="G329">
            <v>1.2713170739083E-7</v>
          </cell>
          <cell r="H329">
            <v>1.6517521581976299E-7</v>
          </cell>
          <cell r="I329">
            <v>3.9568839714955598E-7</v>
          </cell>
          <cell r="J329">
            <v>4.6813797672973199E-7</v>
          </cell>
          <cell r="K329">
            <v>6.4330127779514098E-7</v>
          </cell>
          <cell r="L329">
            <v>6.5617424375881205E-7</v>
          </cell>
          <cell r="M329">
            <v>6.7537626962511203E-7</v>
          </cell>
          <cell r="N329">
            <v>9.3999049450215896E-7</v>
          </cell>
          <cell r="O329">
            <v>1.29062215064129E-6</v>
          </cell>
        </row>
        <row r="330">
          <cell r="A330" t="str">
            <v>T_C-BAT-ELC-S1</v>
          </cell>
          <cell r="B330" t="str">
            <v>VAR_fout</v>
          </cell>
          <cell r="C330" t="str">
            <v>TPCAR</v>
          </cell>
          <cell r="D330">
            <v>1.3917119987185653E-2</v>
          </cell>
          <cell r="E330">
            <v>2.626601104149557E-2</v>
          </cell>
          <cell r="F330">
            <v>2.505620684528681E-2</v>
          </cell>
          <cell r="G330">
            <v>0.95549850501250888</v>
          </cell>
          <cell r="H330">
            <v>1.8853631977545564</v>
          </cell>
          <cell r="I330">
            <v>2.3093729468220285</v>
          </cell>
          <cell r="J330">
            <v>2.407802733288043</v>
          </cell>
          <cell r="K330">
            <v>2.4463025251743069</v>
          </cell>
          <cell r="L330">
            <v>2.4316974184229738</v>
          </cell>
          <cell r="M330">
            <v>2.4284283544802743</v>
          </cell>
          <cell r="N330">
            <v>2.4212949484327217</v>
          </cell>
          <cell r="O330">
            <v>2.4188692285143945</v>
          </cell>
        </row>
        <row r="331">
          <cell r="A331" t="str">
            <v>T_C-BAT-ELC-S1</v>
          </cell>
          <cell r="B331" t="str">
            <v>VAR_fin</v>
          </cell>
          <cell r="C331" t="str">
            <v>T-ELC-car-BatSTGOut_S1</v>
          </cell>
          <cell r="D331">
            <v>7.6819204528783425E-3</v>
          </cell>
          <cell r="E331">
            <v>1.4498215695559034E-2</v>
          </cell>
          <cell r="F331">
            <v>1.3830432446769656E-2</v>
          </cell>
          <cell r="G331">
            <v>0.52741253327618809</v>
          </cell>
          <cell r="H331">
            <v>1.0111351822581274</v>
          </cell>
          <cell r="I331">
            <v>1.2046056325746939</v>
          </cell>
          <cell r="J331">
            <v>1.2002635617383521</v>
          </cell>
          <cell r="K331">
            <v>1.1551475867256127</v>
          </cell>
          <cell r="L331">
            <v>1.0993251565019173</v>
          </cell>
          <cell r="M331">
            <v>1.0438092594186554</v>
          </cell>
          <cell r="N331">
            <v>1.0094138062145639</v>
          </cell>
          <cell r="O331">
            <v>0.99179144271589292</v>
          </cell>
        </row>
        <row r="332">
          <cell r="A332" t="str">
            <v>T_C-BAT-ELC-S1</v>
          </cell>
          <cell r="B332" t="str">
            <v>VAR_ncap</v>
          </cell>
          <cell r="C332" t="str">
            <v>-</v>
          </cell>
          <cell r="D332">
            <v>5.3062428652250903E-5</v>
          </cell>
          <cell r="E332">
            <v>6.2572695105845395E-4</v>
          </cell>
          <cell r="F332">
            <v>1.1041743131724299E-3</v>
          </cell>
          <cell r="G332">
            <v>0.149804975901284</v>
          </cell>
          <cell r="H332">
            <v>0.17334585779061301</v>
          </cell>
          <cell r="I332">
            <v>0.1360389456336</v>
          </cell>
          <cell r="J332">
            <v>0.154234517210975</v>
          </cell>
          <cell r="K332">
            <v>0.16473700066181701</v>
          </cell>
          <cell r="L332">
            <v>0.13402729943389699</v>
          </cell>
          <cell r="M332">
            <v>0.13320406111005201</v>
          </cell>
          <cell r="N332">
            <v>0.129474965582003</v>
          </cell>
          <cell r="O332">
            <v>0.10492497515604</v>
          </cell>
        </row>
        <row r="333">
          <cell r="A333" t="str">
            <v>T_C-BAT-ELC-S1</v>
          </cell>
          <cell r="B333" t="str">
            <v>VAR_cap</v>
          </cell>
          <cell r="C333" t="str">
            <v>-</v>
          </cell>
          <cell r="D333">
            <v>1.5247002673674996E-3</v>
          </cell>
          <cell r="E333">
            <v>2.8101202903711101E-3</v>
          </cell>
          <cell r="F333">
            <v>3.7924455542158965E-3</v>
          </cell>
          <cell r="G333">
            <v>0.14520238602349289</v>
          </cell>
          <cell r="H333">
            <v>0.28651960526634385</v>
          </cell>
          <cell r="I333">
            <v>0.35096208049502886</v>
          </cell>
          <cell r="J333">
            <v>0.36592272572717677</v>
          </cell>
          <cell r="K333">
            <v>0.37177243036020463</v>
          </cell>
          <cell r="L333">
            <v>0.36955248153910858</v>
          </cell>
          <cell r="M333">
            <v>0.36905356197714073</v>
          </cell>
          <cell r="N333">
            <v>0.36796966090835698</v>
          </cell>
          <cell r="O333">
            <v>0.36760389481325095</v>
          </cell>
        </row>
        <row r="334">
          <cell r="A334" t="str">
            <v>D-TNGA</v>
          </cell>
          <cell r="B334" t="str">
            <v>VAR_fout</v>
          </cell>
          <cell r="C334" t="str">
            <v>CO2</v>
          </cell>
          <cell r="D334">
            <v>13.7674585798372</v>
          </cell>
          <cell r="E334">
            <v>8.1089549514801398</v>
          </cell>
          <cell r="F334">
            <v>13.283520268632699</v>
          </cell>
          <cell r="G334">
            <v>0.37215982541199799</v>
          </cell>
          <cell r="H334">
            <v>0.14564039399533599</v>
          </cell>
          <cell r="I334">
            <v>5.5637894274019099E-2</v>
          </cell>
          <cell r="J334">
            <v>0.220880107374781</v>
          </cell>
          <cell r="K334">
            <v>7.4747401203162797E-2</v>
          </cell>
        </row>
        <row r="335">
          <cell r="A335" t="str">
            <v>D-TNGA</v>
          </cell>
          <cell r="B335" t="str">
            <v>VAR_fout</v>
          </cell>
          <cell r="C335" t="str">
            <v>TNGA</v>
          </cell>
          <cell r="D335">
            <v>0.26335203663195994</v>
          </cell>
          <cell r="E335">
            <v>0.16563754798198696</v>
          </cell>
          <cell r="F335">
            <v>0.23971390295712375</v>
          </cell>
          <cell r="G335">
            <v>6.7224929452907442E-3</v>
          </cell>
          <cell r="H335">
            <v>2.7048394240401768E-3</v>
          </cell>
          <cell r="I335">
            <v>2.811808062180681E-3</v>
          </cell>
          <cell r="J335">
            <v>4.0705660262302995E-3</v>
          </cell>
          <cell r="K335">
            <v>2.6795837168055933E-3</v>
          </cell>
        </row>
        <row r="336">
          <cell r="A336" t="str">
            <v>D-TNGA</v>
          </cell>
          <cell r="B336" t="str">
            <v>VAR_fin</v>
          </cell>
          <cell r="C336" t="str">
            <v>NGA</v>
          </cell>
          <cell r="D336">
            <v>0.24410387552902765</v>
          </cell>
          <cell r="E336">
            <v>0.14377579701205923</v>
          </cell>
          <cell r="F336">
            <v>0.23552340901830973</v>
          </cell>
          <cell r="G336">
            <v>6.5985784647517413E-3</v>
          </cell>
          <cell r="H336">
            <v>2.5822764892790085E-3</v>
          </cell>
          <cell r="I336">
            <v>9.8648748712799731E-4</v>
          </cell>
          <cell r="J336">
            <v>3.9163139605457578E-3</v>
          </cell>
          <cell r="K336">
            <v>1.3253085319709715E-3</v>
          </cell>
        </row>
        <row r="337">
          <cell r="A337" t="str">
            <v>D-TNGA</v>
          </cell>
          <cell r="B337" t="str">
            <v>VAR_fin</v>
          </cell>
          <cell r="C337" t="str">
            <v>BNGA</v>
          </cell>
          <cell r="D337">
            <v>2.0088199497292833E-2</v>
          </cell>
          <cell r="E337">
            <v>2.0428344147549928E-2</v>
          </cell>
          <cell r="F337">
            <v>2.8876935998823519E-3</v>
          </cell>
          <cell r="G337">
            <v>1.0736645718118745E-4</v>
          </cell>
          <cell r="H337">
            <v>1.0640026872851563E-4</v>
          </cell>
          <cell r="I337">
            <v>1.7919168280694159E-3</v>
          </cell>
          <cell r="J337">
            <v>1.08493324204319E-4</v>
          </cell>
          <cell r="K337">
            <v>1.3052063400354691E-3</v>
          </cell>
        </row>
        <row r="338">
          <cell r="A338" t="str">
            <v>D-TNGA</v>
          </cell>
          <cell r="B338" t="str">
            <v>VAR_fin</v>
          </cell>
          <cell r="C338" t="str">
            <v>H2</v>
          </cell>
          <cell r="E338">
            <v>1.961697300497237E-3</v>
          </cell>
          <cell r="F338">
            <v>2.0673641999550511E-3</v>
          </cell>
          <cell r="G338">
            <v>3.7827766328107473E-5</v>
          </cell>
          <cell r="H338">
            <v>2.414638316364126E-5</v>
          </cell>
          <cell r="I338">
            <v>4.1941543791965285E-5</v>
          </cell>
          <cell r="J338">
            <v>6.0797844526015961E-5</v>
          </cell>
          <cell r="K338">
            <v>5.9472425074166095E-5</v>
          </cell>
        </row>
        <row r="339">
          <cell r="A339" t="str">
            <v>D-TNGA</v>
          </cell>
          <cell r="B339" t="str">
            <v>VAR_ncap</v>
          </cell>
          <cell r="C339" t="str">
            <v>-</v>
          </cell>
          <cell r="D339">
            <v>5.4700588965006501E-8</v>
          </cell>
          <cell r="E339">
            <v>4.7172746997622501E-8</v>
          </cell>
          <cell r="F339">
            <v>4.9283022516316899E-8</v>
          </cell>
          <cell r="G339">
            <v>5.0198640479038103E-8</v>
          </cell>
          <cell r="H339">
            <v>6.8585953763043997E-8</v>
          </cell>
          <cell r="I339">
            <v>8.9545505459150505E-8</v>
          </cell>
          <cell r="J339">
            <v>1.1581627908054399E-7</v>
          </cell>
          <cell r="K339">
            <v>1.65796507658875E-7</v>
          </cell>
        </row>
        <row r="340">
          <cell r="A340" t="str">
            <v>D-TNGA</v>
          </cell>
          <cell r="B340" t="str">
            <v>VAR_cap</v>
          </cell>
          <cell r="C340" t="str">
            <v>-</v>
          </cell>
          <cell r="D340">
            <v>0.95961774778223297</v>
          </cell>
          <cell r="E340">
            <v>0.95961779495498001</v>
          </cell>
          <cell r="F340">
            <v>0.95961784423800245</v>
          </cell>
          <cell r="G340">
            <v>0.95961789443664303</v>
          </cell>
          <cell r="H340">
            <v>0.95961796302259672</v>
          </cell>
          <cell r="I340">
            <v>0.95961805256810218</v>
          </cell>
          <cell r="J340">
            <v>0.9596181683843813</v>
          </cell>
          <cell r="K340">
            <v>0.3278033940459229</v>
          </cell>
          <cell r="L340">
            <v>6.4109924491959805E-7</v>
          </cell>
          <cell r="M340">
            <v>5.7758032409028595E-7</v>
          </cell>
          <cell r="N340">
            <v>4.8275833390433695E-7</v>
          </cell>
          <cell r="O340">
            <v>4.3974424596161399E-7</v>
          </cell>
        </row>
        <row r="341">
          <cell r="A341" t="str">
            <v>T_C-BAT-ELC-S2</v>
          </cell>
          <cell r="B341" t="str">
            <v>VAR_fout</v>
          </cell>
          <cell r="C341" t="str">
            <v>TPCAR</v>
          </cell>
          <cell r="D341">
            <v>9.6913343876967067E-2</v>
          </cell>
          <cell r="E341">
            <v>0.15107819001744499</v>
          </cell>
          <cell r="F341">
            <v>1.5230151439202271</v>
          </cell>
          <cell r="G341">
            <v>8.487080845248089</v>
          </cell>
          <cell r="H341">
            <v>16.749261962294948</v>
          </cell>
          <cell r="I341">
            <v>18.228975533192745</v>
          </cell>
          <cell r="J341">
            <v>18.216786727679452</v>
          </cell>
          <cell r="K341">
            <v>18.042244303854705</v>
          </cell>
          <cell r="L341">
            <v>17.980196491197134</v>
          </cell>
          <cell r="M341">
            <v>17.92321119404567</v>
          </cell>
          <cell r="N341">
            <v>17.876088895778917</v>
          </cell>
          <cell r="O341">
            <v>17.868454901864766</v>
          </cell>
        </row>
        <row r="342">
          <cell r="A342" t="str">
            <v>T_C-BAT-ELC-S2</v>
          </cell>
          <cell r="B342" t="str">
            <v>VAR_fin</v>
          </cell>
          <cell r="C342" t="str">
            <v>T-ELC-car-BatSTGOut_S2</v>
          </cell>
          <cell r="D342">
            <v>6.6206762266345018E-2</v>
          </cell>
          <cell r="E342">
            <v>0.10320970683678865</v>
          </cell>
          <cell r="F342">
            <v>1.0404542607628915</v>
          </cell>
          <cell r="G342">
            <v>5.7979853070587755</v>
          </cell>
          <cell r="H342">
            <v>11.031889053655481</v>
          </cell>
          <cell r="I342">
            <v>11.75562159964324</v>
          </cell>
          <cell r="J342">
            <v>11.277448648801409</v>
          </cell>
          <cell r="K342">
            <v>10.390235654385144</v>
          </cell>
          <cell r="L342">
            <v>9.9585672899149404</v>
          </cell>
          <cell r="M342">
            <v>9.4417269820958492</v>
          </cell>
          <cell r="N342">
            <v>9.0804552800163769</v>
          </cell>
          <cell r="O342">
            <v>8.9252255285514366</v>
          </cell>
        </row>
        <row r="343">
          <cell r="A343" t="str">
            <v>T_C-BAT-ELC-S2</v>
          </cell>
          <cell r="B343" t="str">
            <v>VAR_ncap</v>
          </cell>
          <cell r="C343" t="str">
            <v>-</v>
          </cell>
          <cell r="D343">
            <v>7.4832309555097096E-5</v>
          </cell>
          <cell r="E343">
            <v>2.00586046201347E-4</v>
          </cell>
          <cell r="F343">
            <v>0.105957177103947</v>
          </cell>
          <cell r="G343">
            <v>0.57275112495040303</v>
          </cell>
          <cell r="H343">
            <v>1.2831272477364599</v>
          </cell>
          <cell r="I343">
            <v>0.55179500115424995</v>
          </cell>
          <cell r="J343">
            <v>0.70727042049399702</v>
          </cell>
          <cell r="K343">
            <v>0.99930737787926205</v>
          </cell>
          <cell r="L343">
            <v>0.61008744867514497</v>
          </cell>
          <cell r="M343">
            <v>0.66270245796646798</v>
          </cell>
          <cell r="N343">
            <v>0.72267946743390199</v>
          </cell>
          <cell r="O343">
            <v>0.499308109386712</v>
          </cell>
        </row>
        <row r="344">
          <cell r="A344" t="str">
            <v>T_C-BAT-ELC-S2</v>
          </cell>
          <cell r="B344" t="str">
            <v>VAR_cap</v>
          </cell>
          <cell r="C344" t="str">
            <v>-</v>
          </cell>
          <cell r="D344">
            <v>7.3618759246863999E-3</v>
          </cell>
          <cell r="E344">
            <v>1.1462982898693349E-2</v>
          </cell>
          <cell r="F344">
            <v>0.11555929633849299</v>
          </cell>
          <cell r="G344">
            <v>0.64394266993405147</v>
          </cell>
          <cell r="H344">
            <v>1.765434426791497</v>
          </cell>
          <cell r="I344">
            <v>1.9226911276033807</v>
          </cell>
          <cell r="J344">
            <v>1.9214194080894853</v>
          </cell>
          <cell r="K344">
            <v>1.9030106502164195</v>
          </cell>
          <cell r="L344">
            <v>1.8964633927867789</v>
          </cell>
          <cell r="M344">
            <v>1.8904517585816056</v>
          </cell>
          <cell r="N344">
            <v>1.8854835432942876</v>
          </cell>
          <cell r="O344">
            <v>1.8846899916878812</v>
          </cell>
        </row>
        <row r="345">
          <cell r="A345" t="str">
            <v>TFLGV-BeVELCExt</v>
          </cell>
          <cell r="B345" t="str">
            <v>VAR_fout</v>
          </cell>
          <cell r="C345" t="str">
            <v>TFLGV</v>
          </cell>
          <cell r="D345">
            <v>2.7911478045089744E-2</v>
          </cell>
          <cell r="E345">
            <v>2.4208645670911022E-2</v>
          </cell>
          <cell r="F345">
            <v>1.8608280975855564E-2</v>
          </cell>
          <cell r="G345">
            <v>9.2576020285963651E-3</v>
          </cell>
        </row>
        <row r="346">
          <cell r="A346" t="str">
            <v>TFLGV-BeVELCExt</v>
          </cell>
          <cell r="B346" t="str">
            <v>VAR_fin</v>
          </cell>
          <cell r="C346" t="str">
            <v>TELC</v>
          </cell>
          <cell r="D346">
            <v>4.0497029238650804E-2</v>
          </cell>
          <cell r="E346">
            <v>3.4800215427705054E-2</v>
          </cell>
          <cell r="F346">
            <v>2.6384178669285632E-2</v>
          </cell>
          <cell r="G346">
            <v>1.3126103710952661E-2</v>
          </cell>
        </row>
        <row r="347">
          <cell r="A347" t="str">
            <v>TFLGV-BeVELCExt</v>
          </cell>
          <cell r="B347" t="str">
            <v>VAR_cap</v>
          </cell>
          <cell r="C347" t="str">
            <v>-</v>
          </cell>
          <cell r="D347">
            <v>1.9499735796309787E-3</v>
          </cell>
          <cell r="E347">
            <v>1.6900000000000001E-3</v>
          </cell>
          <cell r="F347">
            <v>1.2999999999999999E-3</v>
          </cell>
          <cell r="G347">
            <v>6.4999999999999997E-4</v>
          </cell>
        </row>
        <row r="348">
          <cell r="A348" t="str">
            <v>T_C-BAT-ELC-S3</v>
          </cell>
          <cell r="B348" t="str">
            <v>VAR_fout</v>
          </cell>
          <cell r="C348" t="str">
            <v>TPCAR</v>
          </cell>
          <cell r="D348">
            <v>6.1497093663991607E-2</v>
          </cell>
          <cell r="E348">
            <v>0.12721812459205958</v>
          </cell>
          <cell r="F348">
            <v>0.14294615730603846</v>
          </cell>
          <cell r="G348">
            <v>0.12051359253592828</v>
          </cell>
          <cell r="H348">
            <v>0.86592813968723081</v>
          </cell>
          <cell r="I348">
            <v>5.9699991830914731</v>
          </cell>
          <cell r="J348">
            <v>5.319440098209169</v>
          </cell>
          <cell r="K348">
            <v>12.459374818266749</v>
          </cell>
          <cell r="L348">
            <v>14.028692783012589</v>
          </cell>
          <cell r="M348">
            <v>16.955569346651256</v>
          </cell>
          <cell r="N348">
            <v>23.718087416085943</v>
          </cell>
          <cell r="O348">
            <v>19.704308687922037</v>
          </cell>
        </row>
        <row r="349">
          <cell r="A349" t="str">
            <v>T_C-BAT-ELC-S3</v>
          </cell>
          <cell r="B349" t="str">
            <v>VAR_fin</v>
          </cell>
          <cell r="C349" t="str">
            <v>T-ELC-car-BatSTGOut_S3</v>
          </cell>
          <cell r="D349">
            <v>4.5980760671096813E-2</v>
          </cell>
          <cell r="E349">
            <v>9.5119716906530399E-2</v>
          </cell>
          <cell r="F349">
            <v>0.10687940935638822</v>
          </cell>
          <cell r="G349">
            <v>9.0106805474178181E-2</v>
          </cell>
          <cell r="H349">
            <v>0.61580187711824697</v>
          </cell>
          <cell r="I349">
            <v>4.0568682047197333</v>
          </cell>
          <cell r="J349">
            <v>3.5954927227698397</v>
          </cell>
          <cell r="K349">
            <v>7.7980217318685243</v>
          </cell>
          <cell r="L349">
            <v>8.3755731067336416</v>
          </cell>
          <cell r="M349">
            <v>9.66835785078543</v>
          </cell>
          <cell r="N349">
            <v>13.044816785557822</v>
          </cell>
          <cell r="O349">
            <v>10.73823308204058</v>
          </cell>
        </row>
        <row r="350">
          <cell r="A350" t="str">
            <v>T_C-BAT-ELC-S3</v>
          </cell>
          <cell r="B350" t="str">
            <v>VAR_ncap</v>
          </cell>
          <cell r="C350" t="str">
            <v>-</v>
          </cell>
          <cell r="D350">
            <v>5.5205578656000799E-5</v>
          </cell>
          <cell r="E350">
            <v>2.6045468795452098E-3</v>
          </cell>
          <cell r="F350">
            <v>1.44875818700289E-3</v>
          </cell>
          <cell r="G350">
            <v>2.3424041541278301E-4</v>
          </cell>
          <cell r="H350">
            <v>5.84022568583452E-2</v>
          </cell>
          <cell r="I350">
            <v>0.37065469387279099</v>
          </cell>
          <cell r="J350">
            <v>2.9218069733618499E-2</v>
          </cell>
          <cell r="K350">
            <v>0.622128333598434</v>
          </cell>
          <cell r="L350">
            <v>0.38242457436509403</v>
          </cell>
          <cell r="M350">
            <v>0.54903686942311603</v>
          </cell>
          <cell r="N350">
            <v>1.3860179117132601</v>
          </cell>
          <cell r="O350">
            <v>3.68683820308053E-4</v>
          </cell>
        </row>
        <row r="351">
          <cell r="A351" t="str">
            <v>T_C-BAT-ELC-S3</v>
          </cell>
          <cell r="B351" t="str">
            <v>VAR_cap</v>
          </cell>
          <cell r="C351" t="str">
            <v>-</v>
          </cell>
          <cell r="D351">
            <v>4.2763327090302658E-3</v>
          </cell>
          <cell r="E351">
            <v>8.7522391629972201E-3</v>
          </cell>
          <cell r="F351">
            <v>9.84129160998151E-3</v>
          </cell>
          <cell r="G351">
            <v>8.2985558068179397E-3</v>
          </cell>
          <cell r="H351">
            <v>5.9556236901473339E-2</v>
          </cell>
          <cell r="I351">
            <v>0.41049682726577325</v>
          </cell>
          <cell r="J351">
            <v>0.36577219717075815</v>
          </cell>
          <cell r="K351">
            <v>0.85671115183880853</v>
          </cell>
          <cell r="L351">
            <v>0.96460871411662097</v>
          </cell>
          <cell r="M351">
            <v>1.3159927212993578</v>
          </cell>
          <cell r="N351">
            <v>2.2481795929319639</v>
          </cell>
          <cell r="O351">
            <v>1.9354234415187286</v>
          </cell>
        </row>
        <row r="352">
          <cell r="A352" t="str">
            <v>T_C-BAT-ELC-S4</v>
          </cell>
          <cell r="B352" t="str">
            <v>VAR_fout</v>
          </cell>
          <cell r="C352" t="str">
            <v>TPCAR</v>
          </cell>
          <cell r="D352">
            <v>0.19417888883832995</v>
          </cell>
          <cell r="E352">
            <v>1.2651185055552452</v>
          </cell>
          <cell r="F352">
            <v>3.3515037546799724</v>
          </cell>
          <cell r="G352">
            <v>12.69444145493971</v>
          </cell>
          <cell r="H352">
            <v>20.531302817437702</v>
          </cell>
          <cell r="I352">
            <v>22.628615164652576</v>
          </cell>
          <cell r="J352">
            <v>23.195813958387497</v>
          </cell>
          <cell r="K352">
            <v>23.56630171596025</v>
          </cell>
          <cell r="L352">
            <v>22.073637117779477</v>
          </cell>
          <cell r="M352">
            <v>19.207015437311831</v>
          </cell>
          <cell r="N352">
            <v>12.498754161706684</v>
          </cell>
          <cell r="O352">
            <v>17.106780217094407</v>
          </cell>
        </row>
        <row r="353">
          <cell r="A353" t="str">
            <v>T_C-BAT-ELC-S4</v>
          </cell>
          <cell r="B353" t="str">
            <v>VAR_fin</v>
          </cell>
          <cell r="C353" t="str">
            <v>T-ELC-car-BatSTGOut_S4</v>
          </cell>
          <cell r="D353">
            <v>0.1499482230926121</v>
          </cell>
          <cell r="E353">
            <v>0.97694591335071745</v>
          </cell>
          <cell r="F353">
            <v>2.5880879003324395</v>
          </cell>
          <cell r="G353">
            <v>9.8028624569287253</v>
          </cell>
          <cell r="H353">
            <v>15.457382700988093</v>
          </cell>
          <cell r="I353">
            <v>16.444691110403525</v>
          </cell>
          <cell r="J353">
            <v>16.058636479638732</v>
          </cell>
          <cell r="K353">
            <v>15.565754277013783</v>
          </cell>
          <cell r="L353">
            <v>13.966332694512737</v>
          </cell>
          <cell r="M353">
            <v>11.668344816448917</v>
          </cell>
          <cell r="N353">
            <v>7.4366633153202271</v>
          </cell>
          <cell r="O353">
            <v>9.8765047980342988</v>
          </cell>
        </row>
        <row r="354">
          <cell r="A354" t="str">
            <v>T_C-BAT-ELC-S4</v>
          </cell>
          <cell r="B354" t="str">
            <v>VAR_ncap</v>
          </cell>
          <cell r="C354" t="str">
            <v>-</v>
          </cell>
          <cell r="D354">
            <v>1.4995535359443499E-4</v>
          </cell>
          <cell r="E354">
            <v>7.2506258148322997E-2</v>
          </cell>
          <cell r="F354">
            <v>0.171844502234866</v>
          </cell>
          <cell r="G354">
            <v>0.81650601709571602</v>
          </cell>
          <cell r="H354">
            <v>0.87679748521543799</v>
          </cell>
          <cell r="I354">
            <v>0.81006672593680096</v>
          </cell>
          <cell r="J354">
            <v>0.96315614930240401</v>
          </cell>
          <cell r="K354">
            <v>0.98064307101293602</v>
          </cell>
          <cell r="L354">
            <v>0.99391649153065598</v>
          </cell>
          <cell r="M354">
            <v>0.55889090961825905</v>
          </cell>
          <cell r="N354">
            <v>7.6341360205527606E-2</v>
          </cell>
          <cell r="O354">
            <v>1.28902310437725</v>
          </cell>
        </row>
        <row r="355">
          <cell r="A355" t="str">
            <v>T_C-BAT-ELC-S4</v>
          </cell>
          <cell r="B355" t="str">
            <v>VAR_cap</v>
          </cell>
          <cell r="C355" t="str">
            <v>-</v>
          </cell>
          <cell r="D355">
            <v>1.5352730751566523E-2</v>
          </cell>
          <cell r="E355">
            <v>9.9622207685650735E-2</v>
          </cell>
          <cell r="F355">
            <v>0.26392966222510011</v>
          </cell>
          <cell r="G355">
            <v>0.99958587034310831</v>
          </cell>
          <cell r="H355">
            <v>1.6181508930038515</v>
          </cell>
          <cell r="I355">
            <v>1.9366141989520551</v>
          </cell>
          <cell r="J355">
            <v>2.125728573511326</v>
          </cell>
          <cell r="K355">
            <v>2.2509143084150103</v>
          </cell>
          <cell r="L355">
            <v>2.4201325327517895</v>
          </cell>
          <cell r="M355">
            <v>2.158933047440136</v>
          </cell>
          <cell r="N355">
            <v>1.395925819627962</v>
          </cell>
          <cell r="O355">
            <v>1.9242553529910231</v>
          </cell>
        </row>
        <row r="356">
          <cell r="A356" t="str">
            <v>T_B_c-ICENGA-S1</v>
          </cell>
          <cell r="B356" t="str">
            <v>VAR_fout</v>
          </cell>
          <cell r="C356" t="str">
            <v>CO2_T</v>
          </cell>
          <cell r="E356">
            <v>1.2624944031536601E-2</v>
          </cell>
          <cell r="F356">
            <v>0.19883824668329511</v>
          </cell>
          <cell r="G356">
            <v>0.18731214951211189</v>
          </cell>
          <cell r="I356">
            <v>2.3191371359017199E-4</v>
          </cell>
          <cell r="J356">
            <v>8.3121869575498705E-2</v>
          </cell>
          <cell r="K356">
            <v>8.2940007544437006E-2</v>
          </cell>
        </row>
        <row r="357">
          <cell r="A357" t="str">
            <v>T_B_c-ICENGA-S1</v>
          </cell>
          <cell r="B357" t="str">
            <v>VAR_fout</v>
          </cell>
          <cell r="C357" t="str">
            <v>TPBSc</v>
          </cell>
          <cell r="E357">
            <v>2.6914751016227696E-5</v>
          </cell>
          <cell r="F357">
            <v>4.4525356215714495E-4</v>
          </cell>
          <cell r="G357">
            <v>4.2418943082493524E-4</v>
          </cell>
          <cell r="I357">
            <v>6.2875707740884392E-7</v>
          </cell>
          <cell r="J357">
            <v>2.3650502858933023E-4</v>
          </cell>
          <cell r="K357">
            <v>2.3601911229765809E-4</v>
          </cell>
        </row>
        <row r="358">
          <cell r="A358" t="str">
            <v>T_B_c-ICENGA-S1</v>
          </cell>
          <cell r="B358" t="str">
            <v>VAR_fin</v>
          </cell>
          <cell r="C358" t="str">
            <v>TNGA</v>
          </cell>
          <cell r="E358">
            <v>2.2384652538185514E-4</v>
          </cell>
          <cell r="F358">
            <v>3.5255008277180083E-3</v>
          </cell>
          <cell r="G358">
            <v>3.3211374026970164E-3</v>
          </cell>
          <cell r="I358">
            <v>4.1119452764214962E-6</v>
          </cell>
          <cell r="J358">
            <v>1.4737920137499767E-3</v>
          </cell>
          <cell r="K358">
            <v>1.4705675096531373E-3</v>
          </cell>
        </row>
        <row r="359">
          <cell r="A359" t="str">
            <v>T_B_c-ICENGA-S1</v>
          </cell>
          <cell r="B359" t="str">
            <v>VAR_ncap</v>
          </cell>
          <cell r="C359" t="str">
            <v>-</v>
          </cell>
          <cell r="E359">
            <v>7.7273638892111995E-7</v>
          </cell>
          <cell r="F359">
            <v>9.06157728459253E-6</v>
          </cell>
          <cell r="G359">
            <v>1.4201571768686201E-6</v>
          </cell>
          <cell r="H359">
            <v>1.0881821518306599E-8</v>
          </cell>
          <cell r="I359">
            <v>2.73477655892455E-8</v>
          </cell>
          <cell r="J359">
            <v>5.1303796042317501E-6</v>
          </cell>
        </row>
        <row r="360">
          <cell r="A360" t="str">
            <v>T_B_c-ICENGA-S1</v>
          </cell>
          <cell r="B360" t="str">
            <v>VAR_cap</v>
          </cell>
          <cell r="C360" t="str">
            <v>-</v>
          </cell>
          <cell r="E360">
            <v>7.7273638892111995E-7</v>
          </cell>
          <cell r="F360">
            <v>9.8343136735136492E-6</v>
          </cell>
          <cell r="G360">
            <v>1.11520868114078E-5</v>
          </cell>
          <cell r="H360">
            <v>2.5469678117819238E-8</v>
          </cell>
          <cell r="I360">
            <v>4.0501012824689003E-8</v>
          </cell>
          <cell r="J360">
            <v>5.1633697139353396E-6</v>
          </cell>
          <cell r="K360">
            <v>5.1397215254069504E-6</v>
          </cell>
        </row>
        <row r="361">
          <cell r="A361" t="str">
            <v>TFLGV-FCLH2O</v>
          </cell>
          <cell r="B361" t="str">
            <v>VAR_fout</v>
          </cell>
          <cell r="C361" t="str">
            <v>TFLGV</v>
          </cell>
          <cell r="E361">
            <v>2.3647360999178056E-5</v>
          </cell>
          <cell r="F361">
            <v>3.1944669519904765E-5</v>
          </cell>
          <cell r="G361">
            <v>5.2854420181212401E-7</v>
          </cell>
          <cell r="H361">
            <v>4.5420852302072163E-7</v>
          </cell>
          <cell r="I361">
            <v>6.009244136499778E-7</v>
          </cell>
          <cell r="J361">
            <v>5.3579705275602425E-7</v>
          </cell>
          <cell r="K361">
            <v>5.0670116968233211E-7</v>
          </cell>
          <cell r="L361">
            <v>3.4368700676247287E-7</v>
          </cell>
          <cell r="M361">
            <v>8.4745857102323109E-8</v>
          </cell>
          <cell r="N361">
            <v>2.782613293209338E-7</v>
          </cell>
          <cell r="O361">
            <v>1.5622886183868544E-6</v>
          </cell>
        </row>
        <row r="362">
          <cell r="A362" t="str">
            <v>TFLGV-FCLH2O</v>
          </cell>
          <cell r="B362" t="str">
            <v>VAR_fin</v>
          </cell>
          <cell r="C362" t="str">
            <v>TH2O</v>
          </cell>
          <cell r="E362">
            <v>5.084323053042018E-5</v>
          </cell>
          <cell r="F362">
            <v>6.7635568742861602E-5</v>
          </cell>
          <cell r="G362">
            <v>1.0387933395919856E-6</v>
          </cell>
          <cell r="H362">
            <v>8.3547727944033393E-7</v>
          </cell>
          <cell r="I362">
            <v>1.0621230870561949E-6</v>
          </cell>
          <cell r="J362">
            <v>9.1817894318476447E-7</v>
          </cell>
          <cell r="K362">
            <v>8.447760204572577E-7</v>
          </cell>
          <cell r="L362">
            <v>5.6826313473306278E-7</v>
          </cell>
          <cell r="M362">
            <v>1.4012152180628963E-7</v>
          </cell>
          <cell r="N362">
            <v>4.6008621845918649E-7</v>
          </cell>
          <cell r="O362">
            <v>2.58313817564789E-6</v>
          </cell>
        </row>
        <row r="363">
          <cell r="A363" t="str">
            <v>TFLGV-FCLH2O</v>
          </cell>
          <cell r="B363" t="str">
            <v>VAR_ncap</v>
          </cell>
          <cell r="C363" t="str">
            <v>-</v>
          </cell>
          <cell r="E363">
            <v>1.78275432786176E-6</v>
          </cell>
          <cell r="F363">
            <v>8.1124612003314098E-7</v>
          </cell>
          <cell r="G363">
            <v>4.6493154809681899E-8</v>
          </cell>
          <cell r="H363">
            <v>4.8024713123120401E-8</v>
          </cell>
          <cell r="I363">
            <v>5.2756523766793302E-8</v>
          </cell>
          <cell r="J363">
            <v>4.40257740005396E-8</v>
          </cell>
          <cell r="K363">
            <v>4.9463908998509102E-8</v>
          </cell>
          <cell r="L363">
            <v>4.1234261703761901E-8</v>
          </cell>
          <cell r="M363">
            <v>3.9731914599431102E-8</v>
          </cell>
          <cell r="N363">
            <v>4.7747141864730999E-8</v>
          </cell>
          <cell r="O363">
            <v>1.03622078524657E-7</v>
          </cell>
        </row>
        <row r="364">
          <cell r="A364" t="str">
            <v>TFLGV-FCLH2O</v>
          </cell>
          <cell r="B364" t="str">
            <v>VAR_cap</v>
          </cell>
          <cell r="C364" t="str">
            <v>-</v>
          </cell>
          <cell r="E364">
            <v>1.78275432786176E-6</v>
          </cell>
          <cell r="F364">
            <v>2.5940004478949001E-6</v>
          </cell>
          <cell r="G364">
            <v>1.2376622303749006E-7</v>
          </cell>
          <cell r="H364">
            <v>1.1885866876636897E-7</v>
          </cell>
          <cell r="I364">
            <v>1.10544657031678E-7</v>
          </cell>
          <cell r="J364">
            <v>1.2168363960403699E-7</v>
          </cell>
          <cell r="K364">
            <v>1.1151116577425301E-7</v>
          </cell>
          <cell r="L364">
            <v>1.1050143310744301E-7</v>
          </cell>
          <cell r="M364">
            <v>1.0630870334503099E-7</v>
          </cell>
          <cell r="N364">
            <v>9.4782548201382795E-8</v>
          </cell>
          <cell r="O364">
            <v>1.7818281291295099E-7</v>
          </cell>
        </row>
        <row r="365">
          <cell r="A365" t="str">
            <v>T_B_c-ICENGA-S2</v>
          </cell>
          <cell r="B365" t="str">
            <v>VAR_fout</v>
          </cell>
          <cell r="C365" t="str">
            <v>CO2_T</v>
          </cell>
          <cell r="E365">
            <v>5.0652748352853398E-3</v>
          </cell>
          <cell r="F365">
            <v>2.354129325669134E-2</v>
          </cell>
          <cell r="J365">
            <v>4.9081367187627303E-4</v>
          </cell>
          <cell r="K365">
            <v>5.54239382907521E-4</v>
          </cell>
        </row>
        <row r="366">
          <cell r="A366" t="str">
            <v>T_B_c-ICENGA-S2</v>
          </cell>
          <cell r="B366" t="str">
            <v>VAR_fout</v>
          </cell>
          <cell r="C366" t="str">
            <v>TPBSc</v>
          </cell>
          <cell r="E366">
            <v>7.6336634147830438E-6</v>
          </cell>
          <cell r="F366">
            <v>3.6863552629473828E-5</v>
          </cell>
          <cell r="J366">
            <v>9.7431109935872741E-7</v>
          </cell>
          <cell r="K366">
            <v>1.1002170750546161E-6</v>
          </cell>
        </row>
        <row r="367">
          <cell r="A367" t="str">
            <v>T_B_c-ICENGA-S2</v>
          </cell>
          <cell r="B367" t="str">
            <v>VAR_fin</v>
          </cell>
          <cell r="C367" t="str">
            <v>TNGA</v>
          </cell>
          <cell r="E367">
            <v>8.9809837505059139E-5</v>
          </cell>
          <cell r="F367">
            <v>4.1739881660800277E-4</v>
          </cell>
          <cell r="J367">
            <v>8.7023700687282494E-6</v>
          </cell>
          <cell r="K367">
            <v>9.8269394132539248E-6</v>
          </cell>
        </row>
        <row r="368">
          <cell r="A368" t="str">
            <v>T_B_c-ICENGA-S2</v>
          </cell>
          <cell r="B368" t="str">
            <v>VAR_ncap</v>
          </cell>
          <cell r="C368" t="str">
            <v>-</v>
          </cell>
          <cell r="E368">
            <v>2.15785440318471E-7</v>
          </cell>
          <cell r="F368">
            <v>6.3780782644997902E-7</v>
          </cell>
          <cell r="J368">
            <v>3.61025910780299E-8</v>
          </cell>
        </row>
        <row r="369">
          <cell r="A369" t="str">
            <v>T_B_c-ICENGA-S2</v>
          </cell>
          <cell r="B369" t="str">
            <v>VAR_cap</v>
          </cell>
          <cell r="C369" t="str">
            <v>-</v>
          </cell>
          <cell r="E369">
            <v>2.15785440318471E-7</v>
          </cell>
          <cell r="F369">
            <v>8.5359326676844999E-7</v>
          </cell>
          <cell r="G369">
            <v>6.100077737414069E-9</v>
          </cell>
          <cell r="H369">
            <v>1.1549464116559763E-9</v>
          </cell>
          <cell r="J369">
            <v>3.61025910780299E-8</v>
          </cell>
          <cell r="K369">
            <v>3.61025910780299E-8</v>
          </cell>
        </row>
        <row r="370">
          <cell r="A370" t="str">
            <v>T_B_u-ICEDSL-S1</v>
          </cell>
          <cell r="B370" t="str">
            <v>VAR_fout</v>
          </cell>
          <cell r="C370" t="str">
            <v>CO2_T</v>
          </cell>
          <cell r="D370">
            <v>1.9070146349273061E-2</v>
          </cell>
          <cell r="E370">
            <v>14.506699604311418</v>
          </cell>
          <cell r="F370">
            <v>29.529622263525294</v>
          </cell>
          <cell r="G370">
            <v>3.2009275056626E-3</v>
          </cell>
        </row>
        <row r="371">
          <cell r="A371" t="str">
            <v>T_B_u-ICEDSL-S1</v>
          </cell>
          <cell r="B371" t="str">
            <v>VAR_fout</v>
          </cell>
          <cell r="C371" t="str">
            <v>TPBSu</v>
          </cell>
          <cell r="D371">
            <v>3.2239517864087632E-5</v>
          </cell>
          <cell r="E371">
            <v>2.543311669694015E-2</v>
          </cell>
          <cell r="F371">
            <v>5.318541014485411E-2</v>
          </cell>
          <cell r="G371">
            <v>5.4114088906503149E-6</v>
          </cell>
        </row>
        <row r="372">
          <cell r="A372" t="str">
            <v>T_B_u-ICEDSL-S1</v>
          </cell>
          <cell r="B372" t="str">
            <v>VAR_fin</v>
          </cell>
          <cell r="C372" t="str">
            <v>TDSL</v>
          </cell>
          <cell r="D372">
            <v>2.6016570735706748E-4</v>
          </cell>
          <cell r="E372">
            <v>0.19790858941761841</v>
          </cell>
          <cell r="F372">
            <v>0.40285978531412459</v>
          </cell>
          <cell r="G372">
            <v>4.3668860923091405E-5</v>
          </cell>
        </row>
        <row r="373">
          <cell r="A373" t="str">
            <v>T_B_u-ICEDSL-S1</v>
          </cell>
          <cell r="B373" t="str">
            <v>VAR_ncap</v>
          </cell>
          <cell r="C373" t="str">
            <v>-</v>
          </cell>
          <cell r="E373">
            <v>4.7921005250062899E-4</v>
          </cell>
          <cell r="F373">
            <v>5.2339707172943304E-4</v>
          </cell>
        </row>
        <row r="374">
          <cell r="A374" t="str">
            <v>T_B_u-ICEDSL-S1</v>
          </cell>
          <cell r="B374" t="str">
            <v>VAR_cap</v>
          </cell>
          <cell r="C374" t="str">
            <v>-</v>
          </cell>
          <cell r="D374">
            <v>7.0464135021097004E-7</v>
          </cell>
          <cell r="E374">
            <v>4.8004197936420145E-4</v>
          </cell>
          <cell r="F374">
            <v>1.0034390510936324E-3</v>
          </cell>
          <cell r="G374">
            <v>1.2354393838227666E-7</v>
          </cell>
          <cell r="H374">
            <v>5.0926834499693055E-10</v>
          </cell>
        </row>
        <row r="375">
          <cell r="A375" t="str">
            <v>T_B_c-ICENGA-S3</v>
          </cell>
          <cell r="B375" t="str">
            <v>VAR_fout</v>
          </cell>
          <cell r="C375" t="str">
            <v>CO2_T</v>
          </cell>
          <cell r="E375">
            <v>4.1805007080465001E-3</v>
          </cell>
          <cell r="F375">
            <v>1.5592583866956802E-2</v>
          </cell>
        </row>
        <row r="376">
          <cell r="A376" t="str">
            <v>T_B_c-ICENGA-S3</v>
          </cell>
          <cell r="B376" t="str">
            <v>VAR_fout</v>
          </cell>
          <cell r="C376" t="str">
            <v>TPBSc</v>
          </cell>
          <cell r="E376">
            <v>4.1821412922729797E-6</v>
          </cell>
          <cell r="F376">
            <v>1.6158308743066862E-5</v>
          </cell>
        </row>
        <row r="377">
          <cell r="A377" t="str">
            <v>T_B_c-ICENGA-S3</v>
          </cell>
          <cell r="B377" t="str">
            <v>VAR_fin</v>
          </cell>
          <cell r="C377" t="str">
            <v>TNGA</v>
          </cell>
          <cell r="E377">
            <v>7.41223529795479E-5</v>
          </cell>
          <cell r="F377">
            <v>2.7646425296022663E-4</v>
          </cell>
        </row>
        <row r="378">
          <cell r="A378" t="str">
            <v>T_B_c-ICENGA-S3</v>
          </cell>
          <cell r="B378" t="str">
            <v>VAR_ncap</v>
          </cell>
          <cell r="C378" t="str">
            <v>-</v>
          </cell>
          <cell r="E378">
            <v>1.2365657405367899E-7</v>
          </cell>
          <cell r="F378">
            <v>2.6500370064545798E-7</v>
          </cell>
        </row>
        <row r="379">
          <cell r="A379" t="str">
            <v>T_B_c-ICENGA-S3</v>
          </cell>
          <cell r="B379" t="str">
            <v>VAR_cap</v>
          </cell>
          <cell r="C379" t="str">
            <v>-</v>
          </cell>
          <cell r="E379">
            <v>1.2365657405367899E-7</v>
          </cell>
          <cell r="F379">
            <v>3.88660274699137E-7</v>
          </cell>
          <cell r="G379">
            <v>2.1518149596980357E-9</v>
          </cell>
        </row>
        <row r="380">
          <cell r="A380" t="str">
            <v>T_B_u-ICEDSL-S2</v>
          </cell>
          <cell r="B380" t="str">
            <v>VAR_fout</v>
          </cell>
          <cell r="C380" t="str">
            <v>CO2_T</v>
          </cell>
          <cell r="D380">
            <v>8.0307267157520315</v>
          </cell>
          <cell r="E380">
            <v>9.9033424010469666</v>
          </cell>
          <cell r="F380">
            <v>17.360315051667296</v>
          </cell>
        </row>
        <row r="381">
          <cell r="A381" t="str">
            <v>T_B_u-ICEDSL-S2</v>
          </cell>
          <cell r="B381" t="str">
            <v>VAR_fout</v>
          </cell>
          <cell r="C381" t="str">
            <v>TPBSu</v>
          </cell>
          <cell r="D381">
            <v>9.5827328638704769E-3</v>
          </cell>
          <cell r="E381">
            <v>1.1860206646961994E-2</v>
          </cell>
          <cell r="F381">
            <v>2.1539148082160713E-2</v>
          </cell>
        </row>
        <row r="382">
          <cell r="A382" t="str">
            <v>T_B_u-ICEDSL-S2</v>
          </cell>
          <cell r="B382" t="str">
            <v>VAR_fin</v>
          </cell>
          <cell r="C382" t="str">
            <v>TDSL</v>
          </cell>
          <cell r="D382">
            <v>0.10955970962826785</v>
          </cell>
          <cell r="E382">
            <v>0.13510699046448787</v>
          </cell>
          <cell r="F382">
            <v>0.23683922307868099</v>
          </cell>
        </row>
        <row r="383">
          <cell r="A383" t="str">
            <v>T_B_u-ICEDSL-S2</v>
          </cell>
          <cell r="B383" t="str">
            <v>VAR_ncap</v>
          </cell>
          <cell r="C383" t="str">
            <v>-</v>
          </cell>
          <cell r="E383">
            <v>6.98592414025457E-6</v>
          </cell>
          <cell r="F383">
            <v>1.8161505855453499E-4</v>
          </cell>
        </row>
        <row r="384">
          <cell r="A384" t="str">
            <v>T_B_u-ICEDSL-S2</v>
          </cell>
          <cell r="B384" t="str">
            <v>VAR_cap</v>
          </cell>
          <cell r="C384" t="str">
            <v>-</v>
          </cell>
          <cell r="D384">
            <v>1.8461603375527399E-4</v>
          </cell>
          <cell r="E384">
            <v>2.2489774612720559E-4</v>
          </cell>
          <cell r="F384">
            <v>4.0653999040412121E-4</v>
          </cell>
          <cell r="G384">
            <v>7.5931975819856778E-9</v>
          </cell>
          <cell r="H384">
            <v>2.8569416365926753E-9</v>
          </cell>
        </row>
        <row r="385">
          <cell r="A385" t="str">
            <v>T_B_c-ICENGA-S4</v>
          </cell>
          <cell r="B385" t="str">
            <v>VAR_fout</v>
          </cell>
          <cell r="C385" t="str">
            <v>CO2_T</v>
          </cell>
          <cell r="E385">
            <v>1.2291468220812999E-3</v>
          </cell>
          <cell r="F385">
            <v>3.2706781938383897E-3</v>
          </cell>
        </row>
        <row r="386">
          <cell r="A386" t="str">
            <v>T_B_c-ICENGA-S4</v>
          </cell>
          <cell r="B386" t="str">
            <v>VAR_fout</v>
          </cell>
          <cell r="C386" t="str">
            <v>TPBSc</v>
          </cell>
          <cell r="E386">
            <v>8.2137426396136567E-7</v>
          </cell>
          <cell r="F386">
            <v>2.2498349313264764E-6</v>
          </cell>
        </row>
        <row r="387">
          <cell r="A387" t="str">
            <v>T_B_c-ICENGA-S4</v>
          </cell>
          <cell r="B387" t="str">
            <v>VAR_fin</v>
          </cell>
          <cell r="C387" t="str">
            <v>TNGA</v>
          </cell>
          <cell r="E387">
            <v>2.179338337023574E-5</v>
          </cell>
          <cell r="F387">
            <v>5.7990748117702002E-5</v>
          </cell>
        </row>
        <row r="388">
          <cell r="A388" t="str">
            <v>T_B_c-ICENGA-S4</v>
          </cell>
          <cell r="B388" t="str">
            <v>VAR_ncap</v>
          </cell>
          <cell r="C388" t="str">
            <v>-</v>
          </cell>
          <cell r="E388">
            <v>3.8933206836186301E-8</v>
          </cell>
          <cell r="F388">
            <v>5.0101920402693401E-8</v>
          </cell>
        </row>
        <row r="389">
          <cell r="A389" t="str">
            <v>T_B_c-ICENGA-S4</v>
          </cell>
          <cell r="B389" t="str">
            <v>VAR_cap</v>
          </cell>
          <cell r="C389" t="str">
            <v>-</v>
          </cell>
          <cell r="E389">
            <v>3.8933206836186301E-8</v>
          </cell>
          <cell r="F389">
            <v>8.9035127238879703E-8</v>
          </cell>
          <cell r="G389">
            <v>3.7098327806646046E-9</v>
          </cell>
        </row>
        <row r="390">
          <cell r="A390" t="str">
            <v>T_B_u-ICEDSL-S3</v>
          </cell>
          <cell r="B390" t="str">
            <v>VAR_fout</v>
          </cell>
          <cell r="C390" t="str">
            <v>CO2_T</v>
          </cell>
          <cell r="D390">
            <v>45.433365723834996</v>
          </cell>
          <cell r="E390">
            <v>66.980367568415332</v>
          </cell>
          <cell r="F390">
            <v>117.24377499801719</v>
          </cell>
        </row>
        <row r="391">
          <cell r="A391" t="str">
            <v>T_B_u-ICEDSL-S3</v>
          </cell>
          <cell r="B391" t="str">
            <v>VAR_fout</v>
          </cell>
          <cell r="C391" t="str">
            <v>TPBSu</v>
          </cell>
          <cell r="D391">
            <v>3.5918718943198827E-2</v>
          </cell>
          <cell r="E391">
            <v>5.3179039523846297E-2</v>
          </cell>
          <cell r="F391">
            <v>9.6420732050989028E-2</v>
          </cell>
        </row>
        <row r="392">
          <cell r="A392" t="str">
            <v>T_B_u-ICEDSL-S3</v>
          </cell>
          <cell r="B392" t="str">
            <v>VAR_fin</v>
          </cell>
          <cell r="C392" t="str">
            <v>TDSL</v>
          </cell>
          <cell r="D392">
            <v>0.61982763606868907</v>
          </cell>
          <cell r="E392">
            <v>0.91378400502612833</v>
          </cell>
          <cell r="F392">
            <v>1.5995057980629883</v>
          </cell>
        </row>
        <row r="393">
          <cell r="A393" t="str">
            <v>T_B_u-ICEDSL-S3</v>
          </cell>
          <cell r="B393" t="str">
            <v>VAR_ncap</v>
          </cell>
          <cell r="C393" t="str">
            <v>-</v>
          </cell>
          <cell r="E393">
            <v>5.0815631754353299E-5</v>
          </cell>
          <cell r="F393">
            <v>8.1509407476811795E-4</v>
          </cell>
        </row>
        <row r="394">
          <cell r="A394" t="str">
            <v>T_B_u-ICEDSL-S3</v>
          </cell>
          <cell r="B394" t="str">
            <v>VAR_cap</v>
          </cell>
          <cell r="C394" t="str">
            <v>-</v>
          </cell>
          <cell r="D394">
            <v>8.0681434599156102E-4</v>
          </cell>
          <cell r="E394">
            <v>1.0033718905447893E-3</v>
          </cell>
          <cell r="F394">
            <v>1.8184659653129069E-3</v>
          </cell>
          <cell r="G394">
            <v>4.6120115192171962E-10</v>
          </cell>
        </row>
        <row r="395">
          <cell r="A395" t="str">
            <v>T_B_u-ICEDSL-S4</v>
          </cell>
          <cell r="B395" t="str">
            <v>VAR_fout</v>
          </cell>
          <cell r="C395" t="str">
            <v>CO2_T</v>
          </cell>
          <cell r="D395">
            <v>0.29600548533638493</v>
          </cell>
          <cell r="E395">
            <v>2.9761494429163073E-2</v>
          </cell>
          <cell r="F395">
            <v>2.8228100087825482E-2</v>
          </cell>
        </row>
        <row r="396">
          <cell r="A396" t="str">
            <v>T_B_u-ICEDSL-S4</v>
          </cell>
          <cell r="B396" t="str">
            <v>VAR_fout</v>
          </cell>
          <cell r="C396" t="str">
            <v>TPBSu</v>
          </cell>
          <cell r="D396">
            <v>1.5606508157957669E-4</v>
          </cell>
          <cell r="E396">
            <v>1.5785850351524816E-5</v>
          </cell>
          <cell r="F396">
            <v>1.5103063795191522E-5</v>
          </cell>
        </row>
        <row r="397">
          <cell r="A397" t="str">
            <v>T_B_u-ICEDSL-S4</v>
          </cell>
          <cell r="B397" t="str">
            <v>VAR_fin</v>
          </cell>
          <cell r="C397" t="str">
            <v>TDSL</v>
          </cell>
          <cell r="D397">
            <v>4.0382740155032078E-3</v>
          </cell>
          <cell r="E397">
            <v>4.0602311635965985E-4</v>
          </cell>
          <cell r="F397">
            <v>3.8510368469066135E-4</v>
          </cell>
        </row>
        <row r="398">
          <cell r="A398" t="str">
            <v>T_B_u-ICEDSL-S4</v>
          </cell>
          <cell r="B398" t="str">
            <v>VAR_ncap</v>
          </cell>
          <cell r="C398" t="str">
            <v>-</v>
          </cell>
          <cell r="E398">
            <v>4.9291987654191499E-8</v>
          </cell>
          <cell r="F398">
            <v>4.72937616805452E-8</v>
          </cell>
        </row>
        <row r="399">
          <cell r="A399" t="str">
            <v>T_B_u-ICEDSL-S4</v>
          </cell>
          <cell r="B399" t="str">
            <v>VAR_cap</v>
          </cell>
          <cell r="C399" t="str">
            <v>-</v>
          </cell>
          <cell r="D399">
            <v>3.5879350011263691E-6</v>
          </cell>
          <cell r="E399">
            <v>4.5685166926809073E-7</v>
          </cell>
          <cell r="F399">
            <v>4.2457614875260615E-7</v>
          </cell>
          <cell r="G399">
            <v>4.8747679374403711E-9</v>
          </cell>
        </row>
        <row r="400">
          <cell r="A400" t="str">
            <v>D-TBDS1intl</v>
          </cell>
          <cell r="B400" t="str">
            <v>VAR_fout</v>
          </cell>
          <cell r="C400" t="str">
            <v>TKERintl_SAF</v>
          </cell>
          <cell r="G400">
            <v>5.2999195223040996</v>
          </cell>
          <cell r="H400">
            <v>18.511786166520402</v>
          </cell>
          <cell r="I400">
            <v>38.847115281717102</v>
          </cell>
          <cell r="J400">
            <v>68.659109762583398</v>
          </cell>
          <cell r="K400">
            <v>93.853201502470498</v>
          </cell>
          <cell r="L400">
            <v>93.853205917719293</v>
          </cell>
          <cell r="M400">
            <v>94.908951943099595</v>
          </cell>
          <cell r="N400">
            <v>96.620373173771</v>
          </cell>
          <cell r="O400">
            <v>98.328930298749896</v>
          </cell>
        </row>
        <row r="401">
          <cell r="A401" t="str">
            <v>D-TBDS1intl</v>
          </cell>
          <cell r="B401" t="str">
            <v>VAR_fin</v>
          </cell>
          <cell r="C401" t="str">
            <v>BDS1</v>
          </cell>
          <cell r="G401">
            <v>5.2999195223040996</v>
          </cell>
          <cell r="H401">
            <v>18.511786166520402</v>
          </cell>
          <cell r="I401">
            <v>38.847115281717102</v>
          </cell>
          <cell r="J401">
            <v>68.659109762583398</v>
          </cell>
          <cell r="K401">
            <v>93.853201502470498</v>
          </cell>
          <cell r="L401">
            <v>93.853205917719293</v>
          </cell>
          <cell r="M401">
            <v>94.908951943099595</v>
          </cell>
          <cell r="N401">
            <v>96.620373173771</v>
          </cell>
          <cell r="O401">
            <v>98.328930298749896</v>
          </cell>
        </row>
        <row r="402">
          <cell r="A402" t="str">
            <v>T_B_c-ICENGAEXT</v>
          </cell>
          <cell r="B402" t="str">
            <v>VAR_fout</v>
          </cell>
          <cell r="C402" t="str">
            <v>CO2_T</v>
          </cell>
          <cell r="D402">
            <v>7.7338534970140997E-3</v>
          </cell>
          <cell r="E402">
            <v>7.7428678450374598E-3</v>
          </cell>
          <cell r="F402">
            <v>7.6921232954051096E-3</v>
          </cell>
        </row>
        <row r="403">
          <cell r="A403" t="str">
            <v>T_B_c-ICENGAEXT</v>
          </cell>
          <cell r="B403" t="str">
            <v>VAR_fout</v>
          </cell>
          <cell r="C403" t="str">
            <v>TPBSc</v>
          </cell>
          <cell r="D403">
            <v>1.3644285925573274E-3</v>
          </cell>
          <cell r="E403">
            <v>1.0950937886659853E-3</v>
          </cell>
          <cell r="F403">
            <v>6.8419249377800549E-4</v>
          </cell>
        </row>
        <row r="404">
          <cell r="A404" t="str">
            <v>T_B_c-ICENGAEXT</v>
          </cell>
          <cell r="B404" t="str">
            <v>VAR_fin</v>
          </cell>
          <cell r="C404" t="str">
            <v>TNGA</v>
          </cell>
          <cell r="D404">
            <v>1.3712506200379621E-4</v>
          </cell>
          <cell r="E404">
            <v>1.3728489086945847E-4</v>
          </cell>
          <cell r="F404">
            <v>1.3638516481214734E-4</v>
          </cell>
        </row>
        <row r="405">
          <cell r="A405" t="str">
            <v>T_B_c-ICENGAEXT</v>
          </cell>
          <cell r="B405" t="str">
            <v>VAR_cap</v>
          </cell>
          <cell r="C405" t="str">
            <v>-</v>
          </cell>
          <cell r="D405">
            <v>2.9721659981767437E-5</v>
          </cell>
          <cell r="E405">
            <v>2.3778234086242301E-5</v>
          </cell>
          <cell r="F405">
            <v>1.4861396303901497E-5</v>
          </cell>
        </row>
        <row r="406">
          <cell r="A406" t="str">
            <v>T_B_u-ICEDSLEXT</v>
          </cell>
          <cell r="B406" t="str">
            <v>VAR_fout</v>
          </cell>
          <cell r="C406" t="str">
            <v>CO2_T</v>
          </cell>
          <cell r="D406">
            <v>1.27092707585909</v>
          </cell>
          <cell r="E406">
            <v>1.26941579248669</v>
          </cell>
          <cell r="F406">
            <v>1.26443634512894</v>
          </cell>
        </row>
        <row r="407">
          <cell r="A407" t="str">
            <v>T_B_u-ICEDSLEXT</v>
          </cell>
          <cell r="B407" t="str">
            <v>VAR_fout</v>
          </cell>
          <cell r="C407" t="str">
            <v>TPBSu</v>
          </cell>
          <cell r="D407">
            <v>0.24219883403247472</v>
          </cell>
          <cell r="E407">
            <v>0.19378240874949418</v>
          </cell>
          <cell r="F407">
            <v>0.12111282403691284</v>
          </cell>
        </row>
        <row r="408">
          <cell r="A408" t="str">
            <v>T_B_u-ICEDSLEXT</v>
          </cell>
          <cell r="B408" t="str">
            <v>VAR_fin</v>
          </cell>
          <cell r="C408" t="str">
            <v>TDSL</v>
          </cell>
          <cell r="D408">
            <v>1.73387049912564E-2</v>
          </cell>
          <cell r="E408">
            <v>1.731808720991395E-2</v>
          </cell>
          <cell r="F408">
            <v>1.7250154776656711E-2</v>
          </cell>
        </row>
        <row r="409">
          <cell r="A409" t="str">
            <v>T_B_u-ICEDSLEXT</v>
          </cell>
          <cell r="B409" t="str">
            <v>VAR_cap</v>
          </cell>
          <cell r="C409" t="str">
            <v>-</v>
          </cell>
          <cell r="D409">
            <v>4.5678318992730046E-3</v>
          </cell>
          <cell r="E409">
            <v>3.6542689740420198E-3</v>
          </cell>
          <cell r="F409">
            <v>2.2839071968742105E-3</v>
          </cell>
        </row>
        <row r="410">
          <cell r="A410" t="str">
            <v>D-T-ELC-LGV</v>
          </cell>
          <cell r="B410" t="str">
            <v>VAR_fout</v>
          </cell>
          <cell r="C410" t="str">
            <v>T-ELC-LGV_BatSTGin</v>
          </cell>
          <cell r="D410">
            <v>3.5342522963906275E-2</v>
          </cell>
          <cell r="E410">
            <v>7.8306706146106742E-2</v>
          </cell>
          <cell r="F410">
            <v>0.11665639502425029</v>
          </cell>
          <cell r="G410">
            <v>1.6811384448176947</v>
          </cell>
          <cell r="H410">
            <v>4.7441051413489186</v>
          </cell>
          <cell r="I410">
            <v>7.3598210647215314</v>
          </cell>
          <cell r="J410">
            <v>7.6669376994867564</v>
          </cell>
          <cell r="K410">
            <v>7.9743345152756717</v>
          </cell>
          <cell r="L410">
            <v>8.3472886673471329</v>
          </cell>
          <cell r="M410">
            <v>8.8723206287291418</v>
          </cell>
          <cell r="N410">
            <v>9.4542588358571766</v>
          </cell>
          <cell r="O410">
            <v>10.095332069618753</v>
          </cell>
        </row>
        <row r="411">
          <cell r="A411" t="str">
            <v>D-T-ELC-LGV</v>
          </cell>
          <cell r="B411" t="str">
            <v>VAR_fin</v>
          </cell>
          <cell r="C411" t="str">
            <v>TELC</v>
          </cell>
          <cell r="D411">
            <v>3.5342522963906275E-2</v>
          </cell>
          <cell r="E411">
            <v>7.8306706146106742E-2</v>
          </cell>
          <cell r="F411">
            <v>0.11665639502425029</v>
          </cell>
          <cell r="G411">
            <v>1.6811384448176947</v>
          </cell>
          <cell r="H411">
            <v>4.7441051413489186</v>
          </cell>
          <cell r="I411">
            <v>7.3598210647215314</v>
          </cell>
          <cell r="J411">
            <v>7.6669376994867564</v>
          </cell>
          <cell r="K411">
            <v>7.9743345152756717</v>
          </cell>
          <cell r="L411">
            <v>8.3472886673471329</v>
          </cell>
          <cell r="M411">
            <v>8.8723206287291418</v>
          </cell>
          <cell r="N411">
            <v>9.4542588358571766</v>
          </cell>
          <cell r="O411">
            <v>10.095332069618753</v>
          </cell>
        </row>
        <row r="412">
          <cell r="A412" t="str">
            <v>D-T-ELC-LGV</v>
          </cell>
          <cell r="B412" t="str">
            <v>VAR_ncap</v>
          </cell>
          <cell r="C412" t="str">
            <v>-</v>
          </cell>
          <cell r="D412">
            <v>3.7388755503258001E-3</v>
          </cell>
          <cell r="E412">
            <v>4.5391664589590399E-3</v>
          </cell>
          <cell r="F412">
            <v>4.0552441599690896E-3</v>
          </cell>
          <cell r="G412">
            <v>0.16696668938804399</v>
          </cell>
          <cell r="H412">
            <v>0.33240475882012299</v>
          </cell>
          <cell r="I412">
            <v>0.41046104899611302</v>
          </cell>
          <cell r="J412">
            <v>0.22757381437917501</v>
          </cell>
          <cell r="K412">
            <v>0.47509631716045603</v>
          </cell>
          <cell r="L412">
            <v>0.30484155953677899</v>
          </cell>
          <cell r="M412">
            <v>0.38954493451164901</v>
          </cell>
          <cell r="N412">
            <v>0.55577015179505096</v>
          </cell>
          <cell r="O412">
            <v>0.24841205075680201</v>
          </cell>
        </row>
        <row r="413">
          <cell r="A413" t="str">
            <v>D-T-ELC-LGV</v>
          </cell>
          <cell r="B413" t="str">
            <v>VAR_cap</v>
          </cell>
          <cell r="C413" t="str">
            <v>-</v>
          </cell>
          <cell r="D413">
            <v>3.7388755503258001E-3</v>
          </cell>
          <cell r="E413">
            <v>8.2780420092848396E-3</v>
          </cell>
          <cell r="F413">
            <v>1.23332861692539E-2</v>
          </cell>
          <cell r="G413">
            <v>0.177695404312912</v>
          </cell>
          <cell r="H413">
            <v>0.50144912740631498</v>
          </cell>
          <cell r="I413">
            <v>0.777928301313353</v>
          </cell>
          <cell r="J413">
            <v>0.81039038596438795</v>
          </cell>
          <cell r="K413">
            <v>0.84288249194976705</v>
          </cell>
          <cell r="L413">
            <v>0.882303004057435</v>
          </cell>
          <cell r="M413">
            <v>0.93779914599793701</v>
          </cell>
          <cell r="N413">
            <v>0.99930920962175795</v>
          </cell>
          <cell r="O413">
            <v>1.0670716013869901</v>
          </cell>
        </row>
        <row r="414">
          <cell r="A414" t="str">
            <v>T_C-HYBGSLEXT</v>
          </cell>
          <cell r="B414" t="str">
            <v>VAR_fout</v>
          </cell>
          <cell r="C414" t="str">
            <v>CO2_T</v>
          </cell>
          <cell r="D414">
            <v>92.550129026075894</v>
          </cell>
          <cell r="E414">
            <v>91.724477551265693</v>
          </cell>
          <cell r="F414">
            <v>68.278255327634099</v>
          </cell>
          <cell r="G414">
            <v>32.3953566094563</v>
          </cell>
        </row>
        <row r="415">
          <cell r="A415" t="str">
            <v>T_C-HYBGSLEXT</v>
          </cell>
          <cell r="B415" t="str">
            <v>VAR_fout</v>
          </cell>
          <cell r="C415" t="str">
            <v>TPCAR</v>
          </cell>
          <cell r="D415">
            <v>0.61925234515448069</v>
          </cell>
          <cell r="E415">
            <v>0.62769397670226823</v>
          </cell>
          <cell r="F415">
            <v>0.48283967549401535</v>
          </cell>
          <cell r="G415">
            <v>0.24141987884788407</v>
          </cell>
        </row>
        <row r="416">
          <cell r="A416" t="str">
            <v>T_C-HYBGSLEXT</v>
          </cell>
          <cell r="B416" t="str">
            <v>VAR_fin</v>
          </cell>
          <cell r="C416" t="str">
            <v>TGSL</v>
          </cell>
          <cell r="D416">
            <v>1.2540667889712189</v>
          </cell>
          <cell r="E416">
            <v>1.2428790996106456</v>
          </cell>
          <cell r="F416">
            <v>0.92517961148555794</v>
          </cell>
          <cell r="G416">
            <v>0.43896147167284977</v>
          </cell>
        </row>
        <row r="417">
          <cell r="A417" t="str">
            <v>T_C-HYBGSLEXT</v>
          </cell>
          <cell r="B417" t="str">
            <v>VAR_cap</v>
          </cell>
          <cell r="C417" t="str">
            <v>-</v>
          </cell>
          <cell r="D417">
            <v>6.579262720832052E-2</v>
          </cell>
          <cell r="E417">
            <v>5.7063066666666697E-2</v>
          </cell>
          <cell r="F417">
            <v>4.38946666666667E-2</v>
          </cell>
          <cell r="G417">
            <v>2.1947333333333301E-2</v>
          </cell>
        </row>
        <row r="418">
          <cell r="A418" t="str">
            <v>TPAVDKEREXT</v>
          </cell>
          <cell r="B418" t="str">
            <v>VAR_fout</v>
          </cell>
          <cell r="C418" t="str">
            <v>CO2_T</v>
          </cell>
          <cell r="D418">
            <v>79.576349423418094</v>
          </cell>
          <cell r="E418">
            <v>100.796237247683</v>
          </cell>
          <cell r="F418">
            <v>132.626068984081</v>
          </cell>
          <cell r="G418">
            <v>185.675788544743</v>
          </cell>
          <cell r="H418">
            <v>170.02894982493601</v>
          </cell>
          <cell r="I418">
            <v>154.38211110512901</v>
          </cell>
          <cell r="J418">
            <v>138.735272385321</v>
          </cell>
          <cell r="K418">
            <v>123.088433665514</v>
          </cell>
          <cell r="L418">
            <v>109.90751284479499</v>
          </cell>
          <cell r="M418">
            <v>98.138070491291401</v>
          </cell>
          <cell r="N418">
            <v>87.628958480337403</v>
          </cell>
          <cell r="O418">
            <v>78.245214379164594</v>
          </cell>
        </row>
        <row r="419">
          <cell r="A419" t="str">
            <v>TPAVDKEREXT</v>
          </cell>
          <cell r="B419" t="str">
            <v>VAR_fout</v>
          </cell>
          <cell r="C419" t="str">
            <v>TPAVD</v>
          </cell>
          <cell r="D419">
            <v>1.0930817228491501</v>
          </cell>
          <cell r="E419">
            <v>1.3845636984571901</v>
          </cell>
          <cell r="F419">
            <v>1.82178666186924</v>
          </cell>
          <cell r="G419">
            <v>2.5504916008893299</v>
          </cell>
          <cell r="H419">
            <v>2.33556249759528</v>
          </cell>
          <cell r="I419">
            <v>2.1206333943012199</v>
          </cell>
          <cell r="J419">
            <v>1.90570429100716</v>
          </cell>
          <cell r="K419">
            <v>1.6907751877131001</v>
          </cell>
          <cell r="L419">
            <v>1.5097185830329001</v>
          </cell>
          <cell r="M419">
            <v>1.34805041883642</v>
          </cell>
          <cell r="N419">
            <v>1.2036944846200199</v>
          </cell>
          <cell r="O419">
            <v>1.0747969008127001</v>
          </cell>
        </row>
        <row r="420">
          <cell r="A420" t="str">
            <v>TPAVDKEREXT</v>
          </cell>
          <cell r="B420" t="str">
            <v>VAR_fin</v>
          </cell>
          <cell r="C420" t="str">
            <v>TKER</v>
          </cell>
          <cell r="D420">
            <v>1.0930817228491501</v>
          </cell>
          <cell r="E420">
            <v>1.3845636984571901</v>
          </cell>
          <cell r="F420">
            <v>1.82178666186924</v>
          </cell>
          <cell r="G420">
            <v>2.5504916008893299</v>
          </cell>
          <cell r="H420">
            <v>2.33556249759528</v>
          </cell>
          <cell r="I420">
            <v>2.1206333943012199</v>
          </cell>
          <cell r="J420">
            <v>1.90570429100716</v>
          </cell>
          <cell r="K420">
            <v>1.6907751877131001</v>
          </cell>
          <cell r="L420">
            <v>1.5097185830329001</v>
          </cell>
          <cell r="M420">
            <v>1.34805041883642</v>
          </cell>
          <cell r="N420">
            <v>1.2036944846200199</v>
          </cell>
          <cell r="O420">
            <v>1.0747969008127001</v>
          </cell>
        </row>
        <row r="421">
          <cell r="A421" t="str">
            <v>TPAVDKEREXT</v>
          </cell>
          <cell r="B421" t="str">
            <v>VAR_ncap</v>
          </cell>
          <cell r="C421" t="str">
            <v>-</v>
          </cell>
          <cell r="D421">
            <v>1.3745134896225499</v>
          </cell>
          <cell r="E421">
            <v>4.4425808977066801</v>
          </cell>
          <cell r="F421">
            <v>2.6235833701023599</v>
          </cell>
          <cell r="G421">
            <v>1.61540818295141</v>
          </cell>
          <cell r="H421">
            <v>1.7852769336471701</v>
          </cell>
          <cell r="I421">
            <v>1.4864029014951099</v>
          </cell>
          <cell r="J421">
            <v>0.84521467127843297</v>
          </cell>
          <cell r="K421">
            <v>0.96159718817874795</v>
          </cell>
          <cell r="L421">
            <v>0.91001161911349304</v>
          </cell>
          <cell r="M421">
            <v>1.3192385929714801</v>
          </cell>
          <cell r="N421">
            <v>1.1065467602405701</v>
          </cell>
          <cell r="O421">
            <v>0.85057397809659097</v>
          </cell>
        </row>
        <row r="422">
          <cell r="A422" t="str">
            <v>TPAVDKEREXT</v>
          </cell>
          <cell r="B422" t="str">
            <v>VAR_cap</v>
          </cell>
          <cell r="C422" t="str">
            <v>-</v>
          </cell>
          <cell r="D422">
            <v>2.4675952124717</v>
          </cell>
          <cell r="E422">
            <v>6.9101761101783801</v>
          </cell>
          <cell r="F422">
            <v>7.52239529735124</v>
          </cell>
          <cell r="G422">
            <v>6.5551389556681388</v>
          </cell>
          <cell r="H422">
            <v>6.0452338998662789</v>
          </cell>
          <cell r="I422">
            <v>4.6612115387287227</v>
          </cell>
          <cell r="J422">
            <v>2.7525022191725497</v>
          </cell>
          <cell r="K422">
            <v>2.5760580146485004</v>
          </cell>
          <cell r="L422">
            <v>2.1634344664754295</v>
          </cell>
          <cell r="M422">
            <v>2.5191744445420103</v>
          </cell>
          <cell r="N422">
            <v>2.4533629833103197</v>
          </cell>
          <cell r="O422">
            <v>1.9301697765382801</v>
          </cell>
        </row>
        <row r="423">
          <cell r="A423" t="str">
            <v>T_C-ICE-GSL-S1</v>
          </cell>
          <cell r="B423" t="str">
            <v>VAR_fout</v>
          </cell>
          <cell r="C423" t="str">
            <v>CO2_T</v>
          </cell>
          <cell r="D423">
            <v>36.653874917550041</v>
          </cell>
          <cell r="E423">
            <v>40.65387294874855</v>
          </cell>
          <cell r="F423">
            <v>99.767673366517485</v>
          </cell>
          <cell r="G423">
            <v>84.344660565973044</v>
          </cell>
          <cell r="H423">
            <v>45.970863308033564</v>
          </cell>
          <cell r="I423">
            <v>7.2151248210449266</v>
          </cell>
        </row>
        <row r="424">
          <cell r="A424" t="str">
            <v>T_C-ICE-GSL-S1</v>
          </cell>
          <cell r="B424" t="str">
            <v>VAR_fout</v>
          </cell>
          <cell r="C424" t="str">
            <v>TPCAR</v>
          </cell>
          <cell r="D424">
            <v>0.33910774094914653</v>
          </cell>
          <cell r="E424">
            <v>0.37243130080670245</v>
          </cell>
          <cell r="F424">
            <v>0.83961170400663387</v>
          </cell>
          <cell r="G424">
            <v>0.70936774802761982</v>
          </cell>
          <cell r="H424">
            <v>0.373343090207571</v>
          </cell>
          <cell r="I424">
            <v>5.8556182746500277E-2</v>
          </cell>
        </row>
        <row r="425">
          <cell r="A425" t="str">
            <v>T_C-ICE-GSL-S1</v>
          </cell>
          <cell r="B425" t="str">
            <v>VAR_fin</v>
          </cell>
          <cell r="C425" t="str">
            <v>TGSL</v>
          </cell>
          <cell r="D425">
            <v>0.49666497178252084</v>
          </cell>
          <cell r="E425">
            <v>0.5508654871104165</v>
          </cell>
          <cell r="F425">
            <v>1.3518654927712395</v>
          </cell>
          <cell r="G425">
            <v>1.1428815794847305</v>
          </cell>
          <cell r="H425">
            <v>0.62291142693812496</v>
          </cell>
          <cell r="I425">
            <v>9.776591898434879E-2</v>
          </cell>
        </row>
        <row r="426">
          <cell r="A426" t="str">
            <v>T_C-ICE-GSL-S1</v>
          </cell>
          <cell r="B426" t="str">
            <v>VAR_ncap</v>
          </cell>
          <cell r="C426" t="str">
            <v>-</v>
          </cell>
          <cell r="E426">
            <v>3.6481476560342802E-5</v>
          </cell>
          <cell r="F426">
            <v>8.9448333508427402E-2</v>
          </cell>
          <cell r="G426">
            <v>9.5320306476738399E-5</v>
          </cell>
        </row>
        <row r="427">
          <cell r="A427" t="str">
            <v>T_C-ICE-GSL-S1</v>
          </cell>
          <cell r="B427" t="str">
            <v>VAR_cap</v>
          </cell>
          <cell r="C427" t="str">
            <v>-</v>
          </cell>
          <cell r="D427">
            <v>3.6542668979334052E-2</v>
          </cell>
          <cell r="E427">
            <v>3.9793151855044423E-2</v>
          </cell>
          <cell r="F427">
            <v>0.12758448393765717</v>
          </cell>
          <cell r="G427">
            <v>0.10779607390026569</v>
          </cell>
          <cell r="H427">
            <v>5.6732033100024094E-2</v>
          </cell>
          <cell r="I427">
            <v>8.8961712389301444E-3</v>
          </cell>
        </row>
        <row r="428">
          <cell r="A428" t="str">
            <v>V2G</v>
          </cell>
          <cell r="B428" t="str">
            <v>VAR_fout</v>
          </cell>
          <cell r="C428" t="str">
            <v>ELC35</v>
          </cell>
          <cell r="G428">
            <v>0.31392437544536961</v>
          </cell>
          <cell r="H428">
            <v>1.3433063061574295</v>
          </cell>
          <cell r="I428">
            <v>1.1089820123077456</v>
          </cell>
          <cell r="J428">
            <v>1.8585688145943118</v>
          </cell>
          <cell r="K428">
            <v>2.0752315084923629</v>
          </cell>
          <cell r="L428">
            <v>1.2014199764966844</v>
          </cell>
          <cell r="M428">
            <v>1.8186178671383939</v>
          </cell>
          <cell r="N428">
            <v>1.951264681074935</v>
          </cell>
          <cell r="O428">
            <v>2.3487021742984981</v>
          </cell>
        </row>
        <row r="429">
          <cell r="A429" t="str">
            <v>V2G</v>
          </cell>
          <cell r="B429" t="str">
            <v>VAR_fin</v>
          </cell>
          <cell r="C429" t="str">
            <v>T-ELC-Bus_c_BatSTGout_S1</v>
          </cell>
          <cell r="G429">
            <v>1.6290835290642155E-3</v>
          </cell>
          <cell r="H429">
            <v>5.6114490855845179E-3</v>
          </cell>
          <cell r="I429">
            <v>3.7678008018001844E-3</v>
          </cell>
          <cell r="J429">
            <v>3.8126739320413971E-3</v>
          </cell>
          <cell r="K429">
            <v>4.153008707474923E-3</v>
          </cell>
          <cell r="L429">
            <v>3.507585100488075E-3</v>
          </cell>
          <cell r="M429">
            <v>4.6576664689915942E-3</v>
          </cell>
          <cell r="N429">
            <v>3.9547765466505262E-3</v>
          </cell>
          <cell r="O429">
            <v>6.239943761987536E-3</v>
          </cell>
        </row>
        <row r="430">
          <cell r="A430" t="str">
            <v>V2G</v>
          </cell>
          <cell r="B430" t="str">
            <v>VAR_fin</v>
          </cell>
          <cell r="C430" t="str">
            <v>T-ELC-Bus_c_BatSTGout_S2</v>
          </cell>
          <cell r="G430">
            <v>1.6446012083141345E-3</v>
          </cell>
          <cell r="H430">
            <v>4.0595050688325869E-3</v>
          </cell>
          <cell r="I430">
            <v>4.1119062215680801E-3</v>
          </cell>
          <cell r="J430">
            <v>4.0732556314326861E-3</v>
          </cell>
          <cell r="K430">
            <v>5.2967227556412338E-3</v>
          </cell>
          <cell r="L430">
            <v>3.6118767650955221E-3</v>
          </cell>
          <cell r="M430">
            <v>5.0798316443301378E-3</v>
          </cell>
          <cell r="N430">
            <v>4.2169669058467118E-3</v>
          </cell>
          <cell r="O430">
            <v>6.8374056917594765E-3</v>
          </cell>
        </row>
        <row r="431">
          <cell r="A431" t="str">
            <v>V2G</v>
          </cell>
          <cell r="B431" t="str">
            <v>VAR_fin</v>
          </cell>
          <cell r="C431" t="str">
            <v>T-ELC-Bus_c_BatSTGout_S3</v>
          </cell>
          <cell r="G431">
            <v>1.8947432034013315E-3</v>
          </cell>
          <cell r="H431">
            <v>1.5336676022325172E-3</v>
          </cell>
          <cell r="I431">
            <v>2.1155430094034252E-3</v>
          </cell>
          <cell r="J431">
            <v>1.9990814885437269E-3</v>
          </cell>
          <cell r="K431">
            <v>2.6276207862687391E-3</v>
          </cell>
          <cell r="L431">
            <v>2.114229897213439E-3</v>
          </cell>
          <cell r="M431">
            <v>2.7705201656769156E-3</v>
          </cell>
          <cell r="N431">
            <v>2.5131388361761464E-3</v>
          </cell>
          <cell r="O431">
            <v>3.5504231006653168E-3</v>
          </cell>
        </row>
        <row r="432">
          <cell r="A432" t="str">
            <v>V2G</v>
          </cell>
          <cell r="B432" t="str">
            <v>VAR_fin</v>
          </cell>
          <cell r="C432" t="str">
            <v>T-ELC-Bus_c_BatSTGout_S4</v>
          </cell>
          <cell r="G432">
            <v>1.0980291357055706E-5</v>
          </cell>
          <cell r="H432">
            <v>1.9605316731501123E-5</v>
          </cell>
          <cell r="I432">
            <v>2.2498925507718202E-4</v>
          </cell>
          <cell r="J432">
            <v>3.1157718464635485E-4</v>
          </cell>
          <cell r="K432">
            <v>5.1700763769577563E-4</v>
          </cell>
          <cell r="L432">
            <v>5.2164380584047315E-4</v>
          </cell>
          <cell r="M432">
            <v>6.0459608125593709E-4</v>
          </cell>
          <cell r="N432">
            <v>7.3485218992032136E-4</v>
          </cell>
          <cell r="O432">
            <v>1.1183016471962464E-3</v>
          </cell>
        </row>
        <row r="433">
          <cell r="A433" t="str">
            <v>V2G</v>
          </cell>
          <cell r="B433" t="str">
            <v>VAR_fin</v>
          </cell>
          <cell r="C433" t="str">
            <v>T-ELC-car-BatSTGOut_S1</v>
          </cell>
          <cell r="G433">
            <v>5.6034308984590962E-2</v>
          </cell>
          <cell r="H433">
            <v>0.36897787273395244</v>
          </cell>
          <cell r="I433">
            <v>0.43576981302477857</v>
          </cell>
          <cell r="J433">
            <v>0.77962724523359528</v>
          </cell>
          <cell r="K433">
            <v>0.84498146232878746</v>
          </cell>
          <cell r="L433">
            <v>0.36660635764526039</v>
          </cell>
          <cell r="M433">
            <v>0.53959262833017718</v>
          </cell>
          <cell r="N433">
            <v>0.58931480386882895</v>
          </cell>
          <cell r="O433">
            <v>0.6487077104114064</v>
          </cell>
        </row>
        <row r="434">
          <cell r="A434" t="str">
            <v>V2G</v>
          </cell>
          <cell r="B434" t="str">
            <v>VAR_fin</v>
          </cell>
          <cell r="C434" t="str">
            <v>T-ELC-car-BatSTGOut_S2</v>
          </cell>
          <cell r="G434">
            <v>4.3025747264303568E-2</v>
          </cell>
          <cell r="H434">
            <v>0.15777761315948741</v>
          </cell>
          <cell r="I434">
            <v>0.16196627719594858</v>
          </cell>
          <cell r="J434">
            <v>0.22125400023018993</v>
          </cell>
          <cell r="K434">
            <v>0.24385270886284927</v>
          </cell>
          <cell r="L434">
            <v>0.13438297151763012</v>
          </cell>
          <cell r="M434">
            <v>0.23754519379661193</v>
          </cell>
          <cell r="N434">
            <v>0.27794500668282834</v>
          </cell>
          <cell r="O434">
            <v>0.33670921166441514</v>
          </cell>
        </row>
        <row r="435">
          <cell r="A435" t="str">
            <v>V2G</v>
          </cell>
          <cell r="B435" t="str">
            <v>VAR_fin</v>
          </cell>
          <cell r="C435" t="str">
            <v>T-ELC-car-BatSTGOut_S3</v>
          </cell>
          <cell r="G435">
            <v>3.2397051699729854E-2</v>
          </cell>
          <cell r="H435">
            <v>0.3025278060485746</v>
          </cell>
          <cell r="I435">
            <v>0.16344364406792111</v>
          </cell>
          <cell r="J435">
            <v>0.31406431768376064</v>
          </cell>
          <cell r="K435">
            <v>0.24622075767116025</v>
          </cell>
          <cell r="L435">
            <v>0.13058198971802468</v>
          </cell>
          <cell r="M435">
            <v>0.23692221119676898</v>
          </cell>
          <cell r="N435">
            <v>0.27073659525925275</v>
          </cell>
          <cell r="O435">
            <v>0.27652346226960239</v>
          </cell>
        </row>
        <row r="436">
          <cell r="A436" t="str">
            <v>V2G</v>
          </cell>
          <cell r="B436" t="str">
            <v>VAR_fin</v>
          </cell>
          <cell r="C436" t="str">
            <v>T-ELC-car-BatSTGOut_S4</v>
          </cell>
          <cell r="G436">
            <v>4.785669658642016E-2</v>
          </cell>
          <cell r="H436">
            <v>0.16072095438895712</v>
          </cell>
          <cell r="I436">
            <v>0.15921639904854151</v>
          </cell>
          <cell r="J436">
            <v>0.21108492604959483</v>
          </cell>
          <cell r="K436">
            <v>0.22915804368905371</v>
          </cell>
          <cell r="L436">
            <v>0.12983704799363796</v>
          </cell>
          <cell r="M436">
            <v>0.23040653514264287</v>
          </cell>
          <cell r="N436">
            <v>0.28713215356936644</v>
          </cell>
          <cell r="O436">
            <v>0.32925711139498631</v>
          </cell>
        </row>
        <row r="437">
          <cell r="A437" t="str">
            <v>V2G</v>
          </cell>
          <cell r="B437" t="str">
            <v>VAR_fin</v>
          </cell>
          <cell r="C437" t="str">
            <v>T-ELC-car-PlgSTGOut_S1</v>
          </cell>
          <cell r="G437">
            <v>3.9201629267547855E-4</v>
          </cell>
          <cell r="H437">
            <v>7.9724875877148203E-4</v>
          </cell>
          <cell r="I437">
            <v>6.1212286393083387E-4</v>
          </cell>
          <cell r="J437">
            <v>1.5118446931671053E-3</v>
          </cell>
          <cell r="K437">
            <v>1.5418522790816634E-3</v>
          </cell>
          <cell r="L437">
            <v>7.2474974459926832E-3</v>
          </cell>
          <cell r="M437">
            <v>8.7496237364169619E-3</v>
          </cell>
          <cell r="N437">
            <v>7.4733575695598116E-3</v>
          </cell>
          <cell r="O437">
            <v>5.9380523814603244E-3</v>
          </cell>
        </row>
        <row r="438">
          <cell r="A438" t="str">
            <v>V2G</v>
          </cell>
          <cell r="B438" t="str">
            <v>VAR_fin</v>
          </cell>
          <cell r="C438" t="str">
            <v>T-ELC-car-PlgSTGOut_S2</v>
          </cell>
          <cell r="G438">
            <v>1.2599593165037653E-4</v>
          </cell>
          <cell r="H438">
            <v>5.1663843481002429E-4</v>
          </cell>
          <cell r="I438">
            <v>1.8492142514224227E-3</v>
          </cell>
          <cell r="J438">
            <v>1.5678361291863981E-3</v>
          </cell>
          <cell r="K438">
            <v>3.5020986098591197E-3</v>
          </cell>
          <cell r="L438">
            <v>2.7824063255711346E-3</v>
          </cell>
          <cell r="M438">
            <v>4.7231394027301898E-3</v>
          </cell>
          <cell r="N438">
            <v>5.2035602953601125E-3</v>
          </cell>
          <cell r="O438">
            <v>8.1469674508857504E-3</v>
          </cell>
        </row>
        <row r="439">
          <cell r="A439" t="str">
            <v>V2G</v>
          </cell>
          <cell r="B439" t="str">
            <v>VAR_fin</v>
          </cell>
          <cell r="C439" t="str">
            <v>T-ELC-car-PlgSTGOut_S3</v>
          </cell>
          <cell r="G439">
            <v>0.11761445321522855</v>
          </cell>
          <cell r="H439">
            <v>0.28957509724214348</v>
          </cell>
          <cell r="I439">
            <v>0.10795314394187262</v>
          </cell>
          <cell r="J439">
            <v>0.24432621971220342</v>
          </cell>
          <cell r="K439">
            <v>0.37136388953740435</v>
          </cell>
          <cell r="L439">
            <v>0.13428306932187775</v>
          </cell>
          <cell r="M439">
            <v>7.0168836485250364E-3</v>
          </cell>
          <cell r="N439">
            <v>6.3325172518192323E-3</v>
          </cell>
          <cell r="O439">
            <v>3.9081154590455925E-3</v>
          </cell>
        </row>
        <row r="440">
          <cell r="A440" t="str">
            <v>V2G</v>
          </cell>
          <cell r="B440" t="str">
            <v>VAR_fin</v>
          </cell>
          <cell r="C440" t="str">
            <v>T-ELC-TWSTGout_S1</v>
          </cell>
          <cell r="G440">
            <v>1.686257045143149E-3</v>
          </cell>
          <cell r="H440">
            <v>3.3214192035881372E-3</v>
          </cell>
          <cell r="I440">
            <v>2.8156290015239429E-3</v>
          </cell>
          <cell r="J440">
            <v>1.8889616161996746E-3</v>
          </cell>
          <cell r="K440">
            <v>3.2670237058298633E-3</v>
          </cell>
          <cell r="L440">
            <v>1.6948292441447254E-3</v>
          </cell>
          <cell r="M440">
            <v>3.9032227904742911E-3</v>
          </cell>
          <cell r="N440">
            <v>2.9142287100169238E-3</v>
          </cell>
          <cell r="O440">
            <v>7.4996561833360039E-3</v>
          </cell>
        </row>
        <row r="441">
          <cell r="A441" t="str">
            <v>V2G</v>
          </cell>
          <cell r="B441" t="str">
            <v>VAR_fin</v>
          </cell>
          <cell r="C441" t="str">
            <v>T-ELC-car-PlgSTGOut_S4</v>
          </cell>
          <cell r="G441">
            <v>1.0371597189495925E-4</v>
          </cell>
          <cell r="H441">
            <v>1.0171101111628095E-3</v>
          </cell>
          <cell r="I441">
            <v>5.1258216821053609E-3</v>
          </cell>
          <cell r="J441">
            <v>7.7223546242379633E-3</v>
          </cell>
          <cell r="K441">
            <v>7.3539629783358094E-3</v>
          </cell>
          <cell r="L441">
            <v>0.21471553320379705</v>
          </cell>
          <cell r="M441">
            <v>0.40594208307950375</v>
          </cell>
          <cell r="N441">
            <v>0.38002186022052326</v>
          </cell>
          <cell r="O441">
            <v>0.50126867278421883</v>
          </cell>
        </row>
        <row r="442">
          <cell r="A442" t="str">
            <v>V2G</v>
          </cell>
          <cell r="B442" t="str">
            <v>VAR_fin</v>
          </cell>
          <cell r="C442" t="str">
            <v>T-ELC-TWSTGout_S2</v>
          </cell>
          <cell r="G442">
            <v>2.2903850162600873E-3</v>
          </cell>
          <cell r="H442">
            <v>3.9428085651843081E-3</v>
          </cell>
          <cell r="I442">
            <v>3.6393034126701554E-3</v>
          </cell>
          <cell r="J442">
            <v>3.4919559215635509E-3</v>
          </cell>
          <cell r="K442">
            <v>6.9731281644885923E-3</v>
          </cell>
          <cell r="L442">
            <v>6.1091322260960635E-3</v>
          </cell>
          <cell r="M442">
            <v>1.0126612115759102E-2</v>
          </cell>
          <cell r="N442">
            <v>7.8278452668888322E-3</v>
          </cell>
          <cell r="O442">
            <v>1.6908226834028921E-2</v>
          </cell>
        </row>
        <row r="443">
          <cell r="A443" t="str">
            <v>V2G</v>
          </cell>
          <cell r="B443" t="str">
            <v>VAR_fin</v>
          </cell>
          <cell r="C443" t="str">
            <v>T-ELC-TWSTGout_S3</v>
          </cell>
          <cell r="G443">
            <v>2.7939143458355969E-3</v>
          </cell>
          <cell r="H443">
            <v>6.4773998279173172E-3</v>
          </cell>
          <cell r="I443">
            <v>6.1443071103504682E-3</v>
          </cell>
          <cell r="J443">
            <v>5.3930800287663276E-3</v>
          </cell>
          <cell r="K443">
            <v>1.1415768757277888E-2</v>
          </cell>
          <cell r="L443">
            <v>8.8806373670604361E-3</v>
          </cell>
          <cell r="M443">
            <v>1.2944114484055955E-2</v>
          </cell>
          <cell r="N443">
            <v>1.2671167192744869E-2</v>
          </cell>
          <cell r="O443">
            <v>2.4104410289332339E-2</v>
          </cell>
        </row>
        <row r="444">
          <cell r="A444" t="str">
            <v>V2G</v>
          </cell>
          <cell r="B444" t="str">
            <v>VAR_fin</v>
          </cell>
          <cell r="C444" t="str">
            <v>T-ELC-TWSTGout_S4</v>
          </cell>
          <cell r="G444">
            <v>3.3170084899634984E-3</v>
          </cell>
          <cell r="H444">
            <v>6.7085346798472058E-3</v>
          </cell>
          <cell r="I444">
            <v>7.0803095020672748E-3</v>
          </cell>
          <cell r="J444">
            <v>7.4849074163113524E-3</v>
          </cell>
          <cell r="K444">
            <v>1.366257725414065E-2</v>
          </cell>
          <cell r="L444">
            <v>1.1077114209081076E-2</v>
          </cell>
          <cell r="M444">
            <v>1.6976156350997501E-2</v>
          </cell>
          <cell r="N444">
            <v>1.6427193331719776E-2</v>
          </cell>
          <cell r="O444">
            <v>3.1522095912442497E-2</v>
          </cell>
        </row>
        <row r="445">
          <cell r="A445" t="str">
            <v>V2G</v>
          </cell>
          <cell r="B445" t="str">
            <v>VAR_fin</v>
          </cell>
          <cell r="C445" t="str">
            <v>T-ELC-Bus_u_BatSTGout_S1</v>
          </cell>
          <cell r="G445">
            <v>8.7425734693526242E-5</v>
          </cell>
          <cell r="H445">
            <v>1.4902762256294356E-4</v>
          </cell>
          <cell r="I445">
            <v>1.3583611429262288E-4</v>
          </cell>
          <cell r="J445">
            <v>1.7071844344141677E-4</v>
          </cell>
          <cell r="K445">
            <v>3.983842085439891E-4</v>
          </cell>
          <cell r="L445">
            <v>2.5991684149983873E-4</v>
          </cell>
          <cell r="M445">
            <v>5.4737713780456945E-4</v>
          </cell>
          <cell r="N445">
            <v>3.9463092789947609E-4</v>
          </cell>
          <cell r="O445">
            <v>9.9497855373081737E-4</v>
          </cell>
        </row>
        <row r="446">
          <cell r="A446" t="str">
            <v>V2G</v>
          </cell>
          <cell r="B446" t="str">
            <v>VAR_fin</v>
          </cell>
          <cell r="C446" t="str">
            <v>T-ELC-Bus_u_BatSTGout_S2</v>
          </cell>
          <cell r="G446">
            <v>7.057356862461181E-5</v>
          </cell>
          <cell r="H446">
            <v>1.3167843416816917E-4</v>
          </cell>
          <cell r="I446">
            <v>1.195663451720919E-4</v>
          </cell>
          <cell r="J446">
            <v>1.54000113689864E-4</v>
          </cell>
          <cell r="K446">
            <v>3.6554038053804723E-4</v>
          </cell>
          <cell r="L446">
            <v>2.4578809389829505E-4</v>
          </cell>
          <cell r="M446">
            <v>5.1906182946239907E-4</v>
          </cell>
          <cell r="N446">
            <v>3.7594525460960074E-4</v>
          </cell>
          <cell r="O446">
            <v>9.5667144573129289E-4</v>
          </cell>
        </row>
        <row r="447">
          <cell r="A447" t="str">
            <v>V2G</v>
          </cell>
          <cell r="B447" t="str">
            <v>VAR_fin</v>
          </cell>
          <cell r="C447" t="str">
            <v>T-ELC-Bus_u_BatSTGout_S3</v>
          </cell>
          <cell r="G447">
            <v>3.7655862439441183E-5</v>
          </cell>
          <cell r="H447">
            <v>6.025084240060465E-5</v>
          </cell>
          <cell r="I447">
            <v>6.066755555810771E-5</v>
          </cell>
          <cell r="J447">
            <v>8.1396140291962771E-5</v>
          </cell>
          <cell r="K447">
            <v>1.8460419985497691E-4</v>
          </cell>
          <cell r="L447">
            <v>1.2154092261578438E-4</v>
          </cell>
          <cell r="M447">
            <v>2.0539690860271306E-4</v>
          </cell>
          <cell r="N447">
            <v>1.6800794620390466E-4</v>
          </cell>
          <cell r="O447">
            <v>3.6980155313412157E-4</v>
          </cell>
        </row>
        <row r="448">
          <cell r="A448" t="str">
            <v>V2G</v>
          </cell>
          <cell r="B448" t="str">
            <v>VAR_fin</v>
          </cell>
          <cell r="C448" t="str">
            <v>T-ELC-Bus_u_BatSTGout_S4</v>
          </cell>
          <cell r="G448">
            <v>8.7960716743532694E-5</v>
          </cell>
          <cell r="H448">
            <v>3.8780744395706442E-3</v>
          </cell>
          <cell r="I448">
            <v>1.6789025935817984E-4</v>
          </cell>
          <cell r="J448">
            <v>1.8736638944518507E-4</v>
          </cell>
          <cell r="K448">
            <v>4.2764261321632678E-4</v>
          </cell>
          <cell r="L448">
            <v>3.0754497439587213E-4</v>
          </cell>
          <cell r="M448">
            <v>4.2281769591729273E-4</v>
          </cell>
          <cell r="N448">
            <v>4.324619274187003E-4</v>
          </cell>
          <cell r="O448">
            <v>7.6857924581928141E-4</v>
          </cell>
        </row>
        <row r="449">
          <cell r="A449" t="str">
            <v>V2G</v>
          </cell>
          <cell r="B449" t="str">
            <v>VAR_fin</v>
          </cell>
          <cell r="C449" t="str">
            <v>T-ELC-LGV_BatSTGout</v>
          </cell>
          <cell r="G449">
            <v>4.2045904280145079E-4</v>
          </cell>
          <cell r="H449">
            <v>5.096093746167319E-4</v>
          </cell>
          <cell r="I449">
            <v>4.2150486691926007E-4</v>
          </cell>
          <cell r="J449">
            <v>4.4222284431346868E-4</v>
          </cell>
          <cell r="K449">
            <v>9.3810316470591267E-4</v>
          </cell>
          <cell r="L449">
            <v>5.1627713269625361E-4</v>
          </cell>
          <cell r="M449">
            <v>1.1022625828244548E-3</v>
          </cell>
          <cell r="N449">
            <v>8.0422683032561817E-4</v>
          </cell>
          <cell r="O449">
            <v>1.869399164398396E-3</v>
          </cell>
        </row>
        <row r="450">
          <cell r="A450" t="str">
            <v>V2G</v>
          </cell>
          <cell r="B450" t="str">
            <v>VAR_fin</v>
          </cell>
          <cell r="C450" t="str">
            <v>T-ELC-HGV_BatSTGout</v>
          </cell>
          <cell r="G450">
            <v>4.1977463388807206E-4</v>
          </cell>
          <cell r="H450">
            <v>2.5010640522842846E-2</v>
          </cell>
          <cell r="I450">
            <v>4.2259747706980037E-2</v>
          </cell>
          <cell r="J450">
            <v>4.7939673591810901E-2</v>
          </cell>
          <cell r="K450">
            <v>7.7061683907103606E-2</v>
          </cell>
          <cell r="L450">
            <v>4.2039535041574108E-2</v>
          </cell>
          <cell r="M450">
            <v>8.7900424491985235E-2</v>
          </cell>
          <cell r="N450">
            <v>7.3697812157031389E-2</v>
          </cell>
          <cell r="O450">
            <v>0.13554526713579718</v>
          </cell>
        </row>
        <row r="451">
          <cell r="A451" t="str">
            <v>V2G</v>
          </cell>
          <cell r="B451" t="str">
            <v>VAR_ncap</v>
          </cell>
          <cell r="C451" t="str">
            <v>-</v>
          </cell>
          <cell r="G451">
            <v>0.10499016997317</v>
          </cell>
          <cell r="H451">
            <v>1.13300767486298</v>
          </cell>
          <cell r="I451">
            <v>1.2887931049635799</v>
          </cell>
          <cell r="J451">
            <v>1.3751743201459601</v>
          </cell>
          <cell r="K451">
            <v>1.1003737501086399</v>
          </cell>
          <cell r="L451">
            <v>0.24276564541510601</v>
          </cell>
          <cell r="M451">
            <v>0.42163858241108598</v>
          </cell>
          <cell r="N451">
            <v>1.1026735493666</v>
          </cell>
          <cell r="O451">
            <v>0.47181537853348698</v>
          </cell>
        </row>
        <row r="452">
          <cell r="A452" t="str">
            <v>V2G</v>
          </cell>
          <cell r="B452" t="str">
            <v>VAR_cap</v>
          </cell>
          <cell r="C452" t="str">
            <v>-</v>
          </cell>
          <cell r="G452">
            <v>0.10499016997317</v>
          </cell>
          <cell r="H452">
            <v>1.23799568773674</v>
          </cell>
          <cell r="I452">
            <v>2.5068093276142576</v>
          </cell>
          <cell r="J452">
            <v>3.7969676721246155</v>
          </cell>
          <cell r="K452">
            <v>3.7643286077457407</v>
          </cell>
          <cell r="L452">
            <v>2.7341232503774342</v>
          </cell>
          <cell r="M452">
            <v>1.7647644571007945</v>
          </cell>
          <cell r="N452">
            <v>1.884997572555468</v>
          </cell>
          <cell r="O452">
            <v>1.9961124567963753</v>
          </cell>
        </row>
        <row r="453">
          <cell r="A453" t="str">
            <v>TPSHPELCEXT</v>
          </cell>
          <cell r="B453" t="str">
            <v>VAR_fout</v>
          </cell>
          <cell r="C453" t="str">
            <v>TPSHP</v>
          </cell>
          <cell r="E453">
            <v>1.15986356716121E-5</v>
          </cell>
          <cell r="F453">
            <v>1.7465493134060499E-5</v>
          </cell>
          <cell r="G453">
            <v>1.05186633379772E-4</v>
          </cell>
          <cell r="H453">
            <v>0.53302456895801298</v>
          </cell>
          <cell r="I453">
            <v>4.6816716704121601</v>
          </cell>
          <cell r="J453">
            <v>11.338432267010999</v>
          </cell>
          <cell r="K453">
            <v>14.130015479872201</v>
          </cell>
          <cell r="L453">
            <v>14.130029832453101</v>
          </cell>
          <cell r="M453">
            <v>14.1300607263491</v>
          </cell>
          <cell r="N453">
            <v>14.1300470134781</v>
          </cell>
          <cell r="O453">
            <v>14.130048390642999</v>
          </cell>
        </row>
        <row r="454">
          <cell r="A454" t="str">
            <v>TPSHPELCEXT</v>
          </cell>
          <cell r="B454" t="str">
            <v>VAR_fin</v>
          </cell>
          <cell r="C454" t="str">
            <v>TELC</v>
          </cell>
          <cell r="E454">
            <v>4.7007686422392507E-6</v>
          </cell>
          <cell r="F454">
            <v>7.0785258516896948E-6</v>
          </cell>
          <cell r="G454">
            <v>4.2630706039379132E-5</v>
          </cell>
          <cell r="H454">
            <v>0.21602757860853419</v>
          </cell>
          <cell r="I454">
            <v>1.8974175932947872</v>
          </cell>
          <cell r="J454">
            <v>4.5953117557929728</v>
          </cell>
          <cell r="K454">
            <v>5.7267023090230786</v>
          </cell>
          <cell r="L454">
            <v>5.7267081259281243</v>
          </cell>
          <cell r="M454">
            <v>5.7267206468022689</v>
          </cell>
          <cell r="N454">
            <v>5.7267150891629228</v>
          </cell>
          <cell r="O454">
            <v>5.7267156473090415</v>
          </cell>
        </row>
        <row r="455">
          <cell r="A455" t="str">
            <v>TPSHPELCEXT</v>
          </cell>
          <cell r="B455" t="str">
            <v>VAR_ncap</v>
          </cell>
          <cell r="C455" t="str">
            <v>-</v>
          </cell>
          <cell r="D455">
            <v>3.1673155934926698E-6</v>
          </cell>
          <cell r="E455">
            <v>9.4113394603369306E-6</v>
          </cell>
          <cell r="F455">
            <v>6.1749452897548099E-6</v>
          </cell>
          <cell r="G455">
            <v>8.8779808762210602E-5</v>
          </cell>
          <cell r="H455">
            <v>0.53292325307473298</v>
          </cell>
          <cell r="I455">
            <v>4.1486227082011604</v>
          </cell>
          <cell r="J455">
            <v>6.65682181598899</v>
          </cell>
          <cell r="K455">
            <v>2.7916550782204999</v>
          </cell>
          <cell r="L455">
            <v>0.92082089197748895</v>
          </cell>
          <cell r="M455">
            <v>3.76074154529914</v>
          </cell>
          <cell r="N455">
            <v>6.6568275979794</v>
          </cell>
          <cell r="O455">
            <v>2.7916656603902799</v>
          </cell>
        </row>
        <row r="456">
          <cell r="A456" t="str">
            <v>TPSHPELCEXT</v>
          </cell>
          <cell r="B456" t="str">
            <v>VAR_cap</v>
          </cell>
          <cell r="C456" t="str">
            <v>-</v>
          </cell>
          <cell r="D456">
            <v>3.1673155934926698E-6</v>
          </cell>
          <cell r="E456">
            <v>1.2205608955282412E-5</v>
          </cell>
          <cell r="F456">
            <v>1.738777674006753E-5</v>
          </cell>
          <cell r="G456">
            <v>1.0488546943853795E-4</v>
          </cell>
          <cell r="H456">
            <v>0.5330248970314122</v>
          </cell>
          <cell r="I456">
            <v>4.6816395746332162</v>
          </cell>
          <cell r="J456">
            <v>11.338423236247108</v>
          </cell>
          <cell r="K456">
            <v>14.130012811666852</v>
          </cell>
          <cell r="L456">
            <v>14.130008172264663</v>
          </cell>
          <cell r="M456">
            <v>14.130022156867861</v>
          </cell>
          <cell r="N456">
            <v>14.130026821480751</v>
          </cell>
          <cell r="O456">
            <v>14.130035390199678</v>
          </cell>
        </row>
        <row r="457">
          <cell r="A457" t="str">
            <v>TFLGV-ICEGSL</v>
          </cell>
          <cell r="B457" t="str">
            <v>VAR_fout</v>
          </cell>
          <cell r="C457" t="str">
            <v>CO2_T</v>
          </cell>
          <cell r="D457">
            <v>26.681364396577191</v>
          </cell>
          <cell r="E457">
            <v>42.593679981712874</v>
          </cell>
          <cell r="F457">
            <v>57.071720892783404</v>
          </cell>
          <cell r="G457">
            <v>100.51024049891217</v>
          </cell>
          <cell r="H457">
            <v>71.786422884332495</v>
          </cell>
          <cell r="I457">
            <v>8.9431958050777294E-3</v>
          </cell>
        </row>
        <row r="458">
          <cell r="A458" t="str">
            <v>TFLGV-ICEGSL</v>
          </cell>
          <cell r="B458" t="str">
            <v>VAR_fout</v>
          </cell>
          <cell r="C458" t="str">
            <v>TFLGV</v>
          </cell>
          <cell r="D458">
            <v>0.12698218521420881</v>
          </cell>
          <cell r="E458">
            <v>0.20271221816101895</v>
          </cell>
          <cell r="F458">
            <v>0.27161623840461224</v>
          </cell>
          <cell r="G458">
            <v>0.47834922477183511</v>
          </cell>
          <cell r="H458">
            <v>0.34164657815374749</v>
          </cell>
          <cell r="I458">
            <v>4.2562536504804785E-5</v>
          </cell>
        </row>
        <row r="459">
          <cell r="A459" t="str">
            <v>TFLGV-ICEGSL</v>
          </cell>
          <cell r="B459" t="str">
            <v>VAR_fin</v>
          </cell>
          <cell r="C459" t="str">
            <v>TGSL</v>
          </cell>
          <cell r="D459">
            <v>0.36153610293465083</v>
          </cell>
          <cell r="E459">
            <v>0.57715013525356074</v>
          </cell>
          <cell r="F459">
            <v>0.77332955139272885</v>
          </cell>
          <cell r="G459">
            <v>1.3619273780340415</v>
          </cell>
          <cell r="H459">
            <v>0.97271575724027726</v>
          </cell>
          <cell r="I459">
            <v>1.211815149739529E-4</v>
          </cell>
        </row>
        <row r="460">
          <cell r="A460" t="str">
            <v>TFLGV-ICEGSL</v>
          </cell>
          <cell r="B460" t="str">
            <v>VAR_ncap</v>
          </cell>
          <cell r="C460" t="str">
            <v>-</v>
          </cell>
          <cell r="E460">
            <v>2.1010108387072901E-5</v>
          </cell>
          <cell r="F460">
            <v>1.23801236855734E-2</v>
          </cell>
          <cell r="G460">
            <v>2.7482968409756201E-2</v>
          </cell>
        </row>
        <row r="461">
          <cell r="A461" t="str">
            <v>TFLGV-ICEGSL</v>
          </cell>
          <cell r="B461" t="str">
            <v>VAR_cap</v>
          </cell>
          <cell r="C461" t="str">
            <v>-</v>
          </cell>
          <cell r="D461">
            <v>1.2435E-2</v>
          </cell>
          <cell r="E461">
            <v>1.4143010108387073E-2</v>
          </cell>
          <cell r="F461">
            <v>2.6523122447868822E-2</v>
          </cell>
          <cell r="G461">
            <v>4.7580993545628121E-2</v>
          </cell>
          <cell r="H461">
            <v>3.382584100909676E-2</v>
          </cell>
          <cell r="I461">
            <v>3.3627885575497965E-6</v>
          </cell>
        </row>
        <row r="462">
          <cell r="A462" t="str">
            <v>T_C-ICE-GSL-S2</v>
          </cell>
          <cell r="B462" t="str">
            <v>VAR_fout</v>
          </cell>
          <cell r="C462" t="str">
            <v>CO2_T</v>
          </cell>
          <cell r="D462">
            <v>277.57998218742284</v>
          </cell>
          <cell r="E462">
            <v>391.66754960103788</v>
          </cell>
          <cell r="F462">
            <v>326.72618355498594</v>
          </cell>
          <cell r="G462">
            <v>303.75161503789809</v>
          </cell>
          <cell r="H462">
            <v>12.484812238355252</v>
          </cell>
          <cell r="I462">
            <v>0.1325408442601462</v>
          </cell>
        </row>
        <row r="463">
          <cell r="A463" t="str">
            <v>T_C-ICE-GSL-S2</v>
          </cell>
          <cell r="B463" t="str">
            <v>VAR_fout</v>
          </cell>
          <cell r="C463" t="str">
            <v>TPCAR</v>
          </cell>
          <cell r="D463">
            <v>2.2802812744115761</v>
          </cell>
          <cell r="E463">
            <v>3.2079513696584403</v>
          </cell>
          <cell r="F463">
            <v>2.7016746604794664</v>
          </cell>
          <cell r="G463">
            <v>2.5074863805352599</v>
          </cell>
          <cell r="H463">
            <v>0.10224239153910243</v>
          </cell>
          <cell r="I463">
            <v>9.4209635448950862E-4</v>
          </cell>
        </row>
        <row r="464">
          <cell r="A464" t="str">
            <v>T_C-ICE-GSL-S2</v>
          </cell>
          <cell r="B464" t="str">
            <v>VAR_fin</v>
          </cell>
          <cell r="C464" t="str">
            <v>TGSL</v>
          </cell>
          <cell r="D464">
            <v>3.7612463711032849</v>
          </cell>
          <cell r="E464">
            <v>5.3071483685777618</v>
          </cell>
          <cell r="F464">
            <v>4.4271840590106626</v>
          </cell>
          <cell r="G464">
            <v>4.1158755425189346</v>
          </cell>
          <cell r="H464">
            <v>0.16917089753868933</v>
          </cell>
          <cell r="I464">
            <v>1.7959463991889747E-3</v>
          </cell>
        </row>
        <row r="465">
          <cell r="A465" t="str">
            <v>T_C-ICE-GSL-S2</v>
          </cell>
          <cell r="B465" t="str">
            <v>VAR_ncap</v>
          </cell>
          <cell r="C465" t="str">
            <v>-</v>
          </cell>
          <cell r="E465">
            <v>2.5719785242920999E-5</v>
          </cell>
          <cell r="F465">
            <v>6.6077805991338501E-4</v>
          </cell>
          <cell r="G465">
            <v>5.6208309515418098E-5</v>
          </cell>
        </row>
        <row r="466">
          <cell r="A466" t="str">
            <v>T_C-ICE-GSL-S2</v>
          </cell>
          <cell r="B466" t="str">
            <v>VAR_cap</v>
          </cell>
          <cell r="C466" t="str">
            <v>-</v>
          </cell>
          <cell r="D466">
            <v>0.21743100528345616</v>
          </cell>
          <cell r="E466">
            <v>0.2433975254244217</v>
          </cell>
          <cell r="F466">
            <v>0.24070438071079706</v>
          </cell>
          <cell r="G466">
            <v>0.19025989441547309</v>
          </cell>
          <cell r="H466">
            <v>1.0695623604047775E-2</v>
          </cell>
          <cell r="I466">
            <v>9.0920180740501399E-5</v>
          </cell>
        </row>
        <row r="467">
          <cell r="A467" t="str">
            <v>T_C-ICE-DSL-S1</v>
          </cell>
          <cell r="B467" t="str">
            <v>VAR_fout</v>
          </cell>
          <cell r="C467" t="str">
            <v>CO2_T</v>
          </cell>
          <cell r="D467">
            <v>0.37707117241981042</v>
          </cell>
          <cell r="E467">
            <v>0.44877636017987338</v>
          </cell>
          <cell r="F467">
            <v>0.35852161279650541</v>
          </cell>
          <cell r="G467">
            <v>0.28502491062252239</v>
          </cell>
          <cell r="H467">
            <v>6.1599248000108284E-2</v>
          </cell>
          <cell r="I467">
            <v>1.9995794857043711E-2</v>
          </cell>
        </row>
        <row r="468">
          <cell r="A468" t="str">
            <v>T_C-ICE-DSL-S1</v>
          </cell>
          <cell r="B468" t="str">
            <v>VAR_fout</v>
          </cell>
          <cell r="C468" t="str">
            <v>TPCAR</v>
          </cell>
          <cell r="D468">
            <v>3.8555489603272937E-3</v>
          </cell>
          <cell r="E468">
            <v>4.7347961335300909E-3</v>
          </cell>
          <cell r="F468">
            <v>3.8104905229106364E-3</v>
          </cell>
          <cell r="G468">
            <v>3.0428033159354542E-3</v>
          </cell>
          <cell r="H468">
            <v>6.3439699825271743E-4</v>
          </cell>
          <cell r="I468">
            <v>1.7803001251641859E-4</v>
          </cell>
        </row>
        <row r="469">
          <cell r="A469" t="str">
            <v>T_C-ICE-DSL-S1</v>
          </cell>
          <cell r="B469" t="str">
            <v>VAR_fin</v>
          </cell>
          <cell r="C469" t="str">
            <v>TDSL</v>
          </cell>
          <cell r="D469">
            <v>5.1442179047723052E-3</v>
          </cell>
          <cell r="E469">
            <v>6.1224605754416558E-3</v>
          </cell>
          <cell r="F469">
            <v>4.891154335559424E-3</v>
          </cell>
          <cell r="G469">
            <v>3.8884708134041177E-3</v>
          </cell>
          <cell r="H469">
            <v>8.4037173260720821E-4</v>
          </cell>
          <cell r="I469">
            <v>2.7279392710837289E-4</v>
          </cell>
        </row>
        <row r="470">
          <cell r="A470" t="str">
            <v>T_C-ICE-DSL-S1</v>
          </cell>
          <cell r="B470" t="str">
            <v>VAR_ncap</v>
          </cell>
          <cell r="C470" t="str">
            <v>-</v>
          </cell>
          <cell r="E470">
            <v>3.9514897757983501E-5</v>
          </cell>
          <cell r="F470">
            <v>6.3078426843566794E-5</v>
          </cell>
          <cell r="G470">
            <v>4.2164196703569399E-5</v>
          </cell>
        </row>
        <row r="471">
          <cell r="A471" t="str">
            <v>T_C-ICE-DSL-S1</v>
          </cell>
          <cell r="B471" t="str">
            <v>VAR_cap</v>
          </cell>
          <cell r="C471" t="str">
            <v>-</v>
          </cell>
          <cell r="D471">
            <v>4.4467233329224245E-4</v>
          </cell>
          <cell r="E471">
            <v>5.1195023072287131E-4</v>
          </cell>
          <cell r="F471">
            <v>5.6875636438007333E-4</v>
          </cell>
          <cell r="G471">
            <v>4.5554215058362497E-4</v>
          </cell>
          <cell r="H471">
            <v>9.2001266199203755E-5</v>
          </cell>
          <cell r="I471">
            <v>2.5383480815200199E-5</v>
          </cell>
        </row>
        <row r="472">
          <cell r="A472" t="str">
            <v>T_C-ICE-GSL-S3</v>
          </cell>
          <cell r="B472" t="str">
            <v>VAR_fout</v>
          </cell>
          <cell r="C472" t="str">
            <v>CO2_T</v>
          </cell>
          <cell r="D472">
            <v>278.2173489691487</v>
          </cell>
          <cell r="E472">
            <v>423.68706206592162</v>
          </cell>
          <cell r="F472">
            <v>524.12198273803699</v>
          </cell>
          <cell r="G472">
            <v>430.04916581672518</v>
          </cell>
          <cell r="H472">
            <v>86.090446027903639</v>
          </cell>
          <cell r="I472">
            <v>10.749322841326222</v>
          </cell>
        </row>
        <row r="473">
          <cell r="A473" t="str">
            <v>T_C-ICE-GSL-S3</v>
          </cell>
          <cell r="B473" t="str">
            <v>VAR_fout</v>
          </cell>
          <cell r="C473" t="str">
            <v>TPCAR</v>
          </cell>
          <cell r="D473">
            <v>1.9476974299355407</v>
          </cell>
          <cell r="E473">
            <v>2.9625199694740165</v>
          </cell>
          <cell r="F473">
            <v>3.6159163507974168</v>
          </cell>
          <cell r="G473">
            <v>2.9835045257699755</v>
          </cell>
          <cell r="H473">
            <v>0.57195781893201181</v>
          </cell>
          <cell r="I473">
            <v>7.0225682638798373E-2</v>
          </cell>
        </row>
        <row r="474">
          <cell r="A474" t="str">
            <v>T_C-ICE-GSL-S3</v>
          </cell>
          <cell r="B474" t="str">
            <v>VAR_fin</v>
          </cell>
          <cell r="C474" t="str">
            <v>TGSL</v>
          </cell>
          <cell r="D474">
            <v>3.7698827773597379</v>
          </cell>
          <cell r="E474">
            <v>5.7410171011642612</v>
          </cell>
          <cell r="F474">
            <v>7.1019238853392608</v>
          </cell>
          <cell r="G474">
            <v>5.8272244690613251</v>
          </cell>
          <cell r="H474">
            <v>1.1665372090501855</v>
          </cell>
          <cell r="I474">
            <v>0.1456547810477804</v>
          </cell>
        </row>
        <row r="475">
          <cell r="A475" t="str">
            <v>T_C-ICE-GSL-S3</v>
          </cell>
          <cell r="B475" t="str">
            <v>VAR_ncap</v>
          </cell>
          <cell r="C475" t="str">
            <v>-</v>
          </cell>
          <cell r="E475">
            <v>4.7150903563337101E-5</v>
          </cell>
          <cell r="F475">
            <v>4.87255743168458E-2</v>
          </cell>
          <cell r="G475">
            <v>3.7774961689879499E-5</v>
          </cell>
        </row>
        <row r="476">
          <cell r="A476" t="str">
            <v>T_C-ICE-GSL-S3</v>
          </cell>
          <cell r="B476" t="str">
            <v>VAR_cap</v>
          </cell>
          <cell r="C476" t="str">
            <v>-</v>
          </cell>
          <cell r="D476">
            <v>0.18201267529018203</v>
          </cell>
          <cell r="E476">
            <v>0.20370045000778028</v>
          </cell>
          <cell r="F476">
            <v>0.24864046031879009</v>
          </cell>
          <cell r="G476">
            <v>0.2051546189042745</v>
          </cell>
          <cell r="H476">
            <v>3.9345130191411656E-2</v>
          </cell>
          <cell r="I476">
            <v>4.839628008935142E-3</v>
          </cell>
        </row>
        <row r="477">
          <cell r="A477" t="str">
            <v>T_C-ICE-DSL-S2</v>
          </cell>
          <cell r="B477" t="str">
            <v>VAR_fout</v>
          </cell>
          <cell r="C477" t="str">
            <v>CO2_T</v>
          </cell>
          <cell r="D477">
            <v>89.560884498032195</v>
          </cell>
          <cell r="E477">
            <v>94.066942932072081</v>
          </cell>
          <cell r="F477">
            <v>81.556776631623364</v>
          </cell>
          <cell r="G477">
            <v>60.804409079103401</v>
          </cell>
          <cell r="H477">
            <v>1.5638649532193676</v>
          </cell>
          <cell r="I477">
            <v>2.0334186979026343E-2</v>
          </cell>
        </row>
        <row r="478">
          <cell r="A478" t="str">
            <v>T_C-ICE-DSL-S2</v>
          </cell>
          <cell r="B478" t="str">
            <v>VAR_fout</v>
          </cell>
          <cell r="C478" t="str">
            <v>TPCAR</v>
          </cell>
          <cell r="D478">
            <v>0.85084531104738714</v>
          </cell>
          <cell r="E478">
            <v>0.9031383765872365</v>
          </cell>
          <cell r="F478">
            <v>0.81756000203748946</v>
          </cell>
          <cell r="G478">
            <v>0.63275665188424379</v>
          </cell>
          <cell r="H478">
            <v>1.7576805948466428E-2</v>
          </cell>
          <cell r="I478">
            <v>1.4754454990763131E-4</v>
          </cell>
        </row>
        <row r="479">
          <cell r="A479" t="str">
            <v>T_C-ICE-DSL-S2</v>
          </cell>
          <cell r="B479" t="str">
            <v>VAR_fin</v>
          </cell>
          <cell r="C479" t="str">
            <v>TDSL</v>
          </cell>
          <cell r="D479">
            <v>1.221840170505212</v>
          </cell>
          <cell r="E479">
            <v>1.283314364694029</v>
          </cell>
          <cell r="F479">
            <v>1.1126436102540691</v>
          </cell>
          <cell r="G479">
            <v>0.8295280911201004</v>
          </cell>
          <cell r="H479">
            <v>2.133512896615785E-2</v>
          </cell>
          <cell r="I479">
            <v>2.7741046356106932E-4</v>
          </cell>
        </row>
        <row r="480">
          <cell r="A480" t="str">
            <v>T_C-ICE-DSL-S2</v>
          </cell>
          <cell r="B480" t="str">
            <v>VAR_ncap</v>
          </cell>
          <cell r="C480" t="str">
            <v>-</v>
          </cell>
          <cell r="E480">
            <v>1.9575405143435302E-5</v>
          </cell>
          <cell r="F480">
            <v>3.5863186965710497E-5</v>
          </cell>
          <cell r="G480">
            <v>2.12108363700899E-5</v>
          </cell>
        </row>
        <row r="481">
          <cell r="A481" t="str">
            <v>T_C-ICE-DSL-S2</v>
          </cell>
          <cell r="B481" t="str">
            <v>VAR_cap</v>
          </cell>
          <cell r="C481" t="str">
            <v>-</v>
          </cell>
          <cell r="D481">
            <v>6.4569734131604009E-2</v>
          </cell>
          <cell r="E481">
            <v>6.8524175410992538E-2</v>
          </cell>
          <cell r="F481">
            <v>6.7938021686186761E-2</v>
          </cell>
          <cell r="G481">
            <v>5.1527260346801253E-2</v>
          </cell>
          <cell r="H481">
            <v>1.8089269000140678E-3</v>
          </cell>
          <cell r="I481">
            <v>1.3179912445162106E-5</v>
          </cell>
        </row>
        <row r="482">
          <cell r="A482" t="str">
            <v>TPRLPH2OFCL</v>
          </cell>
          <cell r="B482" t="str">
            <v>VAR_fout</v>
          </cell>
          <cell r="C482" t="str">
            <v>TPRLP</v>
          </cell>
          <cell r="I482">
            <v>9.2170816730251714E-6</v>
          </cell>
          <cell r="J482">
            <v>8.3925812007758444E-6</v>
          </cell>
          <cell r="K482">
            <v>7.5219687134788714E-6</v>
          </cell>
          <cell r="L482">
            <v>7.6308459722180671E-6</v>
          </cell>
          <cell r="M482">
            <v>6.9265584479083959E-6</v>
          </cell>
          <cell r="N482">
            <v>6.0363049475456853E-6</v>
          </cell>
          <cell r="O482">
            <v>1.1400168361646191E-5</v>
          </cell>
        </row>
        <row r="483">
          <cell r="A483" t="str">
            <v>TPRLPH2OFCL</v>
          </cell>
          <cell r="B483" t="str">
            <v>VAR_fin</v>
          </cell>
          <cell r="C483" t="str">
            <v>TH2O</v>
          </cell>
          <cell r="I483">
            <v>5.1371872503033235E-4</v>
          </cell>
          <cell r="J483">
            <v>4.5046374017820878E-4</v>
          </cell>
          <cell r="K483">
            <v>3.8933429539541058E-4</v>
          </cell>
          <cell r="L483">
            <v>3.9496974170348265E-4</v>
          </cell>
          <cell r="M483">
            <v>3.5851608209951097E-4</v>
          </cell>
          <cell r="N483">
            <v>3.1243689292847414E-4</v>
          </cell>
          <cell r="O483">
            <v>5.9006846286360033E-4</v>
          </cell>
        </row>
        <row r="484">
          <cell r="A484" t="str">
            <v>TPRLPH2OFCL</v>
          </cell>
          <cell r="B484" t="str">
            <v>VAR_ncap</v>
          </cell>
          <cell r="C484" t="str">
            <v>-</v>
          </cell>
          <cell r="I484">
            <v>1.23255986079156E-7</v>
          </cell>
          <cell r="J484">
            <v>1.1534247778463299E-8</v>
          </cell>
          <cell r="O484">
            <v>1.9940483750677801E-7</v>
          </cell>
        </row>
        <row r="485">
          <cell r="A485" t="str">
            <v>TPRLPH2OFCL</v>
          </cell>
          <cell r="B485" t="str">
            <v>VAR_cap</v>
          </cell>
          <cell r="C485" t="str">
            <v>-</v>
          </cell>
          <cell r="I485">
            <v>1.23255986079156E-7</v>
          </cell>
          <cell r="J485">
            <v>1.3479023385761901E-7</v>
          </cell>
          <cell r="K485">
            <v>1.3479023385761901E-7</v>
          </cell>
          <cell r="L485">
            <v>1.3479023385761901E-7</v>
          </cell>
          <cell r="M485">
            <v>1.3479023385761901E-7</v>
          </cell>
          <cell r="N485">
            <v>1.15494512964473E-7</v>
          </cell>
          <cell r="O485">
            <v>2.10939085285242E-7</v>
          </cell>
        </row>
        <row r="486">
          <cell r="A486" t="str">
            <v>T_C-ICE-GSL-S4</v>
          </cell>
          <cell r="B486" t="str">
            <v>VAR_fout</v>
          </cell>
          <cell r="C486" t="str">
            <v>CO2_T</v>
          </cell>
          <cell r="D486">
            <v>287.50774173565435</v>
          </cell>
          <cell r="E486">
            <v>387.81356493700213</v>
          </cell>
          <cell r="F486">
            <v>820.01151471767673</v>
          </cell>
          <cell r="G486">
            <v>688.25970626985816</v>
          </cell>
          <cell r="H486">
            <v>288.81953134374356</v>
          </cell>
          <cell r="I486">
            <v>32.121857367993734</v>
          </cell>
        </row>
        <row r="487">
          <cell r="A487" t="str">
            <v>T_C-ICE-GSL-S4</v>
          </cell>
          <cell r="B487" t="str">
            <v>VAR_fout</v>
          </cell>
          <cell r="C487" t="str">
            <v>TPCAR</v>
          </cell>
          <cell r="D487">
            <v>1.7151133727891728</v>
          </cell>
          <cell r="E487">
            <v>2.2769440565508061</v>
          </cell>
          <cell r="F487">
            <v>4.8219502576954012</v>
          </cell>
          <cell r="G487">
            <v>4.0730163028281394</v>
          </cell>
          <cell r="H487">
            <v>1.6993061522984438</v>
          </cell>
          <cell r="I487">
            <v>0.18910025160363275</v>
          </cell>
        </row>
        <row r="488">
          <cell r="A488" t="str">
            <v>T_C-ICE-GSL-S4</v>
          </cell>
          <cell r="B488" t="str">
            <v>VAR_fin</v>
          </cell>
          <cell r="C488" t="str">
            <v>TGSL</v>
          </cell>
          <cell r="D488">
            <v>3.8957688582066972</v>
          </cell>
          <cell r="E488">
            <v>5.254926354159914</v>
          </cell>
          <cell r="F488">
            <v>11.111267137095892</v>
          </cell>
          <cell r="G488">
            <v>9.3260122800793805</v>
          </cell>
          <cell r="H488">
            <v>3.9135437851455839</v>
          </cell>
          <cell r="I488">
            <v>0.4352555198915139</v>
          </cell>
        </row>
        <row r="489">
          <cell r="A489" t="str">
            <v>T_C-ICE-GSL-S4</v>
          </cell>
          <cell r="B489" t="str">
            <v>VAR_ncap</v>
          </cell>
          <cell r="C489" t="str">
            <v>-</v>
          </cell>
          <cell r="E489">
            <v>3.3367666004594899E-5</v>
          </cell>
          <cell r="F489">
            <v>0.20618958036164101</v>
          </cell>
          <cell r="G489">
            <v>1.5225188340143301E-4</v>
          </cell>
        </row>
        <row r="490">
          <cell r="A490" t="str">
            <v>T_C-ICE-GSL-S4</v>
          </cell>
          <cell r="B490" t="str">
            <v>VAR_cap</v>
          </cell>
          <cell r="C490" t="str">
            <v>-</v>
          </cell>
          <cell r="D490">
            <v>0.15707587556307034</v>
          </cell>
          <cell r="E490">
            <v>0.17929703234975156</v>
          </cell>
          <cell r="F490">
            <v>0.379838600505431</v>
          </cell>
          <cell r="G490">
            <v>0.320756782378605</v>
          </cell>
          <cell r="H490">
            <v>0.13640322073461292</v>
          </cell>
          <cell r="I490">
            <v>2.0476175875783525E-2</v>
          </cell>
        </row>
        <row r="491">
          <cell r="A491" t="str">
            <v>T_C-ICE-DSL-S3</v>
          </cell>
          <cell r="B491" t="str">
            <v>VAR_fout</v>
          </cell>
          <cell r="C491" t="str">
            <v>CO2_T</v>
          </cell>
          <cell r="D491">
            <v>369.64369964140906</v>
          </cell>
          <cell r="E491">
            <v>390.47286497774161</v>
          </cell>
          <cell r="F491">
            <v>386.76249748746346</v>
          </cell>
          <cell r="G491">
            <v>295.37196205373425</v>
          </cell>
          <cell r="H491">
            <v>10.161803974913218</v>
          </cell>
          <cell r="I491">
            <v>1.8377347110308931E-2</v>
          </cell>
        </row>
        <row r="492">
          <cell r="A492" t="str">
            <v>T_C-ICE-DSL-S3</v>
          </cell>
          <cell r="B492" t="str">
            <v>VAR_fout</v>
          </cell>
          <cell r="C492" t="str">
            <v>TPCAR</v>
          </cell>
          <cell r="D492">
            <v>2.6618455002523578</v>
          </cell>
          <cell r="E492">
            <v>2.8362398114978982</v>
          </cell>
          <cell r="F492">
            <v>2.806836087560773</v>
          </cell>
          <cell r="G492">
            <v>2.1809002317830952</v>
          </cell>
          <cell r="H492">
            <v>8.1938425742655641E-2</v>
          </cell>
          <cell r="I492">
            <v>1.1926063082117148E-4</v>
          </cell>
        </row>
        <row r="493">
          <cell r="A493" t="str">
            <v>T_C-ICE-DSL-S3</v>
          </cell>
          <cell r="B493" t="str">
            <v>VAR_fin</v>
          </cell>
          <cell r="C493" t="str">
            <v>TDSL</v>
          </cell>
          <cell r="D493">
            <v>5.0428881260765186</v>
          </cell>
          <cell r="E493">
            <v>5.3270513639528154</v>
          </cell>
          <cell r="F493">
            <v>5.2764324350268064</v>
          </cell>
          <cell r="G493">
            <v>4.0296311330659638</v>
          </cell>
          <cell r="H493">
            <v>0.13863306923483271</v>
          </cell>
          <cell r="I493">
            <v>2.5071414884459732E-4</v>
          </cell>
        </row>
        <row r="494">
          <cell r="A494" t="str">
            <v>T_C-ICE-DSL-S3</v>
          </cell>
          <cell r="B494" t="str">
            <v>VAR_ncap</v>
          </cell>
          <cell r="C494" t="str">
            <v>-</v>
          </cell>
          <cell r="E494">
            <v>2.0784699327478999E-5</v>
          </cell>
          <cell r="F494">
            <v>2.5951015374208599E-5</v>
          </cell>
          <cell r="G494">
            <v>1.48872377765656E-5</v>
          </cell>
        </row>
        <row r="495">
          <cell r="A495" t="str">
            <v>T_C-ICE-DSL-S3</v>
          </cell>
          <cell r="B495" t="str">
            <v>VAR_cap</v>
          </cell>
          <cell r="C495" t="str">
            <v>-</v>
          </cell>
          <cell r="D495">
            <v>0.18324159831268524</v>
          </cell>
          <cell r="E495">
            <v>0.19501703162534856</v>
          </cell>
          <cell r="F495">
            <v>0.1930076130919314</v>
          </cell>
          <cell r="G495">
            <v>0.14997187556732333</v>
          </cell>
          <cell r="H495">
            <v>5.6448660450063278E-3</v>
          </cell>
          <cell r="I495">
            <v>9.3276414915986754E-6</v>
          </cell>
        </row>
        <row r="496">
          <cell r="A496" t="str">
            <v>T_C-ICE-DSL-S4</v>
          </cell>
          <cell r="B496" t="str">
            <v>VAR_fout</v>
          </cell>
          <cell r="C496" t="str">
            <v>CO2_T</v>
          </cell>
          <cell r="D496">
            <v>142.0277682544334</v>
          </cell>
          <cell r="E496">
            <v>162.05565523455039</v>
          </cell>
          <cell r="F496">
            <v>159.25869420128376</v>
          </cell>
          <cell r="G496">
            <v>122.59238804233469</v>
          </cell>
          <cell r="H496">
            <v>6.2303151308673153</v>
          </cell>
          <cell r="I496">
            <v>1.2127479851691329E-2</v>
          </cell>
        </row>
        <row r="497">
          <cell r="A497" t="str">
            <v>T_C-ICE-DSL-S4</v>
          </cell>
          <cell r="B497" t="str">
            <v>VAR_fout</v>
          </cell>
          <cell r="C497" t="str">
            <v>TPCAR</v>
          </cell>
          <cell r="D497">
            <v>0.90300179202071806</v>
          </cell>
          <cell r="E497">
            <v>1.0075867758288273</v>
          </cell>
          <cell r="F497">
            <v>0.99242385764460572</v>
          </cell>
          <cell r="G497">
            <v>0.77474303001204181</v>
          </cell>
          <cell r="H497">
            <v>3.3283576796720747E-2</v>
          </cell>
          <cell r="I497">
            <v>7.0296346829652284E-5</v>
          </cell>
        </row>
        <row r="498">
          <cell r="A498" t="str">
            <v>T_C-ICE-DSL-S4</v>
          </cell>
          <cell r="B498" t="str">
            <v>VAR_fin</v>
          </cell>
          <cell r="C498" t="str">
            <v>TDSL</v>
          </cell>
          <cell r="D498">
            <v>1.9376230321205095</v>
          </cell>
          <cell r="E498">
            <v>2.2108547780975552</v>
          </cell>
          <cell r="F498">
            <v>2.1726970559520282</v>
          </cell>
          <cell r="G498">
            <v>1.6724745981218938</v>
          </cell>
          <cell r="H498">
            <v>8.4997477910877514E-2</v>
          </cell>
          <cell r="I498">
            <v>1.6544992976386531E-4</v>
          </cell>
        </row>
        <row r="499">
          <cell r="A499" t="str">
            <v>T_C-ICE-DSL-S4</v>
          </cell>
          <cell r="B499" t="str">
            <v>VAR_ncap</v>
          </cell>
          <cell r="C499" t="str">
            <v>-</v>
          </cell>
          <cell r="E499">
            <v>8.4073789275171895E-6</v>
          </cell>
          <cell r="F499">
            <v>1.32753603285864E-5</v>
          </cell>
          <cell r="G499">
            <v>1.13373363195611E-5</v>
          </cell>
        </row>
        <row r="500">
          <cell r="A500" t="str">
            <v>T_C-ICE-DSL-S4</v>
          </cell>
          <cell r="B500" t="str">
            <v>VAR_cap</v>
          </cell>
          <cell r="C500" t="str">
            <v>-</v>
          </cell>
          <cell r="D500">
            <v>7.1262468664638853E-2</v>
          </cell>
          <cell r="E500">
            <v>7.9345869328852625E-2</v>
          </cell>
          <cell r="F500">
            <v>7.8222597672719413E-2</v>
          </cell>
          <cell r="G500">
            <v>6.1078548756085149E-2</v>
          </cell>
          <cell r="H500">
            <v>3.3841151764357775E-3</v>
          </cell>
          <cell r="I500">
            <v>6.4614814746757563E-6</v>
          </cell>
        </row>
        <row r="501">
          <cell r="A501" t="str">
            <v>TFLGV-ICENGAExt</v>
          </cell>
          <cell r="B501" t="str">
            <v>VAR_fout</v>
          </cell>
          <cell r="C501" t="str">
            <v>CO2_T</v>
          </cell>
          <cell r="D501">
            <v>6.0533264884958804</v>
          </cell>
          <cell r="E501">
            <v>1.8281494928973301</v>
          </cell>
          <cell r="F501">
            <v>3.9496682219755601</v>
          </cell>
        </row>
        <row r="502">
          <cell r="A502" t="str">
            <v>TFLGV-ICENGAExt</v>
          </cell>
          <cell r="B502" t="str">
            <v>VAR_fout</v>
          </cell>
          <cell r="C502" t="str">
            <v>TFLGV</v>
          </cell>
          <cell r="D502">
            <v>2.9792590020139852E-2</v>
          </cell>
          <cell r="E502">
            <v>9.0814408854403075E-3</v>
          </cell>
          <cell r="F502">
            <v>1.9891969470110515E-2</v>
          </cell>
        </row>
        <row r="503">
          <cell r="A503" t="str">
            <v>TFLGV-ICENGAExt</v>
          </cell>
          <cell r="B503" t="str">
            <v>VAR_fin</v>
          </cell>
          <cell r="C503" t="str">
            <v>TNGA</v>
          </cell>
          <cell r="D503">
            <v>0.10732848383857935</v>
          </cell>
          <cell r="E503">
            <v>3.2413998101016493E-2</v>
          </cell>
          <cell r="F503">
            <v>7.0029578403821915E-2</v>
          </cell>
        </row>
        <row r="504">
          <cell r="A504" t="str">
            <v>TFLGV-ICENGAExt</v>
          </cell>
          <cell r="B504" t="str">
            <v>VAR_cap</v>
          </cell>
          <cell r="C504" t="str">
            <v>-</v>
          </cell>
          <cell r="D504">
            <v>2.0849490339634271E-3</v>
          </cell>
          <cell r="E504">
            <v>1.8069872845115677E-3</v>
          </cell>
          <cell r="F504">
            <v>1.39E-3</v>
          </cell>
        </row>
        <row r="505">
          <cell r="A505" t="str">
            <v>D-TGSL</v>
          </cell>
          <cell r="B505" t="str">
            <v>VAR_fout</v>
          </cell>
          <cell r="C505" t="str">
            <v>CO2</v>
          </cell>
          <cell r="D505">
            <v>5886.4483500444903</v>
          </cell>
          <cell r="E505">
            <v>5605.5636773666502</v>
          </cell>
          <cell r="F505">
            <v>5842.6408818654099</v>
          </cell>
          <cell r="G505">
            <v>3568.6986189211898</v>
          </cell>
          <cell r="H505">
            <v>1607.9813501316</v>
          </cell>
          <cell r="I505">
            <v>743.03589166257598</v>
          </cell>
          <cell r="J505">
            <v>223.46139751962599</v>
          </cell>
          <cell r="K505">
            <v>25.884668214966101</v>
          </cell>
          <cell r="L505">
            <v>16.9836168356779</v>
          </cell>
          <cell r="M505">
            <v>15.330210745150801</v>
          </cell>
          <cell r="N505">
            <v>13.983796935825399</v>
          </cell>
          <cell r="O505">
            <v>11.918048699922799</v>
          </cell>
        </row>
        <row r="506">
          <cell r="A506" t="str">
            <v>D-TGSL</v>
          </cell>
          <cell r="B506" t="str">
            <v>VAR_fout</v>
          </cell>
          <cell r="C506" t="str">
            <v>TGSL</v>
          </cell>
          <cell r="D506">
            <v>83.141183236247443</v>
          </cell>
          <cell r="E506">
            <v>79.173903402611245</v>
          </cell>
          <cell r="F506">
            <v>82.522433951874376</v>
          </cell>
          <cell r="G506">
            <v>50.406425615953047</v>
          </cell>
          <cell r="H506">
            <v>22.774882454546777</v>
          </cell>
          <cell r="I506">
            <v>10.495839656312624</v>
          </cell>
          <cell r="J506">
            <v>7.4736456577358634</v>
          </cell>
          <cell r="K506">
            <v>2.3029898655400474</v>
          </cell>
          <cell r="L506">
            <v>1.5104786699685606</v>
          </cell>
          <cell r="M506">
            <v>1.362241332938205</v>
          </cell>
          <cell r="N506">
            <v>1.2430928624438462</v>
          </cell>
          <cell r="O506">
            <v>1.0574224720313452</v>
          </cell>
        </row>
        <row r="507">
          <cell r="A507" t="str">
            <v>D-TGSL</v>
          </cell>
          <cell r="B507" t="str">
            <v>VAR_fin</v>
          </cell>
          <cell r="C507" t="str">
            <v>GSL</v>
          </cell>
          <cell r="D507">
            <v>79.762172764830567</v>
          </cell>
          <cell r="E507">
            <v>75.956147389792022</v>
          </cell>
          <cell r="F507">
            <v>79.168575635032596</v>
          </cell>
          <cell r="G507">
            <v>48.356349849880637</v>
          </cell>
          <cell r="H507">
            <v>21.788365177934992</v>
          </cell>
          <cell r="I507">
            <v>10.068237014398052</v>
          </cell>
          <cell r="J507">
            <v>3.0279322157130881</v>
          </cell>
          <cell r="K507">
            <v>0.35074076172040763</v>
          </cell>
          <cell r="L507">
            <v>0.23013030942652973</v>
          </cell>
          <cell r="M507">
            <v>0.20772643286112141</v>
          </cell>
          <cell r="N507">
            <v>0.18948234330386721</v>
          </cell>
          <cell r="O507">
            <v>0.16149117479570227</v>
          </cell>
        </row>
        <row r="508">
          <cell r="A508" t="str">
            <v>D-TGSL</v>
          </cell>
          <cell r="B508" t="str">
            <v>VAR_fin</v>
          </cell>
          <cell r="C508" t="str">
            <v>ETH</v>
          </cell>
          <cell r="D508">
            <v>4.6190863113514933</v>
          </cell>
          <cell r="E508">
            <v>4.3986586580416276</v>
          </cell>
          <cell r="F508">
            <v>4.5847053050014885</v>
          </cell>
          <cell r="G508">
            <v>2.8019025801624142</v>
          </cell>
          <cell r="H508">
            <v>1.3262115164983463</v>
          </cell>
          <cell r="I508">
            <v>0.58415125555233183</v>
          </cell>
          <cell r="J508">
            <v>4.5571851207878691</v>
          </cell>
          <cell r="K508">
            <v>1.9865988921622286</v>
          </cell>
          <cell r="L508">
            <v>1.3028776054100917</v>
          </cell>
          <cell r="M508">
            <v>1.1748331403603431</v>
          </cell>
          <cell r="N508">
            <v>1.0721516240549673</v>
          </cell>
          <cell r="O508">
            <v>0.91170307228618452</v>
          </cell>
        </row>
        <row r="509">
          <cell r="A509" t="str">
            <v>T_TW-BEVELC-S1</v>
          </cell>
          <cell r="B509" t="str">
            <v>VAR_fout</v>
          </cell>
          <cell r="C509" t="str">
            <v>TPTWL</v>
          </cell>
          <cell r="D509">
            <v>1.7303718994382992E-2</v>
          </cell>
          <cell r="E509">
            <v>2.364252524908388E-2</v>
          </cell>
          <cell r="F509">
            <v>2.3854273022312876E-2</v>
          </cell>
          <cell r="G509">
            <v>1.6372043789858702E-2</v>
          </cell>
          <cell r="H509">
            <v>3.1317883507115548E-3</v>
          </cell>
          <cell r="I509">
            <v>5.0667634369861879E-3</v>
          </cell>
          <cell r="J509">
            <v>4.6329329907831535E-2</v>
          </cell>
          <cell r="K509">
            <v>1.1111722418769985</v>
          </cell>
          <cell r="L509">
            <v>1.5616024669427506</v>
          </cell>
          <cell r="M509">
            <v>1.8134371655221924</v>
          </cell>
          <cell r="N509">
            <v>1.7783262479383177</v>
          </cell>
          <cell r="O509">
            <v>1.7354819324139872</v>
          </cell>
        </row>
        <row r="510">
          <cell r="A510" t="str">
            <v>T_TW-BEVELC-S1</v>
          </cell>
          <cell r="B510" t="str">
            <v>VAR_fin</v>
          </cell>
          <cell r="C510" t="str">
            <v>T-ELC-TWSTGout_S1</v>
          </cell>
          <cell r="D510">
            <v>1.5590443089679863E-3</v>
          </cell>
          <cell r="E510">
            <v>2.1286065432738499E-3</v>
          </cell>
          <cell r="F510">
            <v>2.1473507009995198E-3</v>
          </cell>
          <cell r="G510">
            <v>1.4722614479931442E-3</v>
          </cell>
          <cell r="H510">
            <v>2.7278351467492179E-4</v>
          </cell>
          <cell r="I510">
            <v>4.3763502076496892E-4</v>
          </cell>
          <cell r="J510">
            <v>3.9373907535549075E-3</v>
          </cell>
          <cell r="K510">
            <v>9.3304744420503974E-2</v>
          </cell>
          <cell r="L510">
            <v>0.13109052794469198</v>
          </cell>
          <cell r="M510">
            <v>0.15221236318576573</v>
          </cell>
          <cell r="N510">
            <v>0.14926529899149962</v>
          </cell>
          <cell r="O510">
            <v>0.14566912558167694</v>
          </cell>
        </row>
        <row r="511">
          <cell r="A511" t="str">
            <v>T_TW-BEVELC-S1</v>
          </cell>
          <cell r="B511" t="str">
            <v>VAR_ncap</v>
          </cell>
          <cell r="C511" t="str">
            <v>-</v>
          </cell>
          <cell r="D511">
            <v>5.732024560814E-5</v>
          </cell>
          <cell r="E511">
            <v>1.8825916304708701E-4</v>
          </cell>
          <cell r="F511">
            <v>1.1340424590154601E-4</v>
          </cell>
          <cell r="G511">
            <v>1.8941892518311299E-4</v>
          </cell>
          <cell r="H511">
            <v>8.8265661967987697E-4</v>
          </cell>
          <cell r="I511">
            <v>8.7741182385588003E-4</v>
          </cell>
          <cell r="J511">
            <v>1.46467502532663E-2</v>
          </cell>
          <cell r="K511">
            <v>0.39998835416669998</v>
          </cell>
          <cell r="L511">
            <v>0.245384413430279</v>
          </cell>
          <cell r="M511">
            <v>0.34352774723732699</v>
          </cell>
          <cell r="N511">
            <v>0.40636655687419998</v>
          </cell>
          <cell r="O511">
            <v>0.15102422263134799</v>
          </cell>
        </row>
        <row r="512">
          <cell r="A512" t="str">
            <v>T_TW-BEVELC-S1</v>
          </cell>
          <cell r="B512" t="str">
            <v>VAR_cap</v>
          </cell>
          <cell r="C512" t="str">
            <v>-</v>
          </cell>
          <cell r="D512">
            <v>5.9981689934214474E-3</v>
          </cell>
          <cell r="E512">
            <v>8.1403754538227954E-3</v>
          </cell>
          <cell r="F512">
            <v>8.2535236327783996E-3</v>
          </cell>
          <cell r="G512">
            <v>5.7035001748349957E-3</v>
          </cell>
          <cell r="H512">
            <v>1.1300647862970711E-3</v>
          </cell>
          <cell r="I512">
            <v>1.7997328857509614E-3</v>
          </cell>
          <cell r="J512">
            <v>1.5981659977047164E-2</v>
          </cell>
          <cell r="K512">
            <v>0.41493450445550778</v>
          </cell>
          <cell r="L512">
            <v>0.6519607941778246</v>
          </cell>
          <cell r="M512">
            <v>0.7938432402158826</v>
          </cell>
          <cell r="N512">
            <v>0.79335694021759684</v>
          </cell>
          <cell r="O512">
            <v>0.78922408022652912</v>
          </cell>
        </row>
        <row r="513">
          <cell r="A513" t="str">
            <v>T_TW-BEVELC-S2</v>
          </cell>
          <cell r="B513" t="str">
            <v>VAR_fout</v>
          </cell>
          <cell r="C513" t="str">
            <v>TPTWL</v>
          </cell>
          <cell r="D513">
            <v>2.2579055666406261E-3</v>
          </cell>
          <cell r="E513">
            <v>2.9186010401561235E-3</v>
          </cell>
          <cell r="F513">
            <v>2.9551071496388246E-3</v>
          </cell>
          <cell r="G513">
            <v>2.6023738919900524E-3</v>
          </cell>
          <cell r="H513">
            <v>9.2411045249337427E-4</v>
          </cell>
          <cell r="I513">
            <v>1.0012738487634246E-3</v>
          </cell>
          <cell r="J513">
            <v>1.489481816230314E-3</v>
          </cell>
          <cell r="K513">
            <v>1.9885623885456854E-3</v>
          </cell>
          <cell r="L513">
            <v>2.3327992975787065E-3</v>
          </cell>
          <cell r="M513">
            <v>3.0970575216075686E-3</v>
          </cell>
          <cell r="N513">
            <v>2.9447751444056252E-3</v>
          </cell>
          <cell r="O513">
            <v>4.3001958983962321E-3</v>
          </cell>
        </row>
        <row r="514">
          <cell r="A514" t="str">
            <v>T_TW-BEVELC-S2</v>
          </cell>
          <cell r="B514" t="str">
            <v>VAR_fin</v>
          </cell>
          <cell r="C514" t="str">
            <v>T-ELC-TWSTGout_S2</v>
          </cell>
          <cell r="D514">
            <v>3.5928026311060087E-4</v>
          </cell>
          <cell r="E514">
            <v>4.6411844197717932E-4</v>
          </cell>
          <cell r="F514">
            <v>4.6964303667018913E-4</v>
          </cell>
          <cell r="G514">
            <v>4.1282940062903659E-4</v>
          </cell>
          <cell r="H514">
            <v>1.4313983689714327E-4</v>
          </cell>
          <cell r="I514">
            <v>1.5297618940205075E-4</v>
          </cell>
          <cell r="J514">
            <v>2.2535837115328616E-4</v>
          </cell>
          <cell r="K514">
            <v>2.9707886645583009E-4</v>
          </cell>
          <cell r="L514">
            <v>3.465234574081675E-4</v>
          </cell>
          <cell r="M514">
            <v>4.590512137986173E-4</v>
          </cell>
          <cell r="N514">
            <v>4.3647965689114243E-4</v>
          </cell>
          <cell r="O514">
            <v>6.3738246156499936E-4</v>
          </cell>
        </row>
        <row r="515">
          <cell r="A515" t="str">
            <v>T_TW-BEVELC-S2</v>
          </cell>
          <cell r="B515" t="str">
            <v>VAR_ncap</v>
          </cell>
          <cell r="C515" t="str">
            <v>-</v>
          </cell>
          <cell r="D515">
            <v>4.34207398231367E-5</v>
          </cell>
          <cell r="E515">
            <v>6.4888847076629698E-5</v>
          </cell>
          <cell r="F515">
            <v>5.4320741147960598E-5</v>
          </cell>
          <cell r="G515">
            <v>6.5317632355299795E-5</v>
          </cell>
          <cell r="H515">
            <v>1.8501433634497401E-4</v>
          </cell>
          <cell r="I515">
            <v>1.5289346501139799E-4</v>
          </cell>
          <cell r="J515">
            <v>2.43731928183803E-4</v>
          </cell>
          <cell r="K515">
            <v>3.8500287696020499E-4</v>
          </cell>
          <cell r="L515">
            <v>3.5301338265120299E-4</v>
          </cell>
          <cell r="M515">
            <v>4.7833960399061402E-4</v>
          </cell>
          <cell r="N515">
            <v>4.9640340556120503E-4</v>
          </cell>
          <cell r="O515">
            <v>7.2689069006109496E-4</v>
          </cell>
        </row>
        <row r="516">
          <cell r="A516" t="str">
            <v>T_TW-BEVELC-S2</v>
          </cell>
          <cell r="B516" t="str">
            <v>VAR_cap</v>
          </cell>
          <cell r="C516" t="str">
            <v>-</v>
          </cell>
          <cell r="D516">
            <v>8.2833010832652305E-4</v>
          </cell>
          <cell r="E516">
            <v>1.0111235898325086E-3</v>
          </cell>
          <cell r="F516">
            <v>1.0653326344788002E-3</v>
          </cell>
          <cell r="G516">
            <v>9.6554068121682804E-4</v>
          </cell>
          <cell r="H516">
            <v>3.51928731298202E-4</v>
          </cell>
          <cell r="I516">
            <v>3.7797980788323906E-4</v>
          </cell>
          <cell r="J516">
            <v>5.5256449406710262E-4</v>
          </cell>
          <cell r="K516">
            <v>7.8144566675353105E-4</v>
          </cell>
          <cell r="L516">
            <v>9.1620004471224111E-4</v>
          </cell>
          <cell r="M516">
            <v>1.2160482179981228E-3</v>
          </cell>
          <cell r="N516">
            <v>1.1575803268911301E-3</v>
          </cell>
          <cell r="O516">
            <v>1.7013052510134264E-3</v>
          </cell>
        </row>
        <row r="517">
          <cell r="A517" t="str">
            <v>TFRLFH2OFCL</v>
          </cell>
          <cell r="B517" t="str">
            <v>VAR_fout</v>
          </cell>
          <cell r="C517" t="str">
            <v>TFRLF</v>
          </cell>
          <cell r="I517">
            <v>1.2002176092671804E-6</v>
          </cell>
          <cell r="J517">
            <v>1.2587881001857865E-6</v>
          </cell>
          <cell r="K517">
            <v>1.6950591420116354E-6</v>
          </cell>
          <cell r="L517">
            <v>1.7249991494985833E-6</v>
          </cell>
          <cell r="M517">
            <v>2.2587045908867592E-6</v>
          </cell>
          <cell r="N517">
            <v>2.1394906013188868E-6</v>
          </cell>
          <cell r="O517">
            <v>6.4589731468632978E-6</v>
          </cell>
        </row>
        <row r="518">
          <cell r="A518" t="str">
            <v>TFRLFH2OFCL</v>
          </cell>
          <cell r="B518" t="str">
            <v>VAR_fin</v>
          </cell>
          <cell r="C518" t="str">
            <v>TH2O</v>
          </cell>
          <cell r="I518">
            <v>1.6448382892151451E-4</v>
          </cell>
          <cell r="J518">
            <v>1.9027899419069068E-4</v>
          </cell>
          <cell r="K518">
            <v>2.8564722397535138E-4</v>
          </cell>
          <cell r="L518">
            <v>2.9069264086522932E-4</v>
          </cell>
          <cell r="M518">
            <v>3.8063137749960285E-4</v>
          </cell>
          <cell r="N518">
            <v>3.605417273304201E-4</v>
          </cell>
          <cell r="O518">
            <v>1.0884503693147098E-3</v>
          </cell>
        </row>
        <row r="519">
          <cell r="A519" t="str">
            <v>TFRLFH2OFCL</v>
          </cell>
          <cell r="B519" t="str">
            <v>VAR_ncap</v>
          </cell>
          <cell r="C519" t="str">
            <v>-</v>
          </cell>
          <cell r="I519">
            <v>1.79450359187316E-7</v>
          </cell>
          <cell r="K519">
            <v>7.2483183327223601E-8</v>
          </cell>
          <cell r="M519">
            <v>8.5122588810669904E-8</v>
          </cell>
          <cell r="O519">
            <v>4.8628717210857401E-7</v>
          </cell>
        </row>
        <row r="520">
          <cell r="A520" t="str">
            <v>TFRLFH2OFCL</v>
          </cell>
          <cell r="B520" t="str">
            <v>VAR_cap</v>
          </cell>
          <cell r="C520" t="str">
            <v>-</v>
          </cell>
          <cell r="I520">
            <v>1.79450359187316E-7</v>
          </cell>
          <cell r="J520">
            <v>1.79450359187316E-7</v>
          </cell>
          <cell r="K520">
            <v>2.5193354251454E-7</v>
          </cell>
          <cell r="L520">
            <v>2.5193354251454E-7</v>
          </cell>
          <cell r="M520">
            <v>3.3705613132521001E-7</v>
          </cell>
          <cell r="N520">
            <v>3.0896318302142902E-7</v>
          </cell>
          <cell r="O520">
            <v>6.4389294424646797E-7</v>
          </cell>
        </row>
        <row r="521">
          <cell r="A521" t="str">
            <v>T_TW-BEVELC-S3</v>
          </cell>
          <cell r="B521" t="str">
            <v>VAR_fout</v>
          </cell>
          <cell r="C521" t="str">
            <v>TPTWL</v>
          </cell>
          <cell r="D521">
            <v>3.1815259299903593E-4</v>
          </cell>
          <cell r="E521">
            <v>6.0457407032526458E-4</v>
          </cell>
          <cell r="F521">
            <v>7.1423695389183643E-4</v>
          </cell>
          <cell r="G521">
            <v>8.0401306661231334E-4</v>
          </cell>
          <cell r="H521">
            <v>1.0535773125626298E-3</v>
          </cell>
          <cell r="I521">
            <v>1.0342947332227749E-3</v>
          </cell>
          <cell r="J521">
            <v>9.6824548215380295E-4</v>
          </cell>
          <cell r="K521">
            <v>1.2684441416511293E-3</v>
          </cell>
          <cell r="L521">
            <v>1.5109261972603885E-3</v>
          </cell>
          <cell r="M521">
            <v>1.8260810349617434E-3</v>
          </cell>
          <cell r="N521">
            <v>2.1020800307448751E-3</v>
          </cell>
          <cell r="O521">
            <v>2.6133420537923216E-3</v>
          </cell>
        </row>
        <row r="522">
          <cell r="A522" t="str">
            <v>T_TW-BEVELC-S3</v>
          </cell>
          <cell r="B522" t="str">
            <v>VAR_fin</v>
          </cell>
          <cell r="C522" t="str">
            <v>T-ELC-TWSTGout_S3</v>
          </cell>
          <cell r="D522">
            <v>7.778519521685344E-5</v>
          </cell>
          <cell r="E522">
            <v>1.4752271867632256E-4</v>
          </cell>
          <cell r="F522">
            <v>1.7386761855975403E-4</v>
          </cell>
          <cell r="G522">
            <v>1.9501294156075083E-4</v>
          </cell>
          <cell r="H522">
            <v>2.5333911795042514E-4</v>
          </cell>
          <cell r="I522">
            <v>2.4501027467629065E-4</v>
          </cell>
          <cell r="J522">
            <v>2.2420815209821924E-4</v>
          </cell>
          <cell r="K522">
            <v>2.90436988670511E-4</v>
          </cell>
          <cell r="L522">
            <v>3.4330958690769782E-4</v>
          </cell>
          <cell r="M522">
            <v>4.122817727606162E-4</v>
          </cell>
          <cell r="N522">
            <v>4.735489678148838E-4</v>
          </cell>
          <cell r="O522">
            <v>5.8872422268435457E-4</v>
          </cell>
        </row>
        <row r="523">
          <cell r="A523" t="str">
            <v>T_TW-BEVELC-S3</v>
          </cell>
          <cell r="B523" t="str">
            <v>VAR_ncap</v>
          </cell>
          <cell r="C523" t="str">
            <v>-</v>
          </cell>
          <cell r="D523">
            <v>1.24565611229881E-5</v>
          </cell>
          <cell r="E523">
            <v>4.1419819324823601E-5</v>
          </cell>
          <cell r="F523">
            <v>4.7219821857031597E-5</v>
          </cell>
          <cell r="G523">
            <v>4.3130958781815099E-5</v>
          </cell>
          <cell r="H523">
            <v>9.9238588990868299E-5</v>
          </cell>
          <cell r="I523">
            <v>1.05689559101758E-4</v>
          </cell>
          <cell r="J523">
            <v>1.2492455471253101E-4</v>
          </cell>
          <cell r="K523">
            <v>1.68569266748527E-4</v>
          </cell>
          <cell r="L523">
            <v>1.7854934652137801E-4</v>
          </cell>
          <cell r="M523">
            <v>2.4422660301346002E-4</v>
          </cell>
          <cell r="N523">
            <v>2.3453490741805801E-4</v>
          </cell>
          <cell r="O523">
            <v>3.72871563580427E-4</v>
          </cell>
        </row>
        <row r="524">
          <cell r="A524" t="str">
            <v>T_TW-BEVELC-S3</v>
          </cell>
          <cell r="B524" t="str">
            <v>VAR_cap</v>
          </cell>
          <cell r="C524" t="str">
            <v>-</v>
          </cell>
          <cell r="D524">
            <v>1.1944439049478618E-4</v>
          </cell>
          <cell r="E524">
            <v>2.1581658850206836E-4</v>
          </cell>
          <cell r="F524">
            <v>2.6301092753880785E-4</v>
          </cell>
          <cell r="G524">
            <v>3.0600507953526572E-4</v>
          </cell>
          <cell r="H524">
            <v>4.0466961100644989E-4</v>
          </cell>
          <cell r="I524">
            <v>3.972605343861455E-4</v>
          </cell>
          <cell r="J524">
            <v>3.6756824786040492E-4</v>
          </cell>
          <cell r="K524">
            <v>4.9824880196512405E-4</v>
          </cell>
          <cell r="L524">
            <v>5.9362575411491436E-4</v>
          </cell>
          <cell r="M524">
            <v>7.1601777513431361E-4</v>
          </cell>
          <cell r="N524">
            <v>8.2562829107450393E-4</v>
          </cell>
          <cell r="O524">
            <v>1.0298646203627017E-3</v>
          </cell>
        </row>
        <row r="525">
          <cell r="A525" t="str">
            <v>T_TW-BEVELC-S4</v>
          </cell>
          <cell r="B525" t="str">
            <v>VAR_fout</v>
          </cell>
          <cell r="C525" t="str">
            <v>TPTWL</v>
          </cell>
          <cell r="D525">
            <v>1.4022232869294042E-4</v>
          </cell>
          <cell r="E525">
            <v>2.8729259935200978E-4</v>
          </cell>
          <cell r="F525">
            <v>3.7723710881224523E-4</v>
          </cell>
          <cell r="G525">
            <v>4.6182945207552477E-4</v>
          </cell>
          <cell r="H525">
            <v>6.0867065217406026E-4</v>
          </cell>
          <cell r="I525">
            <v>7.8857287822357814E-4</v>
          </cell>
          <cell r="J525">
            <v>8.7513028018080174E-4</v>
          </cell>
          <cell r="K525">
            <v>9.6470322909051557E-4</v>
          </cell>
          <cell r="L525">
            <v>1.1501282964172539E-3</v>
          </cell>
          <cell r="M525">
            <v>1.3818196730957322E-3</v>
          </cell>
          <cell r="N525">
            <v>1.5405860114173209E-3</v>
          </cell>
          <cell r="O525">
            <v>1.9401613206658701E-3</v>
          </cell>
        </row>
        <row r="526">
          <cell r="A526" t="str">
            <v>T_TW-BEVELC-S4</v>
          </cell>
          <cell r="B526" t="str">
            <v>VAR_fin</v>
          </cell>
          <cell r="C526" t="str">
            <v>T-ELC-TWSTGout_S4</v>
          </cell>
          <cell r="D526">
            <v>3.7243117349477699E-5</v>
          </cell>
          <cell r="E526">
            <v>7.608561465658835E-5</v>
          </cell>
          <cell r="F526">
            <v>9.9551583983032988E-5</v>
          </cell>
          <cell r="G526">
            <v>1.2118262881706879E-4</v>
          </cell>
          <cell r="H526">
            <v>1.5831989280293835E-4</v>
          </cell>
          <cell r="I526">
            <v>2.0319486977712155E-4</v>
          </cell>
          <cell r="J526">
            <v>2.2149540701443319E-4</v>
          </cell>
          <cell r="K526">
            <v>2.3890821110697562E-4</v>
          </cell>
          <cell r="L526">
            <v>2.8249377346562128E-4</v>
          </cell>
          <cell r="M526">
            <v>3.3712211671248698E-4</v>
          </cell>
          <cell r="N526">
            <v>3.7426695247184331E-4</v>
          </cell>
          <cell r="O526">
            <v>4.704838272151686E-4</v>
          </cell>
        </row>
        <row r="527">
          <cell r="A527" t="str">
            <v>T_TW-BEVELC-S4</v>
          </cell>
          <cell r="B527" t="str">
            <v>VAR_ncap</v>
          </cell>
          <cell r="C527" t="str">
            <v>-</v>
          </cell>
          <cell r="D527">
            <v>4.0284019149844602E-5</v>
          </cell>
          <cell r="E527">
            <v>3.7126242081831703E-5</v>
          </cell>
          <cell r="F527">
            <v>3.5584669950360999E-5</v>
          </cell>
          <cell r="G527">
            <v>3.7495032166442103E-5</v>
          </cell>
          <cell r="H527">
            <v>5.7662151341849498E-5</v>
          </cell>
          <cell r="I527">
            <v>6.9154667188110297E-5</v>
          </cell>
          <cell r="J527">
            <v>9.2014481994304295E-5</v>
          </cell>
          <cell r="K527">
            <v>1.21585039843014E-4</v>
          </cell>
          <cell r="L527">
            <v>1.10580556721141E-4</v>
          </cell>
          <cell r="M527">
            <v>1.4747228621393799E-4</v>
          </cell>
          <cell r="N527">
            <v>1.4635848001716501E-4</v>
          </cell>
          <cell r="O527">
            <v>2.35643852277258E-4</v>
          </cell>
        </row>
        <row r="528">
          <cell r="A528" t="str">
            <v>T_TW-BEVELC-S4</v>
          </cell>
          <cell r="B528" t="str">
            <v>VAR_cap</v>
          </cell>
          <cell r="C528" t="str">
            <v>-</v>
          </cell>
          <cell r="D528">
            <v>5.3284019149844599E-5</v>
          </cell>
          <cell r="E528">
            <v>1.0439390173120291E-4</v>
          </cell>
          <cell r="F528">
            <v>1.3995993597307828E-4</v>
          </cell>
          <cell r="G528">
            <v>1.7731746834307214E-4</v>
          </cell>
          <cell r="H528">
            <v>2.3491425803752168E-4</v>
          </cell>
          <cell r="I528">
            <v>3.0385839975355199E-4</v>
          </cell>
          <cell r="J528">
            <v>3.3545585870266244E-4</v>
          </cell>
          <cell r="K528">
            <v>3.7775074440008849E-4</v>
          </cell>
          <cell r="L528">
            <v>4.5081806940435224E-4</v>
          </cell>
          <cell r="M528">
            <v>5.4055683233316732E-4</v>
          </cell>
          <cell r="N528">
            <v>6.0336650116032313E-4</v>
          </cell>
          <cell r="O528">
            <v>7.614209491839019E-4</v>
          </cell>
        </row>
        <row r="529">
          <cell r="A529" t="str">
            <v>T_B_u-BeVELCEXT</v>
          </cell>
          <cell r="B529" t="str">
            <v>VAR_fout</v>
          </cell>
          <cell r="C529" t="str">
            <v>TPBSu</v>
          </cell>
          <cell r="D529">
            <v>1.9868162054833176E-3</v>
          </cell>
          <cell r="E529">
            <v>1.6036480225953774E-3</v>
          </cell>
          <cell r="F529">
            <v>1.0023377379092928E-3</v>
          </cell>
        </row>
        <row r="530">
          <cell r="A530" t="str">
            <v>T_B_u-BeVELCEXT</v>
          </cell>
          <cell r="B530" t="str">
            <v>VAR_fin</v>
          </cell>
          <cell r="C530" t="str">
            <v>TELC</v>
          </cell>
          <cell r="D530">
            <v>4.7411210980621745E-4</v>
          </cell>
          <cell r="E530">
            <v>4.7533091495459103E-4</v>
          </cell>
          <cell r="F530">
            <v>4.6653548803155632E-4</v>
          </cell>
        </row>
        <row r="531">
          <cell r="A531" t="str">
            <v>T_B_u-BeVELCEXT</v>
          </cell>
          <cell r="B531" t="str">
            <v>VAR_cap</v>
          </cell>
          <cell r="C531" t="str">
            <v>-</v>
          </cell>
          <cell r="D531">
            <v>3.7787326521869956E-5</v>
          </cell>
          <cell r="E531">
            <v>3.02316440049444E-5</v>
          </cell>
          <cell r="F531">
            <v>1.8894777503090199E-5</v>
          </cell>
        </row>
        <row r="532">
          <cell r="A532" t="str">
            <v>T_B_u-HYBDSL-S1</v>
          </cell>
          <cell r="B532" t="str">
            <v>VAR_fout</v>
          </cell>
          <cell r="C532" t="str">
            <v>CO2_T</v>
          </cell>
          <cell r="E532">
            <v>4.0652627138863098</v>
          </cell>
          <cell r="F532">
            <v>4.0904320096694695</v>
          </cell>
        </row>
        <row r="533">
          <cell r="A533" t="str">
            <v>T_B_u-HYBDSL-S1</v>
          </cell>
          <cell r="B533" t="str">
            <v>VAR_fout</v>
          </cell>
          <cell r="C533" t="str">
            <v>TPBSu</v>
          </cell>
          <cell r="E533">
            <v>9.0131089200648322E-3</v>
          </cell>
          <cell r="F533">
            <v>9.0718416395093576E-3</v>
          </cell>
        </row>
        <row r="534">
          <cell r="A534" t="str">
            <v>T_B_u-HYBDSL-S1</v>
          </cell>
          <cell r="B534" t="str">
            <v>VAR_fin</v>
          </cell>
          <cell r="C534" t="str">
            <v>TDSL</v>
          </cell>
          <cell r="E534">
            <v>5.5460610012091537E-2</v>
          </cell>
          <cell r="F534">
            <v>5.5803983760838519E-2</v>
          </cell>
        </row>
        <row r="535">
          <cell r="A535" t="str">
            <v>T_B_u-HYBDSL-S1</v>
          </cell>
          <cell r="B535" t="str">
            <v>VAR_ncap</v>
          </cell>
          <cell r="C535" t="str">
            <v>-</v>
          </cell>
          <cell r="E535">
            <v>1.7007091269703999E-4</v>
          </cell>
          <cell r="F535">
            <v>1.24064116997883E-6</v>
          </cell>
        </row>
        <row r="536">
          <cell r="A536" t="str">
            <v>T_B_u-HYBDSL-S1</v>
          </cell>
          <cell r="B536" t="str">
            <v>VAR_cap</v>
          </cell>
          <cell r="C536" t="str">
            <v>-</v>
          </cell>
          <cell r="E536">
            <v>1.7007091269703999E-4</v>
          </cell>
          <cell r="F536">
            <v>1.7131155386701901E-4</v>
          </cell>
          <cell r="G536">
            <v>9.2081944901099139E-10</v>
          </cell>
          <cell r="H536">
            <v>5.4159053787897192E-10</v>
          </cell>
        </row>
        <row r="537">
          <cell r="A537" t="str">
            <v>T_B_u-HYBDSL-S2</v>
          </cell>
          <cell r="B537" t="str">
            <v>VAR_fout</v>
          </cell>
          <cell r="C537" t="str">
            <v>CO2_T</v>
          </cell>
          <cell r="E537">
            <v>3.3338037874754797E-2</v>
          </cell>
          <cell r="F537">
            <v>4.9649667917094603E-2</v>
          </cell>
        </row>
        <row r="538">
          <cell r="A538" t="str">
            <v>T_B_u-HYBDSL-S2</v>
          </cell>
          <cell r="B538" t="str">
            <v>VAR_fout</v>
          </cell>
          <cell r="C538" t="str">
            <v>TPBSu</v>
          </cell>
          <cell r="E538">
            <v>5.2983345099421232E-5</v>
          </cell>
          <cell r="F538">
            <v>8.0185566802369802E-5</v>
          </cell>
        </row>
        <row r="539">
          <cell r="A539" t="str">
            <v>T_B_u-HYBDSL-S2</v>
          </cell>
          <cell r="B539" t="str">
            <v>VAR_fin</v>
          </cell>
          <cell r="C539" t="str">
            <v>TDSL</v>
          </cell>
          <cell r="E539">
            <v>4.5481634208396649E-4</v>
          </cell>
          <cell r="F539">
            <v>6.7734881196581981E-4</v>
          </cell>
        </row>
        <row r="540">
          <cell r="A540" t="str">
            <v>T_B_u-HYBDSL-S2</v>
          </cell>
          <cell r="B540" t="str">
            <v>VAR_ncap</v>
          </cell>
          <cell r="C540" t="str">
            <v>-</v>
          </cell>
          <cell r="E540">
            <v>1.04345988912584E-6</v>
          </cell>
          <cell r="F540">
            <v>5.3224768419441802E-7</v>
          </cell>
        </row>
        <row r="541">
          <cell r="A541" t="str">
            <v>T_B_u-HYBDSL-S2</v>
          </cell>
          <cell r="B541" t="str">
            <v>VAR_cap</v>
          </cell>
          <cell r="C541" t="str">
            <v>-</v>
          </cell>
          <cell r="E541">
            <v>1.04345988912584E-6</v>
          </cell>
          <cell r="F541">
            <v>1.57570757332026E-6</v>
          </cell>
          <cell r="G541">
            <v>7.8249368309100838E-9</v>
          </cell>
          <cell r="H541">
            <v>3.6522140279709807E-9</v>
          </cell>
        </row>
        <row r="542">
          <cell r="A542" t="str">
            <v>T_B_u-HYBDSL-S3</v>
          </cell>
          <cell r="B542" t="str">
            <v>VAR_fout</v>
          </cell>
          <cell r="C542" t="str">
            <v>CO2_T</v>
          </cell>
          <cell r="E542">
            <v>3.5381493400826802E-2</v>
          </cell>
          <cell r="F542">
            <v>5.1226340296587597E-2</v>
          </cell>
        </row>
        <row r="543">
          <cell r="A543" t="str">
            <v>T_B_u-HYBDSL-S3</v>
          </cell>
          <cell r="B543" t="str">
            <v>VAR_fout</v>
          </cell>
          <cell r="C543" t="str">
            <v>TPBSu</v>
          </cell>
          <cell r="E543">
            <v>3.7763989603182417E-5</v>
          </cell>
          <cell r="F543">
            <v>5.551184598837994E-5</v>
          </cell>
        </row>
        <row r="544">
          <cell r="A544" t="str">
            <v>T_B_u-HYBDSL-S3</v>
          </cell>
          <cell r="B544" t="str">
            <v>VAR_fin</v>
          </cell>
          <cell r="C544" t="str">
            <v>TDSL</v>
          </cell>
          <cell r="E544">
            <v>4.8269431651878355E-4</v>
          </cell>
          <cell r="F544">
            <v>6.9885866707486389E-4</v>
          </cell>
        </row>
        <row r="545">
          <cell r="A545" t="str">
            <v>T_B_u-HYBDSL-S3</v>
          </cell>
          <cell r="B545" t="str">
            <v>VAR_ncap</v>
          </cell>
          <cell r="C545" t="str">
            <v>-</v>
          </cell>
          <cell r="E545">
            <v>7.4012783713685002E-7</v>
          </cell>
          <cell r="F545">
            <v>3.43007086266748E-7</v>
          </cell>
        </row>
        <row r="546">
          <cell r="A546" t="str">
            <v>T_B_u-HYBDSL-S3</v>
          </cell>
          <cell r="B546" t="str">
            <v>VAR_cap</v>
          </cell>
          <cell r="C546" t="str">
            <v>-</v>
          </cell>
          <cell r="E546">
            <v>7.4012783713685002E-7</v>
          </cell>
          <cell r="F546">
            <v>1.0831349234036E-6</v>
          </cell>
          <cell r="G546">
            <v>3.5970623929493729E-10</v>
          </cell>
        </row>
        <row r="547">
          <cell r="A547" t="str">
            <v>T_C-HY-GSL-S1</v>
          </cell>
          <cell r="B547" t="str">
            <v>VAR_fout</v>
          </cell>
          <cell r="C547" t="str">
            <v>CO2_T</v>
          </cell>
          <cell r="D547">
            <v>3.3785989025289909</v>
          </cell>
          <cell r="E547">
            <v>3.9781281827044572</v>
          </cell>
          <cell r="F547">
            <v>2.8611322792383609</v>
          </cell>
          <cell r="G547">
            <v>2.22496879466151</v>
          </cell>
          <cell r="H547">
            <v>0.2154372512795297</v>
          </cell>
          <cell r="I547">
            <v>2.3839596794849899E-2</v>
          </cell>
        </row>
        <row r="548">
          <cell r="A548" t="str">
            <v>T_C-HY-GSL-S1</v>
          </cell>
          <cell r="B548" t="str">
            <v>VAR_fout</v>
          </cell>
          <cell r="C548" t="str">
            <v>TPCAR</v>
          </cell>
          <cell r="D548">
            <v>5.1953519609993337E-2</v>
          </cell>
          <cell r="E548">
            <v>6.2553964567281781E-2</v>
          </cell>
          <cell r="F548">
            <v>4.4876717043620708E-2</v>
          </cell>
          <cell r="G548">
            <v>3.6138112838994547E-2</v>
          </cell>
          <cell r="H548">
            <v>3.7098900064480608E-3</v>
          </cell>
          <cell r="I548">
            <v>3.2422033578253064E-4</v>
          </cell>
        </row>
        <row r="549">
          <cell r="A549" t="str">
            <v>T_C-HY-GSL-S1</v>
          </cell>
          <cell r="B549" t="str">
            <v>VAR_fin</v>
          </cell>
          <cell r="C549" t="str">
            <v>TGSL</v>
          </cell>
          <cell r="D549">
            <v>4.5780472933997042E-2</v>
          </cell>
          <cell r="E549">
            <v>5.3904175917404706E-2</v>
          </cell>
          <cell r="F549">
            <v>3.8768730070980577E-2</v>
          </cell>
          <cell r="G549">
            <v>3.0148628653949978E-2</v>
          </cell>
          <cell r="H549">
            <v>2.9192039468770919E-3</v>
          </cell>
          <cell r="I549">
            <v>3.2302976686788534E-4</v>
          </cell>
        </row>
        <row r="550">
          <cell r="A550" t="str">
            <v>T_C-HY-GSL-S1</v>
          </cell>
          <cell r="B550" t="str">
            <v>VAR_ncap</v>
          </cell>
          <cell r="C550" t="str">
            <v>-</v>
          </cell>
          <cell r="E550">
            <v>1.2796874469260999E-4</v>
          </cell>
          <cell r="F550">
            <v>2.36993810593736E-4</v>
          </cell>
          <cell r="G550">
            <v>5.1965844124024499E-5</v>
          </cell>
        </row>
        <row r="551">
          <cell r="A551" t="str">
            <v>T_C-HY-GSL-S1</v>
          </cell>
          <cell r="B551" t="str">
            <v>VAR_cap</v>
          </cell>
          <cell r="C551" t="str">
            <v>-</v>
          </cell>
          <cell r="D551">
            <v>5.6689974502690966E-3</v>
          </cell>
          <cell r="E551">
            <v>6.6860343591175998E-3</v>
          </cell>
          <cell r="F551">
            <v>6.8052150204252976E-3</v>
          </cell>
          <cell r="G551">
            <v>5.4818833705802851E-3</v>
          </cell>
          <cell r="H551">
            <v>5.5709319085832766E-4</v>
          </cell>
          <cell r="I551">
            <v>4.7042585039426844E-5</v>
          </cell>
        </row>
        <row r="552">
          <cell r="A552" t="str">
            <v>T_B_u-HYBDSL-S4</v>
          </cell>
          <cell r="B552" t="str">
            <v>VAR_fout</v>
          </cell>
          <cell r="C552" t="str">
            <v>CO2_T</v>
          </cell>
          <cell r="E552">
            <v>1.78264074728927E-3</v>
          </cell>
          <cell r="F552">
            <v>3.4025747169364601E-3</v>
          </cell>
        </row>
        <row r="553">
          <cell r="A553" t="str">
            <v>T_B_u-HYBDSL-S4</v>
          </cell>
          <cell r="B553" t="str">
            <v>VAR_fout</v>
          </cell>
          <cell r="C553" t="str">
            <v>TPBSu</v>
          </cell>
          <cell r="E553">
            <v>1.2829040398366072E-6</v>
          </cell>
          <cell r="F553">
            <v>2.5045797086508095E-6</v>
          </cell>
        </row>
        <row r="554">
          <cell r="A554" t="str">
            <v>T_B_u-HYBDSL-S4</v>
          </cell>
          <cell r="B554" t="str">
            <v>VAR_fin</v>
          </cell>
          <cell r="C554" t="str">
            <v>TDSL</v>
          </cell>
          <cell r="E554">
            <v>2.4319791913905432E-5</v>
          </cell>
          <cell r="F554">
            <v>4.6419846070074546E-5</v>
          </cell>
        </row>
        <row r="555">
          <cell r="A555" t="str">
            <v>T_B_u-HYBDSL-S4</v>
          </cell>
          <cell r="B555" t="str">
            <v>VAR_ncap</v>
          </cell>
          <cell r="C555" t="str">
            <v>-</v>
          </cell>
          <cell r="E555">
            <v>4.5670912027757697E-8</v>
          </cell>
          <cell r="F555">
            <v>3.89372807960237E-8</v>
          </cell>
          <cell r="I555">
            <v>1.02852324788809E-8</v>
          </cell>
        </row>
        <row r="556">
          <cell r="A556" t="str">
            <v>T_B_u-HYBDSL-S4</v>
          </cell>
          <cell r="B556" t="str">
            <v>VAR_cap</v>
          </cell>
          <cell r="C556" t="str">
            <v>-</v>
          </cell>
          <cell r="E556">
            <v>4.5670912027757697E-8</v>
          </cell>
          <cell r="F556">
            <v>8.4608192823781397E-8</v>
          </cell>
          <cell r="G556">
            <v>5.0994025181477032E-9</v>
          </cell>
          <cell r="I556">
            <v>1.02852324788809E-8</v>
          </cell>
          <cell r="J556">
            <v>5.3330061372772996E-9</v>
          </cell>
        </row>
        <row r="557">
          <cell r="A557" t="str">
            <v>TFRLFDSLEXT</v>
          </cell>
          <cell r="B557" t="str">
            <v>VAR_fout</v>
          </cell>
          <cell r="C557" t="str">
            <v>CO2_T</v>
          </cell>
          <cell r="D557">
            <v>29.033495517667198</v>
          </cell>
          <cell r="E557">
            <v>2.2398290004656402E-2</v>
          </cell>
          <cell r="F557">
            <v>2.4212767380065999E-2</v>
          </cell>
          <cell r="G557">
            <v>2.5256070028423401E-2</v>
          </cell>
          <cell r="H557">
            <v>2.4577982293164002E-2</v>
          </cell>
          <cell r="I557">
            <v>2.45678730575669E-2</v>
          </cell>
          <cell r="J557">
            <v>2.3484951008842798E-2</v>
          </cell>
          <cell r="K557">
            <v>3.6184583302616602E-3</v>
          </cell>
          <cell r="M557">
            <v>6.6147208806283803E-3</v>
          </cell>
          <cell r="N557">
            <v>6.6254518503115704E-3</v>
          </cell>
          <cell r="O557">
            <v>3.4137939013120601E-2</v>
          </cell>
        </row>
        <row r="558">
          <cell r="A558" t="str">
            <v>TFRLFDSLEXT</v>
          </cell>
          <cell r="B558" t="str">
            <v>VAR_fout</v>
          </cell>
          <cell r="C558" t="str">
            <v>TFRLF</v>
          </cell>
          <cell r="D558">
            <v>1.6053874832845994E-3</v>
          </cell>
          <cell r="E558">
            <v>1.2384982854914313E-6</v>
          </cell>
          <cell r="F558">
            <v>1.3388285838329815E-6</v>
          </cell>
          <cell r="G558">
            <v>1.396517297612947E-6</v>
          </cell>
          <cell r="H558">
            <v>1.3590228952564765E-6</v>
          </cell>
          <cell r="I558">
            <v>1.3584639119165841E-6</v>
          </cell>
          <cell r="J558">
            <v>1.2985844702097922E-6</v>
          </cell>
          <cell r="K558">
            <v>2.0008020421289263E-7</v>
          </cell>
          <cell r="M558">
            <v>3.6575651391063773E-7</v>
          </cell>
          <cell r="N558">
            <v>3.6634987561599642E-7</v>
          </cell>
          <cell r="O558">
            <v>1.8876342314154888E-6</v>
          </cell>
        </row>
        <row r="559">
          <cell r="A559" t="str">
            <v>TFRLFDSLEXT</v>
          </cell>
          <cell r="B559" t="str">
            <v>VAR_fin</v>
          </cell>
          <cell r="C559" t="str">
            <v>TDSL</v>
          </cell>
          <cell r="D559">
            <v>0.39609134403365925</v>
          </cell>
          <cell r="E559">
            <v>3.0557012284660904E-4</v>
          </cell>
          <cell r="F559">
            <v>3.303242480227285E-4</v>
          </cell>
          <cell r="G559">
            <v>3.4455757201123309E-4</v>
          </cell>
          <cell r="H559">
            <v>3.3530671614139158E-4</v>
          </cell>
          <cell r="I559">
            <v>3.3516880023965709E-4</v>
          </cell>
          <cell r="J559">
            <v>3.2039496601422645E-4</v>
          </cell>
          <cell r="K559">
            <v>4.9365052254592891E-5</v>
          </cell>
          <cell r="M559">
            <v>9.0241758262324368E-5</v>
          </cell>
          <cell r="N559">
            <v>9.0388156211617551E-5</v>
          </cell>
          <cell r="O559">
            <v>4.6572904519946213E-4</v>
          </cell>
        </row>
        <row r="560">
          <cell r="A560" t="str">
            <v>TFRLFDSLEXT</v>
          </cell>
          <cell r="B560" t="str">
            <v>VAR_ncap</v>
          </cell>
          <cell r="C560" t="str">
            <v>-</v>
          </cell>
          <cell r="D560">
            <v>1.4821387560916101E-4</v>
          </cell>
          <cell r="K560">
            <v>6.3695808275758202E-8</v>
          </cell>
          <cell r="L560">
            <v>2.4058158361635201E-8</v>
          </cell>
          <cell r="M560">
            <v>5.9869681870122404E-8</v>
          </cell>
          <cell r="O560">
            <v>1.5647650365436199E-7</v>
          </cell>
        </row>
        <row r="561">
          <cell r="A561" t="str">
            <v>TFRLFDSLEXT</v>
          </cell>
          <cell r="B561" t="str">
            <v>VAR_cap</v>
          </cell>
          <cell r="C561" t="str">
            <v>-</v>
          </cell>
          <cell r="D561">
            <v>1.4821387560916101E-4</v>
          </cell>
          <cell r="E561">
            <v>2.0812475289201269E-7</v>
          </cell>
          <cell r="F561">
            <v>2.0783708960201439E-7</v>
          </cell>
          <cell r="G561">
            <v>2.076014187980162E-7</v>
          </cell>
          <cell r="H561">
            <v>2.0737002803201195E-7</v>
          </cell>
          <cell r="I561">
            <v>2.0621230416200732E-7</v>
          </cell>
          <cell r="J561">
            <v>2.0073596055002131E-7</v>
          </cell>
          <cell r="K561">
            <v>1.3180074007989711E-7</v>
          </cell>
          <cell r="L561">
            <v>8.7753966637393406E-8</v>
          </cell>
          <cell r="M561">
            <v>1.4762364850751601E-7</v>
          </cell>
          <cell r="N561">
            <v>1.4762364850751601E-7</v>
          </cell>
          <cell r="O561">
            <v>3.04100152161878E-7</v>
          </cell>
        </row>
        <row r="562">
          <cell r="A562" t="str">
            <v>T_C-HY-GSL-S2</v>
          </cell>
          <cell r="B562" t="str">
            <v>VAR_fout</v>
          </cell>
          <cell r="C562" t="str">
            <v>CO2_T</v>
          </cell>
          <cell r="D562">
            <v>10.221978002329021</v>
          </cell>
          <cell r="E562">
            <v>16.943335777858</v>
          </cell>
          <cell r="F562">
            <v>56.985976006500266</v>
          </cell>
          <cell r="G562">
            <v>49.252599404333353</v>
          </cell>
          <cell r="H562">
            <v>20.922678366836838</v>
          </cell>
          <cell r="I562">
            <v>3.0510484872220487</v>
          </cell>
        </row>
        <row r="563">
          <cell r="A563" t="str">
            <v>T_C-HY-GSL-S2</v>
          </cell>
          <cell r="B563" t="str">
            <v>VAR_fout</v>
          </cell>
          <cell r="C563" t="str">
            <v>TPCAR</v>
          </cell>
          <cell r="D563">
            <v>0.22174560683693836</v>
          </cell>
          <cell r="E563">
            <v>0.45097153673256252</v>
          </cell>
          <cell r="F563">
            <v>1.4718948182694083</v>
          </cell>
          <cell r="G563">
            <v>1.2675602531579164</v>
          </cell>
          <cell r="H563">
            <v>0.54488890107609422</v>
          </cell>
          <cell r="I563">
            <v>7.6575417168876572E-2</v>
          </cell>
        </row>
        <row r="564">
          <cell r="A564" t="str">
            <v>T_C-HY-GSL-S2</v>
          </cell>
          <cell r="B564" t="str">
            <v>VAR_fin</v>
          </cell>
          <cell r="C564" t="str">
            <v>TGSL</v>
          </cell>
          <cell r="D564">
            <v>0.13850918702342851</v>
          </cell>
          <cell r="E564">
            <v>0.22958449563493211</v>
          </cell>
          <cell r="F564">
            <v>0.77216769656504369</v>
          </cell>
          <cell r="G564">
            <v>0.66737939572267424</v>
          </cell>
          <cell r="H564">
            <v>0.28350512692190843</v>
          </cell>
          <cell r="I564">
            <v>4.1342120423063115E-2</v>
          </cell>
        </row>
        <row r="565">
          <cell r="A565" t="str">
            <v>T_C-HY-GSL-S2</v>
          </cell>
          <cell r="B565" t="str">
            <v>VAR_ncap</v>
          </cell>
          <cell r="C565" t="str">
            <v>-</v>
          </cell>
          <cell r="E565">
            <v>5.0533528343597797E-3</v>
          </cell>
          <cell r="F565">
            <v>8.0543638340624002E-2</v>
          </cell>
          <cell r="G565">
            <v>3.67504570109906E-5</v>
          </cell>
        </row>
        <row r="566">
          <cell r="A566" t="str">
            <v>T_C-HY-GSL-S2</v>
          </cell>
          <cell r="B566" t="str">
            <v>VAR_cap</v>
          </cell>
          <cell r="C566" t="str">
            <v>-</v>
          </cell>
          <cell r="D566">
            <v>1.722712477588647E-2</v>
          </cell>
          <cell r="E566">
            <v>3.4216605933932949E-2</v>
          </cell>
          <cell r="F566">
            <v>0.1123199647165809</v>
          </cell>
          <cell r="G566">
            <v>9.6176578496396409E-2</v>
          </cell>
          <cell r="H566">
            <v>5.4974085515291676E-2</v>
          </cell>
          <cell r="I566">
            <v>7.9882656838228851E-3</v>
          </cell>
        </row>
        <row r="567">
          <cell r="A567" t="str">
            <v>TPSHPNGAEXT</v>
          </cell>
          <cell r="B567" t="str">
            <v>VAR_ncap</v>
          </cell>
          <cell r="C567" t="str">
            <v>-</v>
          </cell>
          <cell r="D567">
            <v>2.94708650071395E-6</v>
          </cell>
          <cell r="E567">
            <v>3.0369716143257799E-6</v>
          </cell>
          <cell r="F567">
            <v>3.1299437018677E-6</v>
          </cell>
          <cell r="G567">
            <v>3.3588615635082801E-6</v>
          </cell>
          <cell r="H567">
            <v>1.1814466952064899E-5</v>
          </cell>
          <cell r="I567">
            <v>1.05333288958455E-4</v>
          </cell>
          <cell r="J567">
            <v>5.6860273272429799E-6</v>
          </cell>
          <cell r="K567">
            <v>4.1036003585184399E-6</v>
          </cell>
          <cell r="L567">
            <v>4.0311702532033599E-6</v>
          </cell>
          <cell r="M567">
            <v>4.9441137485921304E-6</v>
          </cell>
          <cell r="N567">
            <v>2.9367391492881998E-6</v>
          </cell>
          <cell r="O567">
            <v>1.0374222293139001E-5</v>
          </cell>
        </row>
        <row r="568">
          <cell r="A568" t="str">
            <v>TPSHPNGAEXT</v>
          </cell>
          <cell r="B568" t="str">
            <v>VAR_cap</v>
          </cell>
          <cell r="C568" t="str">
            <v>-</v>
          </cell>
          <cell r="D568">
            <v>2.94708650071395E-6</v>
          </cell>
          <cell r="E568">
            <v>5.179642382935792E-6</v>
          </cell>
          <cell r="F568">
            <v>6.4317279888590092E-6</v>
          </cell>
          <cell r="G568">
            <v>7.6697396315822791E-6</v>
          </cell>
          <cell r="H568">
            <v>1.6823827387470479E-5</v>
          </cell>
          <cell r="I568">
            <v>1.1950511522458152E-4</v>
          </cell>
          <cell r="J568">
            <v>1.1608185086502875E-4</v>
          </cell>
          <cell r="K568">
            <v>6.7150061951494694E-5</v>
          </cell>
          <cell r="L568">
            <v>1.2845939488088592E-5</v>
          </cell>
          <cell r="M568">
            <v>1.0063497264995531E-5</v>
          </cell>
          <cell r="N568">
            <v>8.1131644137058623E-6</v>
          </cell>
          <cell r="O568">
            <v>1.680512872741492E-5</v>
          </cell>
        </row>
        <row r="569">
          <cell r="A569" t="str">
            <v>T_C-HY-DSL-S1</v>
          </cell>
          <cell r="B569" t="str">
            <v>VAR_fout</v>
          </cell>
          <cell r="C569" t="str">
            <v>CO2_T</v>
          </cell>
          <cell r="D569">
            <v>2.2647287324559901E-3</v>
          </cell>
          <cell r="E569">
            <v>12.041829471369352</v>
          </cell>
          <cell r="F569">
            <v>8.3419747821689754</v>
          </cell>
          <cell r="G569">
            <v>6.770358575236604</v>
          </cell>
          <cell r="H569">
            <v>2.4665529299786457</v>
          </cell>
          <cell r="I569">
            <v>5.92277118559262E-2</v>
          </cell>
        </row>
        <row r="570">
          <cell r="A570" t="str">
            <v>T_C-HY-DSL-S1</v>
          </cell>
          <cell r="B570" t="str">
            <v>VAR_fout</v>
          </cell>
          <cell r="C570" t="str">
            <v>TPCAR</v>
          </cell>
          <cell r="D570">
            <v>1.2922275708719451E-5</v>
          </cell>
          <cell r="E570">
            <v>0.27888010534391228</v>
          </cell>
          <cell r="F570">
            <v>0.1916787011143877</v>
          </cell>
          <cell r="G570">
            <v>0.15495430799706295</v>
          </cell>
          <cell r="H570">
            <v>5.576002295084629E-2</v>
          </cell>
          <cell r="I570">
            <v>9.6548376245655931E-4</v>
          </cell>
        </row>
        <row r="571">
          <cell r="A571" t="str">
            <v>T_C-HY-DSL-S1</v>
          </cell>
          <cell r="B571" t="str">
            <v>VAR_fin</v>
          </cell>
          <cell r="C571" t="str">
            <v>TDSL</v>
          </cell>
          <cell r="D571">
            <v>3.0896708491896122E-5</v>
          </cell>
          <cell r="E571">
            <v>0.16428143889999111</v>
          </cell>
          <cell r="F571">
            <v>0.11380593154391486</v>
          </cell>
          <cell r="G571">
            <v>9.2365055596679388E-2</v>
          </cell>
          <cell r="H571">
            <v>3.3650108185247475E-2</v>
          </cell>
          <cell r="I571">
            <v>8.0801789707948357E-4</v>
          </cell>
        </row>
        <row r="572">
          <cell r="A572" t="str">
            <v>T_C-HY-DSL-S1</v>
          </cell>
          <cell r="B572" t="str">
            <v>VAR_ncap</v>
          </cell>
          <cell r="C572" t="str">
            <v>-</v>
          </cell>
          <cell r="E572">
            <v>3.01955448842866E-2</v>
          </cell>
          <cell r="F572">
            <v>1.0496426566245301E-3</v>
          </cell>
          <cell r="G572">
            <v>8.8734915041033797E-5</v>
          </cell>
        </row>
        <row r="573">
          <cell r="A573" t="str">
            <v>T_C-HY-DSL-S1</v>
          </cell>
          <cell r="B573" t="str">
            <v>VAR_cap</v>
          </cell>
          <cell r="C573" t="str">
            <v>-</v>
          </cell>
          <cell r="D573">
            <v>1.5999999999999999E-6</v>
          </cell>
          <cell r="E573">
            <v>2.97951470381915E-2</v>
          </cell>
          <cell r="F573">
            <v>2.9125460267601499E-2</v>
          </cell>
          <cell r="G573">
            <v>2.3545644524386261E-2</v>
          </cell>
          <cell r="H573">
            <v>8.4690592558772492E-3</v>
          </cell>
          <cell r="I573">
            <v>1.4417427946180527E-4</v>
          </cell>
        </row>
        <row r="574">
          <cell r="A574" t="str">
            <v>T_C-HY-GSL-S3</v>
          </cell>
          <cell r="B574" t="str">
            <v>VAR_fout</v>
          </cell>
          <cell r="C574" t="str">
            <v>CO2_T</v>
          </cell>
          <cell r="D574">
            <v>7.5802109294378921</v>
          </cell>
          <cell r="E574">
            <v>82.676281291977119</v>
          </cell>
          <cell r="F574">
            <v>78.217933409950831</v>
          </cell>
          <cell r="G574">
            <v>62.534601002790431</v>
          </cell>
          <cell r="H574">
            <v>19.793267582299727</v>
          </cell>
          <cell r="I574">
            <v>9.5276497982962009E-3</v>
          </cell>
        </row>
        <row r="575">
          <cell r="A575" t="str">
            <v>T_C-HY-GSL-S3</v>
          </cell>
          <cell r="B575" t="str">
            <v>VAR_fout</v>
          </cell>
          <cell r="C575" t="str">
            <v>TPCAR</v>
          </cell>
          <cell r="D575">
            <v>0.20262436320031202</v>
          </cell>
          <cell r="E575">
            <v>2.7899128612869237</v>
          </cell>
          <cell r="F575">
            <v>2.6363496038923837</v>
          </cell>
          <cell r="G575">
            <v>2.1230172797270463</v>
          </cell>
          <cell r="H575">
            <v>0.68348156608762578</v>
          </cell>
          <cell r="I575">
            <v>1.0905762454013019E-4</v>
          </cell>
        </row>
        <row r="576">
          <cell r="A576" t="str">
            <v>T_C-HY-GSL-S3</v>
          </cell>
          <cell r="B576" t="str">
            <v>VAR_fin</v>
          </cell>
          <cell r="C576" t="str">
            <v>TGSL</v>
          </cell>
          <cell r="D576">
            <v>0.10271288522273561</v>
          </cell>
          <cell r="E576">
            <v>1.1202748142544317</v>
          </cell>
          <cell r="F576">
            <v>1.0598635963407992</v>
          </cell>
          <cell r="G576">
            <v>0.84735231711098236</v>
          </cell>
          <cell r="H576">
            <v>0.26820145775473897</v>
          </cell>
          <cell r="I576">
            <v>1.2910094577637141E-4</v>
          </cell>
        </row>
        <row r="577">
          <cell r="A577" t="str">
            <v>T_C-HY-GSL-S3</v>
          </cell>
          <cell r="B577" t="str">
            <v>VAR_ncap</v>
          </cell>
          <cell r="C577" t="str">
            <v>-</v>
          </cell>
          <cell r="E577">
            <v>0.16813319393876699</v>
          </cell>
          <cell r="F577">
            <v>2.97144270233702E-5</v>
          </cell>
          <cell r="G577">
            <v>1.20850562043231E-5</v>
          </cell>
        </row>
        <row r="578">
          <cell r="A578" t="str">
            <v>T_C-HY-GSL-S3</v>
          </cell>
          <cell r="B578" t="str">
            <v>VAR_cap</v>
          </cell>
          <cell r="C578" t="str">
            <v>-</v>
          </cell>
          <cell r="D578">
            <v>1.4248862433934886E-2</v>
          </cell>
          <cell r="E578">
            <v>0.19182952892734181</v>
          </cell>
          <cell r="F578">
            <v>0.18128226859622171</v>
          </cell>
          <cell r="G578">
            <v>0.14598315922943789</v>
          </cell>
          <cell r="H578">
            <v>4.7004140576878163E-2</v>
          </cell>
          <cell r="I578">
            <v>8.4272248529381291E-6</v>
          </cell>
        </row>
        <row r="579">
          <cell r="A579" t="str">
            <v>T_C-HY-DSL-S2</v>
          </cell>
          <cell r="B579" t="str">
            <v>VAR_fout</v>
          </cell>
          <cell r="C579" t="str">
            <v>CO2_T</v>
          </cell>
          <cell r="D579">
            <v>0.20356199559551269</v>
          </cell>
          <cell r="E579">
            <v>41.438603739589851</v>
          </cell>
          <cell r="F579">
            <v>85.558821164107059</v>
          </cell>
          <cell r="G579">
            <v>72.276354170755795</v>
          </cell>
          <cell r="H579">
            <v>35.48523623845923</v>
          </cell>
          <cell r="I579">
            <v>3.3949051716153269</v>
          </cell>
        </row>
        <row r="580">
          <cell r="A580" t="str">
            <v>T_C-HY-DSL-S2</v>
          </cell>
          <cell r="B580" t="str">
            <v>VAR_fout</v>
          </cell>
          <cell r="C580" t="str">
            <v>TPCAR</v>
          </cell>
          <cell r="D580">
            <v>3.2523855334865778E-3</v>
          </cell>
          <cell r="E580">
            <v>1.5152442442332179</v>
          </cell>
          <cell r="F580">
            <v>2.6674158568585891</v>
          </cell>
          <cell r="G580">
            <v>2.2364600459114552</v>
          </cell>
          <cell r="H580">
            <v>1.0522313471433349</v>
          </cell>
          <cell r="I580">
            <v>9.0147655802524512E-2</v>
          </cell>
        </row>
        <row r="581">
          <cell r="A581" t="str">
            <v>T_C-HY-DSL-S2</v>
          </cell>
          <cell r="B581" t="str">
            <v>VAR_fin</v>
          </cell>
          <cell r="C581" t="str">
            <v>TDSL</v>
          </cell>
          <cell r="D581">
            <v>2.7771077161734335E-3</v>
          </cell>
          <cell r="E581">
            <v>0.56532883682932888</v>
          </cell>
          <cell r="F581">
            <v>1.1672417621297007</v>
          </cell>
          <cell r="G581">
            <v>0.98603484544005082</v>
          </cell>
          <cell r="H581">
            <v>0.48410963490394637</v>
          </cell>
          <cell r="I581">
            <v>4.6315213801027641E-2</v>
          </cell>
        </row>
        <row r="582">
          <cell r="A582" t="str">
            <v>T_C-HY-DSL-S2</v>
          </cell>
          <cell r="B582" t="str">
            <v>VAR_ncap</v>
          </cell>
          <cell r="C582" t="str">
            <v>-</v>
          </cell>
          <cell r="E582">
            <v>0.11599005392291201</v>
          </cell>
          <cell r="F582">
            <v>9.5269136604167595E-2</v>
          </cell>
          <cell r="G582">
            <v>3.7720455446675997E-5</v>
          </cell>
        </row>
        <row r="583">
          <cell r="A583" t="str">
            <v>T_C-HY-DSL-S2</v>
          </cell>
          <cell r="B583" t="str">
            <v>VAR_cap</v>
          </cell>
          <cell r="C583" t="str">
            <v>-</v>
          </cell>
          <cell r="D583">
            <v>2.5983244489738086E-4</v>
          </cell>
          <cell r="E583">
            <v>0.11496651257367238</v>
          </cell>
          <cell r="F583">
            <v>0.20238966172135936</v>
          </cell>
          <cell r="G583">
            <v>0.16969638583176119</v>
          </cell>
          <cell r="H583">
            <v>8.8781141373969391E-2</v>
          </cell>
          <cell r="I583">
            <v>9.446122016703154E-3</v>
          </cell>
        </row>
        <row r="584">
          <cell r="A584" t="str">
            <v>D-T-ELC-Bus_c_S1</v>
          </cell>
          <cell r="B584" t="str">
            <v>VAR_fout</v>
          </cell>
          <cell r="C584" t="str">
            <v>T-ELC-Bus_c_BatSTGin_S1</v>
          </cell>
          <cell r="D584">
            <v>3.6591185224037822E-4</v>
          </cell>
          <cell r="E584">
            <v>1.1791343593269157E-3</v>
          </cell>
          <cell r="F584">
            <v>1.7093765049813016E-3</v>
          </cell>
          <cell r="G584">
            <v>0.14510825420784157</v>
          </cell>
          <cell r="H584">
            <v>0.14337021299937311</v>
          </cell>
          <cell r="I584">
            <v>0.1413522939645499</v>
          </cell>
          <cell r="J584">
            <v>0.13509816135246785</v>
          </cell>
          <cell r="K584">
            <v>0.12638149849359778</v>
          </cell>
          <cell r="L584">
            <v>0.12865935925130753</v>
          </cell>
          <cell r="M584">
            <v>0.13231866699803757</v>
          </cell>
          <cell r="N584">
            <v>0.13512753719857745</v>
          </cell>
          <cell r="O584">
            <v>0.14078294484207077</v>
          </cell>
        </row>
        <row r="585">
          <cell r="A585" t="str">
            <v>D-T-ELC-Bus_c_S1</v>
          </cell>
          <cell r="B585" t="str">
            <v>VAR_fin</v>
          </cell>
          <cell r="C585" t="str">
            <v>TELC</v>
          </cell>
          <cell r="D585">
            <v>3.6591185224037822E-4</v>
          </cell>
          <cell r="E585">
            <v>1.1791343593269157E-3</v>
          </cell>
          <cell r="F585">
            <v>1.7093765049813016E-3</v>
          </cell>
          <cell r="G585">
            <v>0.14510825420784157</v>
          </cell>
          <cell r="H585">
            <v>0.14337021299937311</v>
          </cell>
          <cell r="I585">
            <v>0.1413522939645499</v>
          </cell>
          <cell r="J585">
            <v>0.13509816135246785</v>
          </cell>
          <cell r="K585">
            <v>0.12638149849359778</v>
          </cell>
          <cell r="L585">
            <v>0.12865935925130753</v>
          </cell>
          <cell r="M585">
            <v>0.13231866699803757</v>
          </cell>
          <cell r="N585">
            <v>0.13512753719857745</v>
          </cell>
          <cell r="O585">
            <v>0.14078294484207077</v>
          </cell>
        </row>
        <row r="586">
          <cell r="A586" t="str">
            <v>D-T-ELC-Bus_c_S1</v>
          </cell>
          <cell r="B586" t="str">
            <v>VAR_ncap</v>
          </cell>
          <cell r="C586" t="str">
            <v>-</v>
          </cell>
          <cell r="D586">
            <v>4.5030695525480601E-5</v>
          </cell>
          <cell r="E586">
            <v>1.9629417857744199E-4</v>
          </cell>
          <cell r="F586">
            <v>1.031954803877E-4</v>
          </cell>
          <cell r="G586">
            <v>1.81821988651494E-2</v>
          </cell>
          <cell r="H586">
            <v>3.8218600722708902E-6</v>
          </cell>
          <cell r="I586">
            <v>1.3742656622623899E-2</v>
          </cell>
          <cell r="J586">
            <v>3.0271148457376999E-3</v>
          </cell>
          <cell r="K586">
            <v>7.9375615718793296E-3</v>
          </cell>
          <cell r="L586">
            <v>6.7012599708563998E-3</v>
          </cell>
          <cell r="M586">
            <v>5.6071308986755403E-3</v>
          </cell>
          <cell r="N586">
            <v>9.9939293773370508E-3</v>
          </cell>
          <cell r="O586">
            <v>3.5519986774010599E-3</v>
          </cell>
        </row>
        <row r="587">
          <cell r="A587" t="str">
            <v>D-T-ELC-Bus_c_S1</v>
          </cell>
          <cell r="B587" t="str">
            <v>VAR_cap</v>
          </cell>
          <cell r="C587" t="str">
            <v>-</v>
          </cell>
          <cell r="D587">
            <v>4.5030695525480601E-5</v>
          </cell>
          <cell r="E587">
            <v>2.41324874102923E-4</v>
          </cell>
          <cell r="F587">
            <v>3.4452035449062301E-4</v>
          </cell>
          <cell r="G587">
            <v>1.84886292566433E-2</v>
          </cell>
          <cell r="H587">
            <v>1.82388922896667E-2</v>
          </cell>
          <cell r="I587">
            <v>1.7564684568048699E-2</v>
          </cell>
          <cell r="J587">
            <v>1.6771753144834398E-2</v>
          </cell>
          <cell r="K587">
            <v>1.5659129954869299E-2</v>
          </cell>
          <cell r="L587">
            <v>1.60004500656096E-2</v>
          </cell>
          <cell r="M587">
            <v>1.63751513188055E-2</v>
          </cell>
          <cell r="N587">
            <v>1.67880003303231E-2</v>
          </cell>
          <cell r="O587">
            <v>1.7329972308812801E-2</v>
          </cell>
        </row>
        <row r="588">
          <cell r="A588" t="str">
            <v>T_C-HY-GSL-S4</v>
          </cell>
          <cell r="B588" t="str">
            <v>VAR_fout</v>
          </cell>
          <cell r="C588" t="str">
            <v>CO2_T</v>
          </cell>
          <cell r="D588">
            <v>6.6998105282942166</v>
          </cell>
          <cell r="E588">
            <v>9.9927837020547035</v>
          </cell>
          <cell r="F588">
            <v>9.439726092372144</v>
          </cell>
          <cell r="G588">
            <v>7.9744697004592142</v>
          </cell>
          <cell r="H588">
            <v>1.1708315615134899</v>
          </cell>
          <cell r="I588">
            <v>1.0643868770846179E-2</v>
          </cell>
        </row>
        <row r="589">
          <cell r="A589" t="str">
            <v>T_C-HY-GSL-S4</v>
          </cell>
          <cell r="B589" t="str">
            <v>VAR_fout</v>
          </cell>
          <cell r="C589" t="str">
            <v>TPCAR</v>
          </cell>
          <cell r="D589">
            <v>0.10402302359104226</v>
          </cell>
          <cell r="E589">
            <v>0.17960569501136858</v>
          </cell>
          <cell r="F589">
            <v>0.17136036315374584</v>
          </cell>
          <cell r="G589">
            <v>0.14432181055126858</v>
          </cell>
          <cell r="H589">
            <v>2.5318783230347877E-2</v>
          </cell>
          <cell r="I589">
            <v>1.0890043207072463E-4</v>
          </cell>
        </row>
        <row r="590">
          <cell r="A590" t="str">
            <v>T_C-HY-GSL-S4</v>
          </cell>
          <cell r="B590" t="str">
            <v>VAR_fin</v>
          </cell>
          <cell r="C590" t="str">
            <v>TGSL</v>
          </cell>
          <cell r="D590">
            <v>9.0783340491791473E-2</v>
          </cell>
          <cell r="E590">
            <v>0.13540357319857327</v>
          </cell>
          <cell r="F590">
            <v>0.12790956764731901</v>
          </cell>
          <cell r="G590">
            <v>0.10805514499267227</v>
          </cell>
          <cell r="H590">
            <v>1.5864926307770873E-2</v>
          </cell>
          <cell r="I590">
            <v>1.4422586410360683E-4</v>
          </cell>
        </row>
        <row r="591">
          <cell r="A591" t="str">
            <v>T_C-HY-GSL-S4</v>
          </cell>
          <cell r="B591" t="str">
            <v>VAR_ncap</v>
          </cell>
          <cell r="C591" t="str">
            <v>-</v>
          </cell>
          <cell r="E591">
            <v>6.9016879323851096E-5</v>
          </cell>
          <cell r="F591">
            <v>2.8292610283617302E-5</v>
          </cell>
          <cell r="G591">
            <v>1.5449629562131201E-5</v>
          </cell>
        </row>
        <row r="592">
          <cell r="A592" t="str">
            <v>T_C-HY-GSL-S4</v>
          </cell>
          <cell r="B592" t="str">
            <v>VAR_cap</v>
          </cell>
          <cell r="C592" t="str">
            <v>-</v>
          </cell>
          <cell r="D592">
            <v>8.3204881331993309E-3</v>
          </cell>
          <cell r="E592">
            <v>1.414734181704929E-2</v>
          </cell>
          <cell r="F592">
            <v>1.3593564419586776E-2</v>
          </cell>
          <cell r="G592">
            <v>1.1382684130698028E-2</v>
          </cell>
          <cell r="H592">
            <v>2.0111024998277654E-3</v>
          </cell>
          <cell r="I592">
            <v>9.8144599828325238E-6</v>
          </cell>
        </row>
        <row r="593">
          <cell r="A593" t="str">
            <v>T_C-HY-DSL-S3</v>
          </cell>
          <cell r="B593" t="str">
            <v>VAR_fout</v>
          </cell>
          <cell r="C593" t="str">
            <v>CO2_T</v>
          </cell>
          <cell r="D593">
            <v>2.1501408391887842</v>
          </cell>
          <cell r="E593">
            <v>3.3436824914322756</v>
          </cell>
          <cell r="F593">
            <v>3.2109505917047922</v>
          </cell>
          <cell r="G593">
            <v>2.4137320317929474</v>
          </cell>
          <cell r="H593">
            <v>0.47010135873129166</v>
          </cell>
          <cell r="I593">
            <v>9.6490300096921597E-3</v>
          </cell>
        </row>
        <row r="594">
          <cell r="A594" t="str">
            <v>T_C-HY-DSL-S3</v>
          </cell>
          <cell r="B594" t="str">
            <v>VAR_fout</v>
          </cell>
          <cell r="C594" t="str">
            <v>TPCAR</v>
          </cell>
          <cell r="D594">
            <v>2.6288473669298255E-2</v>
          </cell>
          <cell r="E594">
            <v>5.4320515641800245E-2</v>
          </cell>
          <cell r="F594">
            <v>5.1968556364344248E-2</v>
          </cell>
          <cell r="G594">
            <v>4.1412403363480357E-2</v>
          </cell>
          <cell r="H594">
            <v>9.3496200830947718E-3</v>
          </cell>
          <cell r="I594">
            <v>1.017317557831337E-4</v>
          </cell>
        </row>
        <row r="595">
          <cell r="A595" t="str">
            <v>T_C-HY-DSL-S3</v>
          </cell>
          <cell r="B595" t="str">
            <v>VAR_fin</v>
          </cell>
          <cell r="C595" t="str">
            <v>TDSL</v>
          </cell>
          <cell r="D595">
            <v>2.9333435732452784E-2</v>
          </cell>
          <cell r="E595">
            <v>4.5616405067288812E-2</v>
          </cell>
          <cell r="F595">
            <v>4.3805601523939829E-2</v>
          </cell>
          <cell r="G595">
            <v>3.292949565883968E-2</v>
          </cell>
          <cell r="H595">
            <v>6.4133882500858287E-3</v>
          </cell>
          <cell r="I595">
            <v>1.3163751718543192E-4</v>
          </cell>
        </row>
        <row r="596">
          <cell r="A596" t="str">
            <v>T_C-HY-DSL-S3</v>
          </cell>
          <cell r="B596" t="str">
            <v>VAR_ncap</v>
          </cell>
          <cell r="C596" t="str">
            <v>-</v>
          </cell>
          <cell r="E596">
            <v>6.4751540248251602E-5</v>
          </cell>
          <cell r="F596">
            <v>2.52488322686055E-5</v>
          </cell>
          <cell r="G596">
            <v>1.19486380158178E-5</v>
          </cell>
        </row>
        <row r="597">
          <cell r="A597" t="str">
            <v>T_C-HY-DSL-S3</v>
          </cell>
          <cell r="B597" t="str">
            <v>VAR_cap</v>
          </cell>
          <cell r="C597" t="str">
            <v>-</v>
          </cell>
          <cell r="D597">
            <v>1.8564224216438771E-3</v>
          </cell>
          <cell r="E597">
            <v>3.738221419075705E-3</v>
          </cell>
          <cell r="F597">
            <v>3.5831315613612255E-3</v>
          </cell>
          <cell r="G597">
            <v>2.8582188354545875E-3</v>
          </cell>
          <cell r="H597">
            <v>6.5006146408465477E-4</v>
          </cell>
          <cell r="I597">
            <v>7.9236894409085164E-6</v>
          </cell>
        </row>
        <row r="598">
          <cell r="A598" t="str">
            <v>D-T-ELC-Bus_c_S2</v>
          </cell>
          <cell r="B598" t="str">
            <v>VAR_fout</v>
          </cell>
          <cell r="C598" t="str">
            <v>T-ELC-Bus_c_BatSTGin_S2</v>
          </cell>
          <cell r="D598">
            <v>6.1313522683870212E-4</v>
          </cell>
          <cell r="E598">
            <v>7.5578967130417206E-4</v>
          </cell>
          <cell r="F598">
            <v>9.2537266772953328E-4</v>
          </cell>
          <cell r="G598">
            <v>0.17865807373914688</v>
          </cell>
          <cell r="H598">
            <v>0.18050930759956046</v>
          </cell>
          <cell r="I598">
            <v>0.16865125738356751</v>
          </cell>
          <cell r="J598">
            <v>0.16369985874271267</v>
          </cell>
          <cell r="K598">
            <v>0.15764103630877133</v>
          </cell>
          <cell r="L598">
            <v>0.15637147216168931</v>
          </cell>
          <cell r="M598">
            <v>0.16162726379610867</v>
          </cell>
          <cell r="N598">
            <v>0.16509656336974995</v>
          </cell>
          <cell r="O598">
            <v>0.17188423451304485</v>
          </cell>
        </row>
        <row r="599">
          <cell r="A599" t="str">
            <v>D-T-ELC-Bus_c_S2</v>
          </cell>
          <cell r="B599" t="str">
            <v>VAR_fin</v>
          </cell>
          <cell r="C599" t="str">
            <v>TELC</v>
          </cell>
          <cell r="D599">
            <v>6.1313522683870212E-4</v>
          </cell>
          <cell r="E599">
            <v>7.5578967130417206E-4</v>
          </cell>
          <cell r="F599">
            <v>9.2537266772953328E-4</v>
          </cell>
          <cell r="G599">
            <v>0.17865807373914688</v>
          </cell>
          <cell r="H599">
            <v>0.18050930759956046</v>
          </cell>
          <cell r="I599">
            <v>0.16865125738356751</v>
          </cell>
          <cell r="J599">
            <v>0.16369985874271267</v>
          </cell>
          <cell r="K599">
            <v>0.15764103630877133</v>
          </cell>
          <cell r="L599">
            <v>0.15637147216168931</v>
          </cell>
          <cell r="M599">
            <v>0.16162726379610867</v>
          </cell>
          <cell r="N599">
            <v>0.16509656336974995</v>
          </cell>
          <cell r="O599">
            <v>0.17188423451304485</v>
          </cell>
        </row>
        <row r="600">
          <cell r="A600" t="str">
            <v>D-T-ELC-Bus_c_S2</v>
          </cell>
          <cell r="B600" t="str">
            <v>VAR_ncap</v>
          </cell>
          <cell r="C600" t="str">
            <v>-</v>
          </cell>
          <cell r="D600">
            <v>6.8854867598557005E-5</v>
          </cell>
          <cell r="E600">
            <v>1.60884211780348E-5</v>
          </cell>
          <cell r="F600">
            <v>2.3493329946351901E-5</v>
          </cell>
          <cell r="G600">
            <v>2.2477717322703102E-2</v>
          </cell>
          <cell r="H600">
            <v>6.1832368275941201E-6</v>
          </cell>
          <cell r="I600">
            <v>1.62753453994776E-2</v>
          </cell>
          <cell r="J600">
            <v>4.1036952589399598E-3</v>
          </cell>
          <cell r="K600">
            <v>9.8345014559747101E-3</v>
          </cell>
          <cell r="L600">
            <v>7.8379527146261799E-3</v>
          </cell>
          <cell r="M600">
            <v>7.17288510387094E-3</v>
          </cell>
          <cell r="N600">
            <v>1.20112677204623E-2</v>
          </cell>
          <cell r="O600">
            <v>4.35320688337345E-3</v>
          </cell>
        </row>
        <row r="601">
          <cell r="A601" t="str">
            <v>D-T-ELC-Bus_c_S2</v>
          </cell>
          <cell r="B601" t="str">
            <v>VAR_cap</v>
          </cell>
          <cell r="C601" t="str">
            <v>-</v>
          </cell>
          <cell r="D601">
            <v>6.8854867598557005E-5</v>
          </cell>
          <cell r="E601">
            <v>8.4943288776591699E-5</v>
          </cell>
          <cell r="F601">
            <v>1.08436618722944E-4</v>
          </cell>
          <cell r="G601">
            <v>2.2565548314821202E-2</v>
          </cell>
          <cell r="H601">
            <v>2.2495937221442799E-2</v>
          </cell>
          <cell r="I601">
            <v>2.1001780444291102E-2</v>
          </cell>
          <cell r="J601">
            <v>2.0382246734703801E-2</v>
          </cell>
          <cell r="K601">
            <v>1.9497809741612901E-2</v>
          </cell>
          <cell r="L601">
            <v>1.95183400383349E-2</v>
          </cell>
          <cell r="M601">
            <v>2.00494836541617E-2</v>
          </cell>
          <cell r="N601">
            <v>2.0572426083577101E-2</v>
          </cell>
          <cell r="O601">
            <v>2.12051881796241E-2</v>
          </cell>
        </row>
        <row r="602">
          <cell r="A602" t="str">
            <v>T_C-HY-DSL-S4</v>
          </cell>
          <cell r="B602" t="str">
            <v>VAR_fout</v>
          </cell>
          <cell r="C602" t="str">
            <v>CO2_T</v>
          </cell>
          <cell r="D602">
            <v>2.5848228848112313</v>
          </cell>
          <cell r="E602">
            <v>5.2134048442713175</v>
          </cell>
          <cell r="F602">
            <v>4.9495782889457089</v>
          </cell>
          <cell r="G602">
            <v>4.0716709166336162</v>
          </cell>
          <cell r="H602">
            <v>0.92195869116741302</v>
          </cell>
          <cell r="I602">
            <v>1.0615499080692181E-2</v>
          </cell>
        </row>
        <row r="603">
          <cell r="A603" t="str">
            <v>T_C-HY-DSL-S4</v>
          </cell>
          <cell r="B603" t="str">
            <v>VAR_fout</v>
          </cell>
          <cell r="C603" t="str">
            <v>TPCAR</v>
          </cell>
          <cell r="D603">
            <v>4.7445643899777686E-2</v>
          </cell>
          <cell r="E603">
            <v>0.11222602608010766</v>
          </cell>
          <cell r="F603">
            <v>0.10713302751851171</v>
          </cell>
          <cell r="G603">
            <v>8.9954461723807375E-2</v>
          </cell>
          <cell r="H603">
            <v>1.9803929560909914E-2</v>
          </cell>
          <cell r="I603">
            <v>1.0938600066032229E-4</v>
          </cell>
        </row>
        <row r="604">
          <cell r="A604" t="str">
            <v>T_C-HY-DSL-S4</v>
          </cell>
          <cell r="B604" t="str">
            <v>VAR_fin</v>
          </cell>
          <cell r="C604" t="str">
            <v>TDSL</v>
          </cell>
          <cell r="D604">
            <v>3.5263613708202288E-2</v>
          </cell>
          <cell r="E604">
            <v>7.1124213427985319E-2</v>
          </cell>
          <cell r="F604">
            <v>6.7524942550418895E-2</v>
          </cell>
          <cell r="G604">
            <v>5.554803433333716E-2</v>
          </cell>
          <cell r="H604">
            <v>1.2577881189187092E-2</v>
          </cell>
          <cell r="I604">
            <v>1.4482263411585492E-4</v>
          </cell>
        </row>
        <row r="605">
          <cell r="A605" t="str">
            <v>T_C-HY-DSL-S4</v>
          </cell>
          <cell r="B605" t="str">
            <v>VAR_ncap</v>
          </cell>
          <cell r="C605" t="str">
            <v>-</v>
          </cell>
          <cell r="E605">
            <v>7.1564578537369901E-5</v>
          </cell>
          <cell r="F605">
            <v>2.84055693010028E-5</v>
          </cell>
          <cell r="G605">
            <v>1.5684223466825699E-5</v>
          </cell>
        </row>
        <row r="606">
          <cell r="A606" t="str">
            <v>T_C-HY-DSL-S4</v>
          </cell>
          <cell r="B606" t="str">
            <v>VAR_cap</v>
          </cell>
          <cell r="C606" t="str">
            <v>-</v>
          </cell>
          <cell r="D606">
            <v>3.7729585947715071E-3</v>
          </cell>
          <cell r="E606">
            <v>8.8404543648913508E-3</v>
          </cell>
          <cell r="F606">
            <v>8.4562857532945439E-3</v>
          </cell>
          <cell r="G606">
            <v>7.1006199533446938E-3</v>
          </cell>
          <cell r="H606">
            <v>1.5772859428127668E-3</v>
          </cell>
          <cell r="I606">
            <v>9.9323692286406455E-6</v>
          </cell>
        </row>
        <row r="607">
          <cell r="A607" t="str">
            <v>D-T-ELC-Bus_c_S3</v>
          </cell>
          <cell r="B607" t="str">
            <v>VAR_fout</v>
          </cell>
          <cell r="C607" t="str">
            <v>T-ELC-Bus_c_BatSTGin_S3</v>
          </cell>
          <cell r="D607">
            <v>2.3047268555702539E-4</v>
          </cell>
          <cell r="E607">
            <v>3.0840715983544432E-4</v>
          </cell>
          <cell r="F607">
            <v>3.9358307252432604E-4</v>
          </cell>
          <cell r="G607">
            <v>5.8767672615851148E-2</v>
          </cell>
          <cell r="H607">
            <v>5.7784772179395656E-2</v>
          </cell>
          <cell r="I607">
            <v>5.4219428280529162E-2</v>
          </cell>
          <cell r="J607">
            <v>5.2965031491811657E-2</v>
          </cell>
          <cell r="K607">
            <v>5.0499481993397752E-2</v>
          </cell>
          <cell r="L607">
            <v>5.0902126131759637E-2</v>
          </cell>
          <cell r="M607">
            <v>5.2892682291059673E-2</v>
          </cell>
          <cell r="N607">
            <v>5.4022618070230483E-2</v>
          </cell>
          <cell r="O607">
            <v>5.6394422860978871E-2</v>
          </cell>
        </row>
        <row r="608">
          <cell r="A608" t="str">
            <v>D-T-ELC-Bus_c_S3</v>
          </cell>
          <cell r="B608" t="str">
            <v>VAR_fin</v>
          </cell>
          <cell r="C608" t="str">
            <v>TELC</v>
          </cell>
          <cell r="D608">
            <v>2.3047268555702539E-4</v>
          </cell>
          <cell r="E608">
            <v>3.0840715983544432E-4</v>
          </cell>
          <cell r="F608">
            <v>3.9358307252432604E-4</v>
          </cell>
          <cell r="G608">
            <v>5.8767672615851148E-2</v>
          </cell>
          <cell r="H608">
            <v>5.7784772179395656E-2</v>
          </cell>
          <cell r="I608">
            <v>5.4219428280529162E-2</v>
          </cell>
          <cell r="J608">
            <v>5.2965031491811657E-2</v>
          </cell>
          <cell r="K608">
            <v>5.0499481993397752E-2</v>
          </cell>
          <cell r="L608">
            <v>5.0902126131759637E-2</v>
          </cell>
          <cell r="M608">
            <v>5.2892682291059673E-2</v>
          </cell>
          <cell r="N608">
            <v>5.4022618070230483E-2</v>
          </cell>
          <cell r="O608">
            <v>5.6394422860978871E-2</v>
          </cell>
        </row>
        <row r="609">
          <cell r="A609" t="str">
            <v>D-T-ELC-Bus_c_S3</v>
          </cell>
          <cell r="B609" t="str">
            <v>VAR_ncap</v>
          </cell>
          <cell r="C609" t="str">
            <v>-</v>
          </cell>
          <cell r="D609">
            <v>2.81007404325625E-5</v>
          </cell>
          <cell r="E609">
            <v>7.4689932152971701E-6</v>
          </cell>
          <cell r="F609">
            <v>9.7242382027806496E-6</v>
          </cell>
          <cell r="G609">
            <v>6.7450709958767696E-3</v>
          </cell>
          <cell r="H609">
            <v>2.0069729102415701E-3</v>
          </cell>
          <cell r="I609">
            <v>4.6566796629109496E-3</v>
          </cell>
          <cell r="J609">
            <v>2.2587283400139699E-3</v>
          </cell>
          <cell r="K609">
            <v>3.8946468263261701E-3</v>
          </cell>
          <cell r="L609">
            <v>2.0309696271774099E-3</v>
          </cell>
          <cell r="M609">
            <v>4.9071408618774704E-3</v>
          </cell>
          <cell r="N609">
            <v>1.72408018204626E-3</v>
          </cell>
          <cell r="O609">
            <v>5.1362374714295301E-3</v>
          </cell>
        </row>
        <row r="610">
          <cell r="A610" t="str">
            <v>D-T-ELC-Bus_c_S3</v>
          </cell>
          <cell r="B610" t="str">
            <v>VAR_cap</v>
          </cell>
          <cell r="C610" t="str">
            <v>-</v>
          </cell>
          <cell r="D610">
            <v>2.81007404325625E-5</v>
          </cell>
          <cell r="E610">
            <v>3.5569733647859699E-5</v>
          </cell>
          <cell r="F610">
            <v>4.5293971850640397E-5</v>
          </cell>
          <cell r="G610">
            <v>6.7718605784062198E-3</v>
          </cell>
          <cell r="H610">
            <v>7.1277102360194997E-3</v>
          </cell>
          <cell r="I610">
            <v>6.6636525731525202E-3</v>
          </cell>
          <cell r="J610">
            <v>6.5418838443198103E-3</v>
          </cell>
          <cell r="K610">
            <v>6.1533751663401396E-3</v>
          </cell>
          <cell r="L610">
            <v>6.2726792738211001E-3</v>
          </cell>
          <cell r="M610">
            <v>6.4490166973973804E-3</v>
          </cell>
          <cell r="N610">
            <v>6.6312210439237202E-3</v>
          </cell>
          <cell r="O610">
            <v>6.8603176534757799E-3</v>
          </cell>
        </row>
        <row r="611">
          <cell r="A611" t="str">
            <v>D-T-ELC-Bus_c_S4</v>
          </cell>
          <cell r="B611" t="str">
            <v>VAR_fout</v>
          </cell>
          <cell r="C611" t="str">
            <v>T-ELC-Bus_c_BatSTGin_S4</v>
          </cell>
          <cell r="E611">
            <v>3.8774495839696157E-5</v>
          </cell>
          <cell r="F611">
            <v>6.7675080820121E-5</v>
          </cell>
          <cell r="G611">
            <v>4.0741657107554508E-5</v>
          </cell>
          <cell r="H611">
            <v>5.8161498089320902E-5</v>
          </cell>
          <cell r="I611">
            <v>3.4037722831673064E-4</v>
          </cell>
          <cell r="J611">
            <v>4.414214772773098E-4</v>
          </cell>
          <cell r="K611">
            <v>6.8867744557373997E-4</v>
          </cell>
          <cell r="L611">
            <v>6.9456161305890194E-4</v>
          </cell>
          <cell r="M611">
            <v>7.8194657371478753E-4</v>
          </cell>
          <cell r="N611">
            <v>9.8191529132141825E-4</v>
          </cell>
          <cell r="O611">
            <v>1.4568867656476279E-3</v>
          </cell>
        </row>
        <row r="612">
          <cell r="A612" t="str">
            <v>D-T-ELC-Bus_c_S4</v>
          </cell>
          <cell r="B612" t="str">
            <v>VAR_fin</v>
          </cell>
          <cell r="C612" t="str">
            <v>TELC</v>
          </cell>
          <cell r="E612">
            <v>3.8774495839696157E-5</v>
          </cell>
          <cell r="F612">
            <v>6.7675080820121E-5</v>
          </cell>
          <cell r="G612">
            <v>4.0741657107554508E-5</v>
          </cell>
          <cell r="H612">
            <v>5.8161498089320902E-5</v>
          </cell>
          <cell r="I612">
            <v>3.4037722831673064E-4</v>
          </cell>
          <cell r="J612">
            <v>4.414214772773098E-4</v>
          </cell>
          <cell r="K612">
            <v>6.8867744557373997E-4</v>
          </cell>
          <cell r="L612">
            <v>6.9456161305890194E-4</v>
          </cell>
          <cell r="M612">
            <v>7.8194657371478753E-4</v>
          </cell>
          <cell r="N612">
            <v>9.8191529132141825E-4</v>
          </cell>
          <cell r="O612">
            <v>1.4568867656476279E-3</v>
          </cell>
        </row>
        <row r="613">
          <cell r="A613" t="str">
            <v>D-T-ELC-Bus_c_S4</v>
          </cell>
          <cell r="B613" t="str">
            <v>VAR_ncap</v>
          </cell>
          <cell r="C613" t="str">
            <v>-</v>
          </cell>
          <cell r="D613">
            <v>4.0747267678344201E-6</v>
          </cell>
          <cell r="E613">
            <v>2.9034723197170302E-6</v>
          </cell>
          <cell r="F613">
            <v>2.2127313646368399E-6</v>
          </cell>
          <cell r="G613">
            <v>1.6989436167083899E-6</v>
          </cell>
          <cell r="H613">
            <v>6.5118503896847302E-6</v>
          </cell>
          <cell r="I613">
            <v>6.08836477056431E-5</v>
          </cell>
          <cell r="J613">
            <v>6.52561890578325E-5</v>
          </cell>
          <cell r="K613">
            <v>8.0191719554382094E-5</v>
          </cell>
          <cell r="L613">
            <v>8.4296724929932903E-5</v>
          </cell>
          <cell r="M613">
            <v>1.13147898719286E-4</v>
          </cell>
          <cell r="N613">
            <v>1.13839227797797E-4</v>
          </cell>
          <cell r="O613">
            <v>1.8214658441115201E-4</v>
          </cell>
        </row>
        <row r="614">
          <cell r="A614" t="str">
            <v>D-T-ELC-Bus_c_S4</v>
          </cell>
          <cell r="B614" t="str">
            <v>VAR_cap</v>
          </cell>
          <cell r="C614" t="str">
            <v>-</v>
          </cell>
          <cell r="D614">
            <v>4.0747267678344201E-6</v>
          </cell>
          <cell r="E614">
            <v>6.9781990875514499E-6</v>
          </cell>
          <cell r="F614">
            <v>9.1909304521882907E-6</v>
          </cell>
          <cell r="G614">
            <v>4.8254698578333204E-6</v>
          </cell>
          <cell r="H614">
            <v>6.9524451093225702E-6</v>
          </cell>
          <cell r="I614">
            <v>6.6156639009894703E-5</v>
          </cell>
          <cell r="J614">
            <v>9.6825029873120899E-5</v>
          </cell>
          <cell r="K614">
            <v>1.24230696298341E-4</v>
          </cell>
          <cell r="L614">
            <v>1.4297274598017401E-4</v>
          </cell>
          <cell r="M614">
            <v>1.3500894903409799E-4</v>
          </cell>
          <cell r="N614">
            <v>1.9111769358938699E-4</v>
          </cell>
          <cell r="O614">
            <v>2.58972448408426E-4</v>
          </cell>
        </row>
        <row r="615">
          <cell r="A615" t="str">
            <v>D-TH2O</v>
          </cell>
          <cell r="B615" t="str">
            <v>VAR_fout</v>
          </cell>
          <cell r="C615" t="str">
            <v>TH2O</v>
          </cell>
          <cell r="D615">
            <v>3.3967007847175708E-3</v>
          </cell>
          <cell r="E615">
            <v>3.0760729313412515E-3</v>
          </cell>
          <cell r="F615">
            <v>2.9896652180464362E-3</v>
          </cell>
          <cell r="G615">
            <v>1.6585679843767004E-4</v>
          </cell>
          <cell r="H615">
            <v>3.4841467505175485E-4</v>
          </cell>
          <cell r="I615">
            <v>2.7446015164671561E-3</v>
          </cell>
          <cell r="J615">
            <v>2.9481048841822253E-3</v>
          </cell>
          <cell r="K615">
            <v>3.2752126819266991E-3</v>
          </cell>
          <cell r="L615">
            <v>3.4542259536151083E-3</v>
          </cell>
          <cell r="M615">
            <v>3.8121364012486127E-3</v>
          </cell>
          <cell r="N615">
            <v>3.7719034253089197E-3</v>
          </cell>
          <cell r="O615">
            <v>5.1634731982437426E-3</v>
          </cell>
        </row>
        <row r="616">
          <cell r="A616" t="str">
            <v>D-TH2O</v>
          </cell>
          <cell r="B616" t="str">
            <v>VAR_fin</v>
          </cell>
          <cell r="C616" t="str">
            <v>H2</v>
          </cell>
          <cell r="D616">
            <v>3.3967007847175708E-3</v>
          </cell>
          <cell r="E616">
            <v>3.0760729313412515E-3</v>
          </cell>
          <cell r="F616">
            <v>2.9896652180464362E-3</v>
          </cell>
          <cell r="G616">
            <v>1.6585679843767004E-4</v>
          </cell>
          <cell r="H616">
            <v>3.4841467505175485E-4</v>
          </cell>
          <cell r="I616">
            <v>2.7446015164671561E-3</v>
          </cell>
          <cell r="J616">
            <v>2.9481048841822253E-3</v>
          </cell>
          <cell r="K616">
            <v>3.2773805236991798E-3</v>
          </cell>
          <cell r="L616">
            <v>3.4552050239762557E-3</v>
          </cell>
          <cell r="M616">
            <v>3.8125817876467228E-3</v>
          </cell>
          <cell r="N616">
            <v>3.7723597013731331E-3</v>
          </cell>
          <cell r="O616">
            <v>5.1660126029949875E-3</v>
          </cell>
        </row>
        <row r="617">
          <cell r="A617" t="str">
            <v>D-TH2O</v>
          </cell>
          <cell r="B617" t="str">
            <v>VAR_ncap</v>
          </cell>
          <cell r="C617" t="str">
            <v>-</v>
          </cell>
          <cell r="D617">
            <v>6.2035459814674496E-4</v>
          </cell>
          <cell r="E617">
            <v>5.8586013840497397E-7</v>
          </cell>
          <cell r="F617">
            <v>1.08710562400388E-7</v>
          </cell>
          <cell r="G617">
            <v>5.8806968503700697E-8</v>
          </cell>
          <cell r="H617">
            <v>6.71369984300857E-7</v>
          </cell>
          <cell r="I617">
            <v>4.6618933203385301E-5</v>
          </cell>
          <cell r="J617">
            <v>2.49770357824853E-5</v>
          </cell>
          <cell r="K617">
            <v>1.0276765140005599E-4</v>
          </cell>
          <cell r="L617">
            <v>1.6667874152010399E-4</v>
          </cell>
          <cell r="M617">
            <v>6.2791871321975505E-4</v>
          </cell>
          <cell r="N617">
            <v>1.91496830978033E-4</v>
          </cell>
          <cell r="O617">
            <v>4.2125169770714199E-4</v>
          </cell>
        </row>
        <row r="618">
          <cell r="A618" t="str">
            <v>D-TH2O</v>
          </cell>
          <cell r="B618" t="str">
            <v>VAR_cap</v>
          </cell>
          <cell r="C618" t="str">
            <v>-</v>
          </cell>
          <cell r="D618">
            <v>6.2035459814674496E-4</v>
          </cell>
          <cell r="E618">
            <v>6.2094045828515001E-4</v>
          </cell>
          <cell r="F618">
            <v>6.2104916884755002E-4</v>
          </cell>
          <cell r="G618">
            <v>6.2110797581605402E-4</v>
          </cell>
          <cell r="H618">
            <v>6.2177934580035497E-4</v>
          </cell>
          <cell r="I618">
            <v>6.6839827900373999E-4</v>
          </cell>
          <cell r="J618">
            <v>6.9337531478622495E-4</v>
          </cell>
          <cell r="K618">
            <v>7.9614296618628095E-4</v>
          </cell>
          <cell r="L618">
            <v>9.62821707706386E-4</v>
          </cell>
          <cell r="M618">
            <v>1.1309794835754499E-3</v>
          </cell>
          <cell r="N618">
            <v>1.16118869546641E-3</v>
          </cell>
          <cell r="O618">
            <v>1.5823809737952599E-3</v>
          </cell>
        </row>
        <row r="619">
          <cell r="A619" t="str">
            <v>TFHGV-HYBDSL</v>
          </cell>
          <cell r="B619" t="str">
            <v>VAR_fout</v>
          </cell>
          <cell r="C619" t="str">
            <v>CO2_T</v>
          </cell>
          <cell r="E619">
            <v>224.799058970375</v>
          </cell>
          <cell r="F619">
            <v>307.87335677166732</v>
          </cell>
          <cell r="G619">
            <v>822.14035554718521</v>
          </cell>
          <cell r="H619">
            <v>888.22473478555298</v>
          </cell>
          <cell r="I619">
            <v>793.30717831574896</v>
          </cell>
          <cell r="J619">
            <v>362.64292618837203</v>
          </cell>
          <cell r="K619">
            <v>146.73139925232499</v>
          </cell>
        </row>
        <row r="620">
          <cell r="A620" t="str">
            <v>TFHGV-HYBDSL</v>
          </cell>
          <cell r="B620" t="str">
            <v>VAR_fout</v>
          </cell>
          <cell r="C620" t="str">
            <v>TFHGV</v>
          </cell>
          <cell r="E620">
            <v>0.50132598259482486</v>
          </cell>
          <cell r="F620">
            <v>0.68659056583801603</v>
          </cell>
          <cell r="G620">
            <v>1.8334610627968306</v>
          </cell>
          <cell r="H620">
            <v>1.9808363076380877</v>
          </cell>
          <cell r="I620">
            <v>1.7691599888818141</v>
          </cell>
          <cell r="J620">
            <v>0.80873257270354859</v>
          </cell>
          <cell r="K620">
            <v>0.32722673860204826</v>
          </cell>
        </row>
        <row r="621">
          <cell r="A621" t="str">
            <v>TFHGV-HYBDSL</v>
          </cell>
          <cell r="B621" t="str">
            <v>VAR_fin</v>
          </cell>
          <cell r="C621" t="str">
            <v>TDSL</v>
          </cell>
          <cell r="E621">
            <v>3.0668357294730559</v>
          </cell>
          <cell r="F621">
            <v>4.2001822206230219</v>
          </cell>
          <cell r="G621">
            <v>11.216103077042083</v>
          </cell>
          <cell r="H621">
            <v>12.11766350321354</v>
          </cell>
          <cell r="I621">
            <v>10.822744588209405</v>
          </cell>
          <cell r="J621">
            <v>4.9473796205780598</v>
          </cell>
          <cell r="K621">
            <v>2.0017926228147997</v>
          </cell>
        </row>
        <row r="622">
          <cell r="A622" t="str">
            <v>TFHGV-HYBDSL</v>
          </cell>
          <cell r="B622" t="str">
            <v>VAR_ncap</v>
          </cell>
          <cell r="C622" t="str">
            <v>-</v>
          </cell>
          <cell r="E622">
            <v>9.4311277480389494E-3</v>
          </cell>
          <cell r="F622">
            <v>3.4858220658641401E-3</v>
          </cell>
          <cell r="G622">
            <v>2.9078626437240001E-2</v>
          </cell>
          <cell r="H622">
            <v>3.1594433110613898E-2</v>
          </cell>
          <cell r="I622">
            <v>9.5765519390584499E-3</v>
          </cell>
          <cell r="J622">
            <v>1.2202453731517101E-2</v>
          </cell>
        </row>
        <row r="623">
          <cell r="A623" t="str">
            <v>TFHGV-HYBDSL</v>
          </cell>
          <cell r="B623" t="str">
            <v>VAR_cap</v>
          </cell>
          <cell r="C623" t="str">
            <v>-</v>
          </cell>
          <cell r="E623">
            <v>9.4311277480389494E-3</v>
          </cell>
          <cell r="F623">
            <v>1.29169498139031E-2</v>
          </cell>
          <cell r="G623">
            <v>3.4492108945655998E-2</v>
          </cell>
          <cell r="H623">
            <v>3.9135524608041997E-2</v>
          </cell>
          <cell r="I623">
            <v>3.5160243376277198E-2</v>
          </cell>
          <cell r="J623">
            <v>1.7168001216206499E-2</v>
          </cell>
          <cell r="K623">
            <v>8.2349825182905598E-3</v>
          </cell>
        </row>
        <row r="624">
          <cell r="A624" t="str">
            <v>D-TKER</v>
          </cell>
          <cell r="B624" t="str">
            <v>VAR_fout</v>
          </cell>
          <cell r="C624" t="str">
            <v>CO2</v>
          </cell>
          <cell r="D624">
            <v>80.700298112898295</v>
          </cell>
          <cell r="E624">
            <v>102.29851349649699</v>
          </cell>
          <cell r="F624">
            <v>134.523926470395</v>
          </cell>
          <cell r="G624">
            <v>186.17346549210399</v>
          </cell>
          <cell r="H624">
            <v>172.43937432773001</v>
          </cell>
          <cell r="I624">
            <v>156.66050862648001</v>
          </cell>
          <cell r="J624">
            <v>140.198658125241</v>
          </cell>
          <cell r="K624">
            <v>2.3116160726185501E-5</v>
          </cell>
          <cell r="L624">
            <v>1.9884384522516799E-2</v>
          </cell>
          <cell r="M624">
            <v>3.69794722773392E-2</v>
          </cell>
          <cell r="N624">
            <v>2.4833058090001199E-2</v>
          </cell>
          <cell r="O624">
            <v>4.9333019450546002E-2</v>
          </cell>
        </row>
        <row r="625">
          <cell r="A625" t="str">
            <v>D-TKER</v>
          </cell>
          <cell r="B625" t="str">
            <v>VAR_fout</v>
          </cell>
          <cell r="C625" t="str">
            <v>TKER</v>
          </cell>
          <cell r="D625">
            <v>1.0922296439574799</v>
          </cell>
          <cell r="E625">
            <v>1.38454840423693</v>
          </cell>
          <cell r="F625">
            <v>1.8206998455813399</v>
          </cell>
          <cell r="G625">
            <v>2.51974506518299</v>
          </cell>
          <cell r="H625">
            <v>2.3338624618553299</v>
          </cell>
          <cell r="I625">
            <v>2.1203050739654001</v>
          </cell>
          <cell r="J625">
            <v>1.89750390058315</v>
          </cell>
          <cell r="K625">
            <v>3.1286323086816602E-7</v>
          </cell>
          <cell r="L625">
            <v>2.6912309787206399E-4</v>
          </cell>
          <cell r="M625">
            <v>5.0049475384475798E-4</v>
          </cell>
          <cell r="N625">
            <v>3.36100396532268E-4</v>
          </cell>
          <cell r="O625">
            <v>6.6769253063273405E-4</v>
          </cell>
        </row>
        <row r="626">
          <cell r="A626" t="str">
            <v>D-TKER</v>
          </cell>
          <cell r="B626" t="str">
            <v>VAR_fin</v>
          </cell>
          <cell r="C626" t="str">
            <v>KER</v>
          </cell>
          <cell r="D626">
            <v>1.1085205784738776</v>
          </cell>
          <cell r="E626">
            <v>1.4051993612156162</v>
          </cell>
          <cell r="F626">
            <v>1.8478561328350978</v>
          </cell>
          <cell r="G626">
            <v>2.5573278226937446</v>
          </cell>
          <cell r="H626">
            <v>2.3686727242820136</v>
          </cell>
          <cell r="I626">
            <v>2.1519300635505489</v>
          </cell>
          <cell r="J626">
            <v>1.925805743478574</v>
          </cell>
          <cell r="K626">
            <v>3.1752968030474685E-7</v>
          </cell>
          <cell r="L626">
            <v>2.7313715003457272E-4</v>
          </cell>
          <cell r="M626">
            <v>5.0795978402938589E-4</v>
          </cell>
          <cell r="N626">
            <v>3.4111343530221391E-4</v>
          </cell>
          <cell r="O626">
            <v>6.7765136607892632E-4</v>
          </cell>
        </row>
        <row r="627">
          <cell r="A627" t="str">
            <v>T_B_u-BEVELC-S1</v>
          </cell>
          <cell r="B627" t="str">
            <v>VAR_fout</v>
          </cell>
          <cell r="C627" t="str">
            <v>TPBSu</v>
          </cell>
          <cell r="D627">
            <v>1.3296313484312829E-7</v>
          </cell>
          <cell r="E627">
            <v>2.7879828539263002E-4</v>
          </cell>
          <cell r="F627">
            <v>7.3100649780800031E-4</v>
          </cell>
          <cell r="G627">
            <v>0.10746071046217494</v>
          </cell>
          <cell r="H627">
            <v>0.11498621692409877</v>
          </cell>
          <cell r="I627">
            <v>0.12008006101322363</v>
          </cell>
          <cell r="J627">
            <v>0.12426803357642656</v>
          </cell>
          <cell r="K627">
            <v>0.12844399670759885</v>
          </cell>
          <cell r="L627">
            <v>0.13205068231562436</v>
          </cell>
          <cell r="M627">
            <v>0.13580087028135562</v>
          </cell>
          <cell r="N627">
            <v>0.13994711279301553</v>
          </cell>
          <cell r="O627">
            <v>0.14470110794633531</v>
          </cell>
        </row>
        <row r="628">
          <cell r="A628" t="str">
            <v>T_B_u-BEVELC-S1</v>
          </cell>
          <cell r="B628" t="str">
            <v>VAR_fin</v>
          </cell>
          <cell r="C628" t="str">
            <v>T-ELC-Bus_u_BatSTGout_S1</v>
          </cell>
          <cell r="D628">
            <v>3.5111042096261272E-7</v>
          </cell>
          <cell r="E628">
            <v>7.1046122582411994E-4</v>
          </cell>
          <cell r="F628">
            <v>1.8050090696778633E-3</v>
          </cell>
          <cell r="G628">
            <v>0.24024105500029122</v>
          </cell>
          <cell r="H628">
            <v>0.24410825705175912</v>
          </cell>
          <cell r="I628">
            <v>0.25235320112934795</v>
          </cell>
          <cell r="J628">
            <v>0.25023599546904518</v>
          </cell>
          <cell r="K628">
            <v>0.24186289699085689</v>
          </cell>
          <cell r="L628">
            <v>0.24523865561700942</v>
          </cell>
          <cell r="M628">
            <v>0.25039011114187221</v>
          </cell>
          <cell r="N628">
            <v>0.25803496732846903</v>
          </cell>
          <cell r="O628">
            <v>0.26680039992357335</v>
          </cell>
        </row>
        <row r="629">
          <cell r="A629" t="str">
            <v>T_B_u-BEVELC-S1</v>
          </cell>
          <cell r="B629" t="str">
            <v>VAR_ncap</v>
          </cell>
          <cell r="C629" t="str">
            <v>-</v>
          </cell>
          <cell r="E629">
            <v>5.3583600989296103E-6</v>
          </cell>
          <cell r="F629">
            <v>8.7388757065992793E-6</v>
          </cell>
          <cell r="G629">
            <v>2.02448665217758E-3</v>
          </cell>
          <cell r="H629">
            <v>2.3806780230841299E-3</v>
          </cell>
          <cell r="I629">
            <v>4.75787240773165E-4</v>
          </cell>
          <cell r="J629">
            <v>1.22051475709747E-3</v>
          </cell>
          <cell r="K629">
            <v>1.65150125231625E-3</v>
          </cell>
          <cell r="L629">
            <v>9.6996400492242903E-4</v>
          </cell>
          <cell r="M629">
            <v>1.4530074688536699E-3</v>
          </cell>
          <cell r="N629">
            <v>1.7207089896478E-3</v>
          </cell>
          <cell r="O629">
            <v>6.8720793427658698E-4</v>
          </cell>
        </row>
        <row r="630">
          <cell r="A630" t="str">
            <v>T_B_u-BEVELC-S1</v>
          </cell>
          <cell r="B630" t="str">
            <v>VAR_cap</v>
          </cell>
          <cell r="C630" t="str">
            <v>-</v>
          </cell>
          <cell r="D630">
            <v>3.02390998593531E-8</v>
          </cell>
          <cell r="E630">
            <v>5.3998509568761642E-6</v>
          </cell>
          <cell r="F630">
            <v>1.4138726663475455E-5</v>
          </cell>
          <cell r="G630">
            <v>2.0268860800156416E-3</v>
          </cell>
          <cell r="H630">
            <v>2.3850351645781295E-3</v>
          </cell>
          <cell r="I630">
            <v>2.8571664483571838E-3</v>
          </cell>
          <cell r="J630">
            <v>2.9306079755804077E-3</v>
          </cell>
          <cell r="K630">
            <v>3.0344811295780396E-3</v>
          </cell>
          <cell r="L630">
            <v>3.1704032869487829E-3</v>
          </cell>
          <cell r="M630">
            <v>3.2689475669719472E-3</v>
          </cell>
          <cell r="N630">
            <v>3.3454588768148368E-3</v>
          </cell>
          <cell r="O630">
            <v>3.3880965760696127E-3</v>
          </cell>
        </row>
        <row r="631">
          <cell r="A631" t="str">
            <v>TPSHPH2OEXT</v>
          </cell>
          <cell r="B631" t="str">
            <v>VAR_fout</v>
          </cell>
          <cell r="C631" t="str">
            <v>TPSHP</v>
          </cell>
          <cell r="H631">
            <v>6.5161505045068099E-5</v>
          </cell>
          <cell r="I631">
            <v>2.6538441079385099E-3</v>
          </cell>
          <cell r="J631">
            <v>2.7089247365558199E-3</v>
          </cell>
          <cell r="K631">
            <v>2.7279432698980401E-3</v>
          </cell>
          <cell r="L631">
            <v>2.6740595043654699E-3</v>
          </cell>
          <cell r="M631">
            <v>2.6670874835545999E-3</v>
          </cell>
          <cell r="N631">
            <v>2.6580730272899701E-3</v>
          </cell>
          <cell r="O631">
            <v>2.65895336175194E-3</v>
          </cell>
        </row>
        <row r="632">
          <cell r="A632" t="str">
            <v>TPSHPH2OEXT</v>
          </cell>
          <cell r="B632" t="str">
            <v>VAR_fin</v>
          </cell>
          <cell r="C632" t="str">
            <v>TH2O</v>
          </cell>
          <cell r="H632">
            <v>3.6332475540280328E-5</v>
          </cell>
          <cell r="I632">
            <v>1.479719138971767E-3</v>
          </cell>
          <cell r="J632">
            <v>1.5104307622008141E-3</v>
          </cell>
          <cell r="K632">
            <v>1.5210350353370775E-3</v>
          </cell>
          <cell r="L632">
            <v>1.4909907539492199E-3</v>
          </cell>
          <cell r="M632">
            <v>1.4871033241637675E-3</v>
          </cell>
          <cell r="N632">
            <v>1.482077081882892E-3</v>
          </cell>
          <cell r="O632">
            <v>1.4825679350374355E-3</v>
          </cell>
        </row>
        <row r="633">
          <cell r="A633" t="str">
            <v>TPSHPH2OEXT</v>
          </cell>
          <cell r="B633" t="str">
            <v>VAR_ncap</v>
          </cell>
          <cell r="C633" t="str">
            <v>-</v>
          </cell>
          <cell r="H633">
            <v>6.49517604213186E-5</v>
          </cell>
          <cell r="I633">
            <v>2.5770409024965602E-3</v>
          </cell>
          <cell r="J633">
            <v>3.5018347444778598E-5</v>
          </cell>
          <cell r="K633">
            <v>2.4184193520230999E-5</v>
          </cell>
          <cell r="L633">
            <v>3.7095201747244002E-4</v>
          </cell>
          <cell r="M633">
            <v>2.2434688078742798E-3</v>
          </cell>
          <cell r="N633">
            <v>3.0246511115658899E-5</v>
          </cell>
          <cell r="O633">
            <v>1.8140886648672301E-5</v>
          </cell>
        </row>
        <row r="634">
          <cell r="A634" t="str">
            <v>TPSHPH2OEXT</v>
          </cell>
          <cell r="B634" t="str">
            <v>VAR_cap</v>
          </cell>
          <cell r="C634" t="str">
            <v>-</v>
          </cell>
          <cell r="H634">
            <v>6.49517604213186E-5</v>
          </cell>
          <cell r="I634">
            <v>2.6414405916416915E-3</v>
          </cell>
          <cell r="J634">
            <v>2.6743213797521832E-3</v>
          </cell>
          <cell r="K634">
            <v>2.6791271767815715E-3</v>
          </cell>
          <cell r="L634">
            <v>2.6661074751504785E-3</v>
          </cell>
          <cell r="M634">
            <v>2.6593217455727308E-3</v>
          </cell>
          <cell r="N634">
            <v>2.6536098784157732E-3</v>
          </cell>
          <cell r="O634">
            <v>2.6370537534921336E-3</v>
          </cell>
        </row>
        <row r="635">
          <cell r="A635" t="str">
            <v>T_B_u-BEVELC-S2</v>
          </cell>
          <cell r="B635" t="str">
            <v>VAR_fout</v>
          </cell>
          <cell r="C635" t="str">
            <v>TPBSu</v>
          </cell>
          <cell r="D635">
            <v>3.6213543186511645E-4</v>
          </cell>
          <cell r="E635">
            <v>6.3294632547901701E-4</v>
          </cell>
          <cell r="F635">
            <v>1.047536085583741E-3</v>
          </cell>
          <cell r="G635">
            <v>3.9833425168436846E-2</v>
          </cell>
          <cell r="H635">
            <v>4.1571888247198575E-2</v>
          </cell>
          <cell r="I635">
            <v>4.3340187784540248E-2</v>
          </cell>
          <cell r="J635">
            <v>4.4850157398553706E-2</v>
          </cell>
          <cell r="K635">
            <v>4.6361552913122953E-2</v>
          </cell>
          <cell r="L635">
            <v>4.7663453106534318E-2</v>
          </cell>
          <cell r="M635">
            <v>4.9020637435230947E-2</v>
          </cell>
          <cell r="N635">
            <v>5.0518288137415733E-2</v>
          </cell>
          <cell r="O635">
            <v>5.2243938598058953E-2</v>
          </cell>
        </row>
        <row r="636">
          <cell r="A636" t="str">
            <v>T_B_u-BEVELC-S2</v>
          </cell>
          <cell r="B636" t="str">
            <v>VAR_fin</v>
          </cell>
          <cell r="C636" t="str">
            <v>T-ELC-Bus_u_BatSTGout_S2</v>
          </cell>
          <cell r="D636">
            <v>1.3159913661508291E-3</v>
          </cell>
          <cell r="E636">
            <v>2.2817716344559974E-3</v>
          </cell>
          <cell r="F636">
            <v>3.6659324601859898E-3</v>
          </cell>
          <cell r="G636">
            <v>0.12299822349610479</v>
          </cell>
          <cell r="H636">
            <v>0.12240068025908506</v>
          </cell>
          <cell r="I636">
            <v>0.12619896262257022</v>
          </cell>
          <cell r="J636">
            <v>0.12536669329653974</v>
          </cell>
          <cell r="K636">
            <v>0.12085488335196533</v>
          </cell>
          <cell r="L636">
            <v>0.12248717980952524</v>
          </cell>
          <cell r="M636">
            <v>0.12492005754294633</v>
          </cell>
          <cell r="N636">
            <v>0.12873654426536713</v>
          </cell>
          <cell r="O636">
            <v>0.13313404634043483</v>
          </cell>
        </row>
        <row r="637">
          <cell r="A637" t="str">
            <v>T_B_u-BEVELC-S2</v>
          </cell>
          <cell r="B637" t="str">
            <v>VAR_ncap</v>
          </cell>
          <cell r="C637" t="str">
            <v>-</v>
          </cell>
          <cell r="E637">
            <v>1.3511121046136399E-6</v>
          </cell>
          <cell r="F637">
            <v>7.7992974534348108E-6</v>
          </cell>
          <cell r="G637">
            <v>7.4061346832094105E-4</v>
          </cell>
          <cell r="H637">
            <v>7.1177413583863296E-4</v>
          </cell>
          <cell r="I637">
            <v>1.04736781446094E-4</v>
          </cell>
          <cell r="J637">
            <v>3.7271798502758798E-4</v>
          </cell>
          <cell r="K637">
            <v>4.69045276399571E-4</v>
          </cell>
          <cell r="L637">
            <v>2.6276221052120397E-4</v>
          </cell>
          <cell r="M637">
            <v>4.2255292946144599E-4</v>
          </cell>
          <cell r="N637">
            <v>4.84388447018267E-4</v>
          </cell>
          <cell r="O637">
            <v>2.17599651207211E-4</v>
          </cell>
        </row>
        <row r="638">
          <cell r="A638" t="str">
            <v>T_B_u-BEVELC-S2</v>
          </cell>
          <cell r="B638" t="str">
            <v>VAR_cap</v>
          </cell>
          <cell r="C638" t="str">
            <v>-</v>
          </cell>
          <cell r="D638">
            <v>7.902446963912989E-6</v>
          </cell>
          <cell r="E638">
            <v>1.2203824499039306E-5</v>
          </cell>
          <cell r="F638">
            <v>2.0003291890624218E-5</v>
          </cell>
          <cell r="G638">
            <v>7.520106635332288E-4</v>
          </cell>
          <cell r="H638">
            <v>7.966790693836901E-4</v>
          </cell>
          <cell r="I638">
            <v>8.17816133010336E-4</v>
          </cell>
          <cell r="J638">
            <v>8.4650085446393464E-4</v>
          </cell>
          <cell r="K638">
            <v>8.7753028740318508E-4</v>
          </cell>
          <cell r="L638">
            <v>8.9944747469569524E-4</v>
          </cell>
          <cell r="M638">
            <v>9.2559031370094901E-4</v>
          </cell>
          <cell r="N638">
            <v>9.5347515619667936E-4</v>
          </cell>
          <cell r="O638">
            <v>9.8706829795250752E-4</v>
          </cell>
        </row>
        <row r="639">
          <cell r="A639" t="str">
            <v>TFHGV-ICEDSL</v>
          </cell>
          <cell r="B639" t="str">
            <v>VAR_fout</v>
          </cell>
          <cell r="C639" t="str">
            <v>CO2_T</v>
          </cell>
          <cell r="D639">
            <v>384.65316015362077</v>
          </cell>
          <cell r="E639">
            <v>450.39876372487259</v>
          </cell>
          <cell r="F639">
            <v>351.8585261718635</v>
          </cell>
          <cell r="G639">
            <v>32.346591421631487</v>
          </cell>
          <cell r="H639">
            <v>5.3352458756437099E-2</v>
          </cell>
          <cell r="I639">
            <v>5.34921625106115E-2</v>
          </cell>
          <cell r="J639">
            <v>4.9025900436419703E-2</v>
          </cell>
          <cell r="K639">
            <v>2.31222313727408E-2</v>
          </cell>
        </row>
        <row r="640">
          <cell r="A640" t="str">
            <v>TFHGV-ICEDSL</v>
          </cell>
          <cell r="B640" t="str">
            <v>VAR_fout</v>
          </cell>
          <cell r="C640" t="str">
            <v>TFHGV</v>
          </cell>
          <cell r="D640">
            <v>0.6229151725908938</v>
          </cell>
          <cell r="E640">
            <v>0.72938494390207165</v>
          </cell>
          <cell r="F640">
            <v>0.56980687347112691</v>
          </cell>
          <cell r="G640">
            <v>5.2382729860026504E-2</v>
          </cell>
          <cell r="H640">
            <v>8.6400059838690968E-5</v>
          </cell>
          <cell r="I640">
            <v>8.6626298947472538E-5</v>
          </cell>
          <cell r="J640">
            <v>7.9393543054682715E-5</v>
          </cell>
          <cell r="K640">
            <v>3.7444613065144504E-5</v>
          </cell>
        </row>
        <row r="641">
          <cell r="A641" t="str">
            <v>TFHGV-ICEDSL</v>
          </cell>
          <cell r="B641" t="str">
            <v>VAR_fin</v>
          </cell>
          <cell r="C641" t="str">
            <v>TDSL</v>
          </cell>
          <cell r="D641">
            <v>5.2476556637601863</v>
          </cell>
          <cell r="E641">
            <v>6.1445943209396123</v>
          </cell>
          <cell r="F641">
            <v>4.8002527445001872</v>
          </cell>
          <cell r="G641">
            <v>0.44129046959933788</v>
          </cell>
          <cell r="H641">
            <v>7.2786437594047791E-4</v>
          </cell>
          <cell r="I641">
            <v>7.2977029345991102E-4</v>
          </cell>
          <cell r="J641">
            <v>6.6883902368921862E-4</v>
          </cell>
          <cell r="K641">
            <v>3.1544653987368118E-4</v>
          </cell>
        </row>
        <row r="642">
          <cell r="A642" t="str">
            <v>TFHGV-ICEDSL</v>
          </cell>
          <cell r="B642" t="str">
            <v>VAR_ncap</v>
          </cell>
          <cell r="C642" t="str">
            <v>-</v>
          </cell>
          <cell r="E642">
            <v>1.05346090296945E-6</v>
          </cell>
          <cell r="F642">
            <v>3.6446728318353501E-6</v>
          </cell>
          <cell r="G642">
            <v>3.53700751224392E-6</v>
          </cell>
          <cell r="H642">
            <v>1.03418969466131E-6</v>
          </cell>
          <cell r="I642">
            <v>1.1075495890496799E-6</v>
          </cell>
          <cell r="J642">
            <v>1.25274030884184E-6</v>
          </cell>
        </row>
        <row r="643">
          <cell r="A643" t="str">
            <v>TFHGV-ICEDSL</v>
          </cell>
          <cell r="B643" t="str">
            <v>VAR_cap</v>
          </cell>
          <cell r="C643" t="str">
            <v>-</v>
          </cell>
          <cell r="D643">
            <v>1.1721801723735825E-2</v>
          </cell>
          <cell r="E643">
            <v>1.3721848146966E-2</v>
          </cell>
          <cell r="F643">
            <v>1.0722376509480236E-2</v>
          </cell>
          <cell r="G643">
            <v>9.8641153642491639E-4</v>
          </cell>
          <cell r="H643">
            <v>1.9514578240376902E-6</v>
          </cell>
          <cell r="I643">
            <v>1.9449879422916598E-6</v>
          </cell>
          <cell r="J643">
            <v>1.82701694943982E-6</v>
          </cell>
          <cell r="K643">
            <v>8.4542787624960101E-7</v>
          </cell>
        </row>
        <row r="644">
          <cell r="A644" t="str">
            <v>D-T-ELC-Bus_u_S1</v>
          </cell>
          <cell r="B644" t="str">
            <v>VAR_fout</v>
          </cell>
          <cell r="C644" t="str">
            <v>T-ELC-Bus_u_BatSTGin_S1</v>
          </cell>
          <cell r="D644">
            <v>4.5041821682698822E-6</v>
          </cell>
          <cell r="E644">
            <v>7.1624033071633045E-4</v>
          </cell>
          <cell r="F644">
            <v>1.811967903754916E-3</v>
          </cell>
          <cell r="G644">
            <v>0.24035807245835247</v>
          </cell>
          <cell r="H644">
            <v>0.24428306902897609</v>
          </cell>
          <cell r="I644">
            <v>0.25251605838959246</v>
          </cell>
          <cell r="J644">
            <v>0.25043358319591802</v>
          </cell>
          <cell r="K644">
            <v>0.242287540116783</v>
          </cell>
          <cell r="L644">
            <v>0.24552508899168488</v>
          </cell>
          <cell r="M644">
            <v>0.25096397271469845</v>
          </cell>
          <cell r="N644">
            <v>0.25845719364008535</v>
          </cell>
          <cell r="O644">
            <v>0.26782406090030875</v>
          </cell>
        </row>
        <row r="645">
          <cell r="A645" t="str">
            <v>D-T-ELC-Bus_u_S1</v>
          </cell>
          <cell r="B645" t="str">
            <v>VAR_fin</v>
          </cell>
          <cell r="C645" t="str">
            <v>TELC</v>
          </cell>
          <cell r="D645">
            <v>4.5041821682698822E-6</v>
          </cell>
          <cell r="E645">
            <v>7.1624033071633045E-4</v>
          </cell>
          <cell r="F645">
            <v>1.811967903754916E-3</v>
          </cell>
          <cell r="G645">
            <v>0.24035807245835247</v>
          </cell>
          <cell r="H645">
            <v>0.24428306902897609</v>
          </cell>
          <cell r="I645">
            <v>0.25251605838959246</v>
          </cell>
          <cell r="J645">
            <v>0.25043358319591802</v>
          </cell>
          <cell r="K645">
            <v>0.242287540116783</v>
          </cell>
          <cell r="L645">
            <v>0.24552508899168488</v>
          </cell>
          <cell r="M645">
            <v>0.25096397271469845</v>
          </cell>
          <cell r="N645">
            <v>0.25845719364008535</v>
          </cell>
          <cell r="O645">
            <v>0.26782406090030875</v>
          </cell>
        </row>
        <row r="646">
          <cell r="A646" t="str">
            <v>D-T-ELC-Bus_u_S1</v>
          </cell>
          <cell r="B646" t="str">
            <v>VAR_ncap</v>
          </cell>
          <cell r="C646" t="str">
            <v>-</v>
          </cell>
          <cell r="D646">
            <v>9.3402501681440095E-5</v>
          </cell>
          <cell r="E646">
            <v>9.2910269331245894E-5</v>
          </cell>
          <cell r="F646">
            <v>2.0854071884347301E-4</v>
          </cell>
          <cell r="G646">
            <v>2.50487308924504E-2</v>
          </cell>
          <cell r="H646">
            <v>6.6657966452022296E-4</v>
          </cell>
          <cell r="I646">
            <v>2.0764627972754902E-2</v>
          </cell>
          <cell r="J646">
            <v>5.3620947261450299E-3</v>
          </cell>
          <cell r="K646">
            <v>1.31556146974365E-2</v>
          </cell>
          <cell r="L646">
            <v>1.0385572751645099E-2</v>
          </cell>
          <cell r="M646">
            <v>9.4038647540285597E-3</v>
          </cell>
          <cell r="N646">
            <v>1.60767852141049E-2</v>
          </cell>
          <cell r="O646">
            <v>5.8921206479585903E-3</v>
          </cell>
        </row>
        <row r="647">
          <cell r="A647" t="str">
            <v>D-T-ELC-Bus_u_S1</v>
          </cell>
          <cell r="B647" t="str">
            <v>VAR_cap</v>
          </cell>
          <cell r="C647" t="str">
            <v>-</v>
          </cell>
          <cell r="D647">
            <v>9.3402501681440095E-5</v>
          </cell>
          <cell r="E647">
            <v>1.8631277101268599E-4</v>
          </cell>
          <cell r="F647">
            <v>3.9485348985615902E-4</v>
          </cell>
          <cell r="G647">
            <v>2.54062140021531E-2</v>
          </cell>
          <cell r="H647">
            <v>2.5822155101076001E-2</v>
          </cell>
          <cell r="I647">
            <v>2.6691364422120001E-2</v>
          </cell>
          <cell r="J647">
            <v>2.6472351584699998E-2</v>
          </cell>
          <cell r="K647">
            <v>2.5610848975358799E-2</v>
          </cell>
          <cell r="L647">
            <v>2.5953114810130101E-2</v>
          </cell>
          <cell r="M647">
            <v>2.6529635115851002E-2</v>
          </cell>
          <cell r="N647">
            <v>2.73201625880726E-2</v>
          </cell>
          <cell r="O647">
            <v>2.8315224689216899E-2</v>
          </cell>
        </row>
        <row r="648">
          <cell r="A648" t="str">
            <v>T-Plg-DSL-mix_S1</v>
          </cell>
          <cell r="B648" t="str">
            <v>VAR_fout</v>
          </cell>
          <cell r="C648" t="str">
            <v>CO2_T</v>
          </cell>
          <cell r="D648">
            <v>1.2372586741572101E-3</v>
          </cell>
          <cell r="E648">
            <v>3.8537670730814801E-2</v>
          </cell>
          <cell r="F648">
            <v>5.4422553371059341E-2</v>
          </cell>
          <cell r="G648">
            <v>7.3761949865471216E-2</v>
          </cell>
          <cell r="H648">
            <v>7.0547097204149284E-2</v>
          </cell>
          <cell r="I648">
            <v>3.3543117227051222E-2</v>
          </cell>
          <cell r="J648">
            <v>9.4004159828346895E-2</v>
          </cell>
          <cell r="K648">
            <v>5.8446979021818599E-2</v>
          </cell>
          <cell r="L648">
            <v>0.25666868001259008</v>
          </cell>
          <cell r="M648">
            <v>1.36992376980459E-2</v>
          </cell>
          <cell r="N648">
            <v>8.4146167165812386E-3</v>
          </cell>
          <cell r="O648">
            <v>8.0291554210345957E-3</v>
          </cell>
        </row>
        <row r="649">
          <cell r="A649" t="str">
            <v>T-Plg-DSL-mix_S1</v>
          </cell>
          <cell r="B649" t="str">
            <v>VAR_fout</v>
          </cell>
          <cell r="C649" t="str">
            <v>T-PEVmix-ELC_DSL_S1</v>
          </cell>
          <cell r="D649">
            <v>1.2295037728045069E-5</v>
          </cell>
          <cell r="E649">
            <v>3.8296123962040638E-4</v>
          </cell>
          <cell r="F649">
            <v>5.4081443188063729E-4</v>
          </cell>
          <cell r="G649">
            <v>7.3299624034391933E-4</v>
          </cell>
          <cell r="H649">
            <v>7.010492145629254E-4</v>
          </cell>
          <cell r="I649">
            <v>3.4365853338879271E-4</v>
          </cell>
          <cell r="J649">
            <v>1.0238434084279683E-3</v>
          </cell>
          <cell r="K649">
            <v>6.7041115502775191E-4</v>
          </cell>
          <cell r="L649">
            <v>3.1121394197031792E-3</v>
          </cell>
          <cell r="M649">
            <v>1.7443986501980305E-4</v>
          </cell>
          <cell r="N649">
            <v>1.1010678414029147E-4</v>
          </cell>
          <cell r="O649">
            <v>1.1102928772728191E-4</v>
          </cell>
        </row>
        <row r="650">
          <cell r="A650" t="str">
            <v>T-Plg-DSL-mix_S1</v>
          </cell>
          <cell r="B650" t="str">
            <v>VAR_fin</v>
          </cell>
          <cell r="C650" t="str">
            <v>TDSL</v>
          </cell>
          <cell r="D650">
            <v>1.6879381639252517E-5</v>
          </cell>
          <cell r="E650">
            <v>5.2575267027032458E-4</v>
          </cell>
          <cell r="F650">
            <v>7.4246321106493025E-4</v>
          </cell>
          <cell r="G650">
            <v>1.0063021809750511E-3</v>
          </cell>
          <cell r="H650">
            <v>9.6244334521349527E-4</v>
          </cell>
          <cell r="I650">
            <v>4.5761415043726113E-4</v>
          </cell>
          <cell r="J650">
            <v>1.2824578421329717E-3</v>
          </cell>
          <cell r="K650">
            <v>7.9736669879697784E-4</v>
          </cell>
          <cell r="L650">
            <v>3.501619099762487E-3</v>
          </cell>
          <cell r="M650">
            <v>1.8689273803609681E-4</v>
          </cell>
          <cell r="N650">
            <v>1.1479695384149035E-4</v>
          </cell>
          <cell r="O650">
            <v>1.0953827313826183E-4</v>
          </cell>
        </row>
        <row r="651">
          <cell r="A651" t="str">
            <v>T_B_u-BEVELC-S3</v>
          </cell>
          <cell r="B651" t="str">
            <v>VAR_fout</v>
          </cell>
          <cell r="C651" t="str">
            <v>TPBSu</v>
          </cell>
          <cell r="D651">
            <v>6.9949517227858979E-4</v>
          </cell>
          <cell r="E651">
            <v>1.6499997303170127E-3</v>
          </cell>
          <cell r="F651">
            <v>1.997593880502226E-3</v>
          </cell>
          <cell r="G651">
            <v>0.17409077892827343</v>
          </cell>
          <cell r="H651">
            <v>0.18168506075063123</v>
          </cell>
          <cell r="I651">
            <v>0.18941068565993438</v>
          </cell>
          <cell r="J651">
            <v>0.19601237852064818</v>
          </cell>
          <cell r="K651">
            <v>0.20261472939928774</v>
          </cell>
          <cell r="L651">
            <v>0.20830004186362741</v>
          </cell>
          <cell r="M651">
            <v>0.21422919542642571</v>
          </cell>
          <cell r="N651">
            <v>0.22077594620756116</v>
          </cell>
          <cell r="O651">
            <v>0.22831600179087064</v>
          </cell>
        </row>
        <row r="652">
          <cell r="A652" t="str">
            <v>T_B_u-BEVELC-S3</v>
          </cell>
          <cell r="B652" t="str">
            <v>VAR_fin</v>
          </cell>
          <cell r="C652" t="str">
            <v>T-ELC-Bus_u_BatSTGout_S3</v>
          </cell>
          <cell r="D652">
            <v>3.8229962059645123E-3</v>
          </cell>
          <cell r="E652">
            <v>8.9453146021083625E-3</v>
          </cell>
          <cell r="F652">
            <v>1.0691040667230539E-2</v>
          </cell>
          <cell r="G652">
            <v>0.80648070137597661</v>
          </cell>
          <cell r="H652">
            <v>0.82808625263562208</v>
          </cell>
          <cell r="I652">
            <v>0.80400927744083173</v>
          </cell>
          <cell r="J652">
            <v>0.80785632567838239</v>
          </cell>
          <cell r="K652">
            <v>0.78576711160347468</v>
          </cell>
          <cell r="L652">
            <v>0.79657927258007744</v>
          </cell>
          <cell r="M652">
            <v>0.81722320970239981</v>
          </cell>
          <cell r="N652">
            <v>0.84219719457795217</v>
          </cell>
          <cell r="O652">
            <v>0.87096035364626379</v>
          </cell>
        </row>
        <row r="653">
          <cell r="A653" t="str">
            <v>T_B_u-BEVELC-S3</v>
          </cell>
          <cell r="B653" t="str">
            <v>VAR_ncap</v>
          </cell>
          <cell r="C653" t="str">
            <v>-</v>
          </cell>
          <cell r="E653">
            <v>7.0168828089968E-7</v>
          </cell>
          <cell r="F653">
            <v>6.4312375393708804E-6</v>
          </cell>
          <cell r="G653">
            <v>3.6105391587056201E-3</v>
          </cell>
          <cell r="H653">
            <v>1.04587582855119E-3</v>
          </cell>
          <cell r="I653">
            <v>2.52609318905127E-3</v>
          </cell>
          <cell r="J653">
            <v>1.3806688167032201E-3</v>
          </cell>
          <cell r="K653">
            <v>2.4406139218241399E-3</v>
          </cell>
          <cell r="L653">
            <v>1.2755038522977E-3</v>
          </cell>
          <cell r="M653">
            <v>3.07180620788373E-3</v>
          </cell>
          <cell r="N653">
            <v>1.09174399268696E-3</v>
          </cell>
          <cell r="O653">
            <v>3.2142708451936902E-3</v>
          </cell>
        </row>
        <row r="654">
          <cell r="A654" t="str">
            <v>T_B_u-BEVELC-S3</v>
          </cell>
          <cell r="B654" t="str">
            <v>VAR_cap</v>
          </cell>
          <cell r="C654" t="str">
            <v>-</v>
          </cell>
          <cell r="D654">
            <v>1.7816112165533599E-5</v>
          </cell>
          <cell r="E654">
            <v>3.1406040467839478E-5</v>
          </cell>
          <cell r="F654">
            <v>3.7839839891600456E-5</v>
          </cell>
          <cell r="G654">
            <v>3.6320498671275799E-3</v>
          </cell>
          <cell r="H654">
            <v>3.7869219390352813E-3</v>
          </cell>
          <cell r="I654">
            <v>3.5719690176024602E-3</v>
          </cell>
          <cell r="J654">
            <v>3.6965477019032895E-3</v>
          </cell>
          <cell r="K654">
            <v>3.82128273852736E-3</v>
          </cell>
          <cell r="L654">
            <v>3.9282613204506978E-3</v>
          </cell>
          <cell r="M654">
            <v>4.0401459317542503E-3</v>
          </cell>
          <cell r="N654">
            <v>4.1635502005706896E-3</v>
          </cell>
          <cell r="O654">
            <v>4.3060148378806602E-3</v>
          </cell>
        </row>
        <row r="655">
          <cell r="A655" t="str">
            <v>D-T-ELC-Bus_u_S2</v>
          </cell>
          <cell r="B655" t="str">
            <v>VAR_fout</v>
          </cell>
          <cell r="C655" t="str">
            <v>T-ELC-Bus_u_BatSTGin_S2</v>
          </cell>
          <cell r="D655">
            <v>1.3120215385828853E-3</v>
          </cell>
          <cell r="E655">
            <v>2.2830579953930738E-3</v>
          </cell>
          <cell r="F655">
            <v>3.6682988415634847E-3</v>
          </cell>
          <cell r="G655">
            <v>0.12308341861216955</v>
          </cell>
          <cell r="H655">
            <v>0.12254475182651484</v>
          </cell>
          <cell r="I655">
            <v>0.12633220535480832</v>
          </cell>
          <cell r="J655">
            <v>0.12553418792503884</v>
          </cell>
          <cell r="K655">
            <v>0.12123309495527368</v>
          </cell>
          <cell r="L655">
            <v>0.12274618873964178</v>
          </cell>
          <cell r="M655">
            <v>0.12545161052677653</v>
          </cell>
          <cell r="N655">
            <v>0.12912601183535682</v>
          </cell>
          <cell r="O655">
            <v>0.13410463272244069</v>
          </cell>
        </row>
        <row r="656">
          <cell r="A656" t="str">
            <v>D-T-ELC-Bus_u_S2</v>
          </cell>
          <cell r="B656" t="str">
            <v>VAR_fin</v>
          </cell>
          <cell r="C656" t="str">
            <v>TELC</v>
          </cell>
          <cell r="D656">
            <v>1.3120215385828853E-3</v>
          </cell>
          <cell r="E656">
            <v>2.2830579953930738E-3</v>
          </cell>
          <cell r="F656">
            <v>3.6682988415634847E-3</v>
          </cell>
          <cell r="G656">
            <v>0.12308341861216955</v>
          </cell>
          <cell r="H656">
            <v>0.12254475182651484</v>
          </cell>
          <cell r="I656">
            <v>0.12633220535480832</v>
          </cell>
          <cell r="J656">
            <v>0.12553418792503884</v>
          </cell>
          <cell r="K656">
            <v>0.12123309495527368</v>
          </cell>
          <cell r="L656">
            <v>0.12274618873964178</v>
          </cell>
          <cell r="M656">
            <v>0.12545161052677653</v>
          </cell>
          <cell r="N656">
            <v>0.12912601183535682</v>
          </cell>
          <cell r="O656">
            <v>0.13410463272244069</v>
          </cell>
        </row>
        <row r="657">
          <cell r="A657" t="str">
            <v>D-T-ELC-Bus_u_S2</v>
          </cell>
          <cell r="B657" t="str">
            <v>VAR_ncap</v>
          </cell>
          <cell r="C657" t="str">
            <v>-</v>
          </cell>
          <cell r="D657">
            <v>1.6622828075252399E-4</v>
          </cell>
          <cell r="E657">
            <v>1.1659309735676301E-4</v>
          </cell>
          <cell r="F657">
            <v>2.34473503466168E-4</v>
          </cell>
          <cell r="G657">
            <v>1.2553223342160099E-2</v>
          </cell>
          <cell r="H657">
            <v>2.8205815316831399E-4</v>
          </cell>
          <cell r="I657">
            <v>1.0435753507537201E-2</v>
          </cell>
          <cell r="J657">
            <v>2.6893042360995002E-3</v>
          </cell>
          <cell r="K657">
            <v>6.5615288116002302E-3</v>
          </cell>
          <cell r="L657">
            <v>5.2048034382640397E-3</v>
          </cell>
          <cell r="M657">
            <v>4.6971864438750998E-3</v>
          </cell>
          <cell r="N657">
            <v>8.0312215439211493E-3</v>
          </cell>
          <cell r="O657">
            <v>2.9818233801688502E-3</v>
          </cell>
        </row>
        <row r="658">
          <cell r="A658" t="str">
            <v>D-T-ELC-Bus_u_S2</v>
          </cell>
          <cell r="B658" t="str">
            <v>VAR_cap</v>
          </cell>
          <cell r="C658" t="str">
            <v>-</v>
          </cell>
          <cell r="D658">
            <v>1.6622828075252399E-4</v>
          </cell>
          <cell r="E658">
            <v>2.8282137810928698E-4</v>
          </cell>
          <cell r="F658">
            <v>5.1729488157545398E-4</v>
          </cell>
          <cell r="G658">
            <v>1.3010470584357701E-2</v>
          </cell>
          <cell r="H658">
            <v>1.2955412540821901E-2</v>
          </cell>
          <cell r="I658">
            <v>1.33539501229075E-2</v>
          </cell>
          <cell r="J658">
            <v>1.32713079975813E-2</v>
          </cell>
          <cell r="K658">
            <v>1.28156576163861E-2</v>
          </cell>
          <cell r="L658">
            <v>1.2976009959884001E-2</v>
          </cell>
          <cell r="M658">
            <v>1.32637484796812E-2</v>
          </cell>
          <cell r="N658">
            <v>1.36502927829774E-2</v>
          </cell>
          <cell r="O658">
            <v>1.4183001483774001E-2</v>
          </cell>
        </row>
        <row r="659">
          <cell r="A659" t="str">
            <v>T-Plg-DSL-mix_S2</v>
          </cell>
          <cell r="B659" t="str">
            <v>VAR_fout</v>
          </cell>
          <cell r="C659" t="str">
            <v>CO2_T</v>
          </cell>
          <cell r="D659">
            <v>3.8557175985439699E-4</v>
          </cell>
          <cell r="E659">
            <v>4.6217702422676601E-2</v>
          </cell>
          <cell r="F659">
            <v>0.1576104520794607</v>
          </cell>
          <cell r="G659">
            <v>0.42702208813246711</v>
          </cell>
          <cell r="H659">
            <v>0.33346690069464385</v>
          </cell>
          <cell r="I659">
            <v>0.1607679376198137</v>
          </cell>
          <cell r="J659">
            <v>0.42290921170142409</v>
          </cell>
          <cell r="K659">
            <v>0.27343145889586851</v>
          </cell>
          <cell r="L659">
            <v>0.1591035224637381</v>
          </cell>
          <cell r="M659">
            <v>2.43485031250892E-2</v>
          </cell>
          <cell r="N659">
            <v>2.1098892382624412E-2</v>
          </cell>
          <cell r="O659">
            <v>1.3222175813191807E-2</v>
          </cell>
        </row>
        <row r="660">
          <cell r="A660" t="str">
            <v>T-Plg-DSL-mix_S2</v>
          </cell>
          <cell r="B660" t="str">
            <v>VAR_fout</v>
          </cell>
          <cell r="C660" t="str">
            <v>T-PEVmix-ELC_DSL_S2</v>
          </cell>
          <cell r="D660">
            <v>3.1325683353539271E-6</v>
          </cell>
          <cell r="E660">
            <v>3.7549459326782661E-4</v>
          </cell>
          <cell r="F660">
            <v>1.2805022641994869E-3</v>
          </cell>
          <cell r="G660">
            <v>3.4693305139505675E-3</v>
          </cell>
          <cell r="H660">
            <v>2.7092436811221015E-3</v>
          </cell>
          <cell r="I660">
            <v>1.3594187892582393E-3</v>
          </cell>
          <cell r="J660">
            <v>3.812939887322443E-3</v>
          </cell>
          <cell r="K660">
            <v>2.6025988936030737E-3</v>
          </cell>
          <cell r="L660">
            <v>1.5728470697310029E-3</v>
          </cell>
          <cell r="M660">
            <v>2.5529689607399573E-4</v>
          </cell>
          <cell r="N660">
            <v>2.2772299283750172E-4</v>
          </cell>
          <cell r="O660">
            <v>1.5075817116431668E-4</v>
          </cell>
        </row>
        <row r="661">
          <cell r="A661" t="str">
            <v>T-Plg-DSL-mix_S2</v>
          </cell>
          <cell r="B661" t="str">
            <v>VAR_fin</v>
          </cell>
          <cell r="C661" t="str">
            <v>TDSL</v>
          </cell>
          <cell r="D661">
            <v>5.2601877197052838E-6</v>
          </cell>
          <cell r="E661">
            <v>6.3052800030936646E-4</v>
          </cell>
          <cell r="F661">
            <v>2.1502108059953751E-3</v>
          </cell>
          <cell r="G661">
            <v>5.8256765093105964E-3</v>
          </cell>
          <cell r="H661">
            <v>4.5493438021097397E-3</v>
          </cell>
          <cell r="I661">
            <v>2.1932870070915885E-3</v>
          </cell>
          <cell r="J661">
            <v>5.7695663260767388E-3</v>
          </cell>
          <cell r="K661">
            <v>3.7303063969422708E-3</v>
          </cell>
          <cell r="L661">
            <v>2.170580115467093E-3</v>
          </cell>
          <cell r="M661">
            <v>3.3217603172017976E-4</v>
          </cell>
          <cell r="N661">
            <v>2.8784300658423454E-4</v>
          </cell>
          <cell r="O661">
            <v>1.8038439035732276E-4</v>
          </cell>
        </row>
        <row r="662">
          <cell r="A662" t="str">
            <v>T_B_u-BEVELC-S4</v>
          </cell>
          <cell r="B662" t="str">
            <v>VAR_fout</v>
          </cell>
          <cell r="C662" t="str">
            <v>TPBSu</v>
          </cell>
          <cell r="D662">
            <v>2.31415070144073E-5</v>
          </cell>
          <cell r="E662">
            <v>2.2339473911113292E-5</v>
          </cell>
          <cell r="F662">
            <v>4.1229297940220355E-5</v>
          </cell>
          <cell r="G662">
            <v>2.9111070839714184E-3</v>
          </cell>
          <cell r="H662">
            <v>2.1140805168520335E-4</v>
          </cell>
          <cell r="I662">
            <v>1.5444057732681608E-5</v>
          </cell>
          <cell r="J662">
            <v>1.4100186165224025E-5</v>
          </cell>
          <cell r="K662">
            <v>2.5091560090797855E-5</v>
          </cell>
          <cell r="L662">
            <v>2.3828164685008689E-5</v>
          </cell>
          <cell r="M662">
            <v>3.3054900028459319E-5</v>
          </cell>
          <cell r="N662">
            <v>3.7984562025948026E-5</v>
          </cell>
          <cell r="O662">
            <v>6.4218222640917679E-5</v>
          </cell>
        </row>
        <row r="663">
          <cell r="A663" t="str">
            <v>T_B_u-BEVELC-S4</v>
          </cell>
          <cell r="B663" t="str">
            <v>VAR_fin</v>
          </cell>
          <cell r="C663" t="str">
            <v>T-ELC-Bus_u_BatSTGout_S4</v>
          </cell>
          <cell r="D663">
            <v>1.8970453260452891E-4</v>
          </cell>
          <cell r="E663">
            <v>1.8001693188558326E-4</v>
          </cell>
          <cell r="F663">
            <v>3.2359608364180523E-4</v>
          </cell>
          <cell r="G663">
            <v>2.0194063753340388E-2</v>
          </cell>
          <cell r="H663">
            <v>1.4599060396313652E-3</v>
          </cell>
          <cell r="I663">
            <v>9.8531561745185899E-5</v>
          </cell>
          <cell r="J663">
            <v>8.5605950859750425E-5</v>
          </cell>
          <cell r="K663">
            <v>1.4557883217465901E-4</v>
          </cell>
          <cell r="L663">
            <v>1.3579147505044336E-4</v>
          </cell>
          <cell r="M663">
            <v>1.8837261248800182E-4</v>
          </cell>
          <cell r="N663">
            <v>2.1646567307358083E-4</v>
          </cell>
          <cell r="O663">
            <v>3.6596554089683155E-4</v>
          </cell>
        </row>
        <row r="664">
          <cell r="A664" t="str">
            <v>T_B_u-BEVELC-S4</v>
          </cell>
          <cell r="B664" t="str">
            <v>VAR_ncap</v>
          </cell>
          <cell r="C664" t="str">
            <v>-</v>
          </cell>
          <cell r="E664">
            <v>1.8296556940163499E-7</v>
          </cell>
          <cell r="F664">
            <v>2.9137507252172001E-7</v>
          </cell>
          <cell r="G664">
            <v>3.1816566842588498E-4</v>
          </cell>
          <cell r="H664">
            <v>5.5276907201909505E-7</v>
          </cell>
          <cell r="I664">
            <v>2.9179010380786201E-7</v>
          </cell>
          <cell r="J664">
            <v>3.3736323652066902E-7</v>
          </cell>
          <cell r="K664">
            <v>4.85085539721039E-7</v>
          </cell>
          <cell r="L664">
            <v>4.5360885779677597E-7</v>
          </cell>
          <cell r="M664">
            <v>6.0109745325588E-7</v>
          </cell>
          <cell r="N664">
            <v>6.1096154386419997E-7</v>
          </cell>
          <cell r="O664">
            <v>9.0256022112448596E-7</v>
          </cell>
        </row>
        <row r="665">
          <cell r="A665" t="str">
            <v>T_B_u-BEVELC-S4</v>
          </cell>
          <cell r="B665" t="str">
            <v>VAR_cap</v>
          </cell>
          <cell r="C665" t="str">
            <v>-</v>
          </cell>
          <cell r="D665">
            <v>4.2334739803094299E-7</v>
          </cell>
          <cell r="E665">
            <v>6.0305757502542702E-7</v>
          </cell>
          <cell r="F665">
            <v>8.3239230301436207E-7</v>
          </cell>
          <cell r="G665">
            <v>3.1849288178820444E-4</v>
          </cell>
          <cell r="H665">
            <v>8.3060050429995352E-5</v>
          </cell>
          <cell r="I665">
            <v>4.2544717738781797E-7</v>
          </cell>
          <cell r="J665">
            <v>4.5678756493938422E-7</v>
          </cell>
          <cell r="K665">
            <v>7.1275944991879098E-7</v>
          </cell>
          <cell r="L665">
            <v>5.9781893532618497E-7</v>
          </cell>
          <cell r="M665">
            <v>7.1873388660228298E-7</v>
          </cell>
          <cell r="N665">
            <v>8.3824349959597197E-7</v>
          </cell>
          <cell r="O665">
            <v>1.3060220604716585E-6</v>
          </cell>
        </row>
        <row r="666">
          <cell r="A666" t="str">
            <v>D-TBDS1</v>
          </cell>
          <cell r="B666" t="str">
            <v>VAR_fout</v>
          </cell>
          <cell r="C666" t="str">
            <v>TDSL</v>
          </cell>
          <cell r="D666">
            <v>2.9717709286049527</v>
          </cell>
          <cell r="E666">
            <v>2.9709440866535046</v>
          </cell>
          <cell r="F666">
            <v>4.431820075422408</v>
          </cell>
          <cell r="G666">
            <v>3.0303043514299244</v>
          </cell>
          <cell r="H666">
            <v>2.9724292274846715</v>
          </cell>
          <cell r="I666">
            <v>2.9711839481835276</v>
          </cell>
          <cell r="J666">
            <v>3.867554543111944</v>
          </cell>
          <cell r="K666">
            <v>5.381481742418778</v>
          </cell>
          <cell r="L666">
            <v>2.9762769811546241</v>
          </cell>
          <cell r="M666">
            <v>2.9778984421543884</v>
          </cell>
          <cell r="N666">
            <v>2.8962421904204705</v>
          </cell>
          <cell r="O666">
            <v>2.7650470474191686</v>
          </cell>
        </row>
        <row r="667">
          <cell r="A667" t="str">
            <v>D-TBDS1</v>
          </cell>
          <cell r="B667" t="str">
            <v>VAR_fout</v>
          </cell>
          <cell r="C667" t="str">
            <v>TKER</v>
          </cell>
          <cell r="D667">
            <v>8.5270480034799396E-4</v>
          </cell>
          <cell r="E667">
            <v>1.56066497904678E-5</v>
          </cell>
          <cell r="F667">
            <v>1.0871238673764399E-3</v>
          </cell>
          <cell r="G667">
            <v>3.07474784620386E-2</v>
          </cell>
          <cell r="H667">
            <v>1.7002952498647299E-3</v>
          </cell>
          <cell r="I667">
            <v>3.3028479219678801E-4</v>
          </cell>
          <cell r="J667">
            <v>8.2010780969145897E-3</v>
          </cell>
          <cell r="K667">
            <v>1.6907791983742</v>
          </cell>
          <cell r="L667">
            <v>1.5094500331754599</v>
          </cell>
          <cell r="M667">
            <v>1.34755195502659</v>
          </cell>
          <cell r="N667">
            <v>1.2033590280858</v>
          </cell>
          <cell r="O667">
            <v>1.0741312921785999</v>
          </cell>
        </row>
        <row r="668">
          <cell r="A668" t="str">
            <v>D-TBDS1</v>
          </cell>
          <cell r="B668" t="str">
            <v>VAR_fin</v>
          </cell>
          <cell r="C668" t="str">
            <v>BDS</v>
          </cell>
          <cell r="D668">
            <v>3.0169610653317553</v>
          </cell>
          <cell r="E668">
            <v>3.0152720837606179</v>
          </cell>
          <cell r="F668">
            <v>4.4990253469709254</v>
          </cell>
          <cell r="G668">
            <v>3.1067066899670701</v>
          </cell>
          <cell r="H668">
            <v>3.0184895624126113</v>
          </cell>
          <cell r="I668">
            <v>3.0158350078711718</v>
          </cell>
          <cell r="J668">
            <v>3.9335636810915817</v>
          </cell>
          <cell r="K668">
            <v>7.1777450773184253</v>
          </cell>
          <cell r="L668">
            <v>4.5526329574004567</v>
          </cell>
          <cell r="M668">
            <v>4.3899656803451235</v>
          </cell>
          <cell r="N668">
            <v>4.1607478789643251</v>
          </cell>
          <cell r="O668">
            <v>3.8964406724072727</v>
          </cell>
        </row>
        <row r="669">
          <cell r="A669" t="str">
            <v>D-T-ELC-Bus_u_S3</v>
          </cell>
          <cell r="B669" t="str">
            <v>VAR_fout</v>
          </cell>
          <cell r="C669" t="str">
            <v>T-ELC-Bus_u_BatSTGin_S3</v>
          </cell>
          <cell r="D669">
            <v>3.8057214964332797E-3</v>
          </cell>
          <cell r="E669">
            <v>8.9437865310654108E-3</v>
          </cell>
          <cell r="F669">
            <v>1.0690342454061677E-2</v>
          </cell>
          <cell r="G669">
            <v>0.80660007015172486</v>
          </cell>
          <cell r="H669">
            <v>0.82822828922879155</v>
          </cell>
          <cell r="I669">
            <v>0.80414987170130503</v>
          </cell>
          <cell r="J669">
            <v>0.80801717148861341</v>
          </cell>
          <cell r="K669">
            <v>0.78602841430078041</v>
          </cell>
          <cell r="L669">
            <v>0.79677995251760769</v>
          </cell>
          <cell r="M669">
            <v>0.81750832872300316</v>
          </cell>
          <cell r="N669">
            <v>0.8424484897302188</v>
          </cell>
          <cell r="O669">
            <v>0.87141513574172869</v>
          </cell>
        </row>
        <row r="670">
          <cell r="A670" t="str">
            <v>D-T-ELC-Bus_u_S3</v>
          </cell>
          <cell r="B670" t="str">
            <v>VAR_fin</v>
          </cell>
          <cell r="C670" t="str">
            <v>TELC</v>
          </cell>
          <cell r="D670">
            <v>3.8057214964332797E-3</v>
          </cell>
          <cell r="E670">
            <v>8.9437865310654108E-3</v>
          </cell>
          <cell r="F670">
            <v>1.0690342454061677E-2</v>
          </cell>
          <cell r="G670">
            <v>0.80660007015172486</v>
          </cell>
          <cell r="H670">
            <v>0.82822828922879155</v>
          </cell>
          <cell r="I670">
            <v>0.80414987170130503</v>
          </cell>
          <cell r="J670">
            <v>0.80801717148861341</v>
          </cell>
          <cell r="K670">
            <v>0.78602841430078041</v>
          </cell>
          <cell r="L670">
            <v>0.79677995251760769</v>
          </cell>
          <cell r="M670">
            <v>0.81750832872300316</v>
          </cell>
          <cell r="N670">
            <v>0.8424484897302188</v>
          </cell>
          <cell r="O670">
            <v>0.87141513574172869</v>
          </cell>
        </row>
        <row r="671">
          <cell r="A671" t="str">
            <v>D-T-ELC-Bus_u_S3</v>
          </cell>
          <cell r="B671" t="str">
            <v>VAR_ncap</v>
          </cell>
          <cell r="C671" t="str">
            <v>-</v>
          </cell>
          <cell r="D671">
            <v>4.04654718604447E-4</v>
          </cell>
          <cell r="E671">
            <v>5.4323442155625396E-4</v>
          </cell>
          <cell r="F671">
            <v>1.9805124757738701E-4</v>
          </cell>
          <cell r="G671">
            <v>8.4555359306592498E-2</v>
          </cell>
          <cell r="H671">
            <v>2.3350757712945799E-2</v>
          </cell>
          <cell r="I671">
            <v>6.1647570996889799E-2</v>
          </cell>
          <cell r="J671">
            <v>2.9275017514394201E-2</v>
          </cell>
          <cell r="K671">
            <v>5.3808187258915202E-2</v>
          </cell>
          <cell r="L671">
            <v>2.5913389188355201E-2</v>
          </cell>
          <cell r="M671">
            <v>6.6737534413961699E-2</v>
          </cell>
          <cell r="N671">
            <v>2.23096226201034E-2</v>
          </cell>
          <cell r="O671">
            <v>6.9800101826658897E-2</v>
          </cell>
        </row>
        <row r="672">
          <cell r="A672" t="str">
            <v>D-T-ELC-Bus_u_S3</v>
          </cell>
          <cell r="B672" t="str">
            <v>VAR_cap</v>
          </cell>
          <cell r="C672" t="str">
            <v>-</v>
          </cell>
          <cell r="D672">
            <v>4.04654718604447E-4</v>
          </cell>
          <cell r="E672">
            <v>9.4788914016070102E-4</v>
          </cell>
          <cell r="F672">
            <v>1.1459403877380899E-3</v>
          </cell>
          <cell r="G672">
            <v>8.5257291556539494E-2</v>
          </cell>
          <cell r="H672">
            <v>8.7543674994396997E-2</v>
          </cell>
          <cell r="I672">
            <v>8.4998328709835702E-2</v>
          </cell>
          <cell r="J672">
            <v>8.5407594251806093E-2</v>
          </cell>
          <cell r="K672">
            <v>8.3083204773309396E-2</v>
          </cell>
          <cell r="L672">
            <v>8.4219802269029795E-2</v>
          </cell>
          <cell r="M672">
            <v>8.6410516260311002E-2</v>
          </cell>
          <cell r="N672">
            <v>8.90471570340651E-2</v>
          </cell>
          <cell r="O672">
            <v>9.2109724446762298E-2</v>
          </cell>
        </row>
        <row r="673">
          <cell r="A673" t="str">
            <v>T-Plg-DSL-mix_S3</v>
          </cell>
          <cell r="B673" t="str">
            <v>VAR_fout</v>
          </cell>
          <cell r="C673" t="str">
            <v>CO2_T</v>
          </cell>
          <cell r="D673">
            <v>6.9478883825907899E-3</v>
          </cell>
          <cell r="E673">
            <v>52.417292554148403</v>
          </cell>
          <cell r="F673">
            <v>105.05576405852959</v>
          </cell>
          <cell r="G673">
            <v>511.71077693134009</v>
          </cell>
          <cell r="H673">
            <v>695.91347346237217</v>
          </cell>
          <cell r="I673">
            <v>397.43205913768003</v>
          </cell>
          <cell r="J673">
            <v>330.08014191282393</v>
          </cell>
          <cell r="K673">
            <v>97.113919025292333</v>
          </cell>
          <cell r="L673">
            <v>46.033343020502954</v>
          </cell>
          <cell r="M673">
            <v>3.0465277568252302E-2</v>
          </cell>
          <cell r="N673">
            <v>2.567192223653933E-2</v>
          </cell>
          <cell r="O673">
            <v>1.4219081564980546E-2</v>
          </cell>
        </row>
        <row r="674">
          <cell r="A674" t="str">
            <v>T-Plg-DSL-mix_S3</v>
          </cell>
          <cell r="B674" t="str">
            <v>VAR_fout</v>
          </cell>
          <cell r="C674" t="str">
            <v>T-PEVmix-ELC_DSL_S3</v>
          </cell>
          <cell r="D674">
            <v>5.2472474242531545E-5</v>
          </cell>
          <cell r="E674">
            <v>0.3958706418345157</v>
          </cell>
          <cell r="F674">
            <v>0.79341169144330703</v>
          </cell>
          <cell r="G674">
            <v>3.8645886467368902</v>
          </cell>
          <cell r="H674">
            <v>5.2557409964706991</v>
          </cell>
          <cell r="I674">
            <v>3.1789331948231752</v>
          </cell>
          <cell r="J674">
            <v>2.7876208046003041</v>
          </cell>
          <cell r="K674">
            <v>0.86933687626013223</v>
          </cell>
          <cell r="L674">
            <v>0.43534704133463797</v>
          </cell>
          <cell r="M674">
            <v>2.9735787530724161E-4</v>
          </cell>
          <cell r="N674">
            <v>2.5798761412128762E-4</v>
          </cell>
          <cell r="O674">
            <v>1.5093237524603219E-4</v>
          </cell>
        </row>
        <row r="675">
          <cell r="A675" t="str">
            <v>T-Plg-DSL-mix_S3</v>
          </cell>
          <cell r="B675" t="str">
            <v>VAR_fin</v>
          </cell>
          <cell r="C675" t="str">
            <v>TDSL</v>
          </cell>
          <cell r="D675">
            <v>9.4787017497827987E-5</v>
          </cell>
          <cell r="E675">
            <v>0.71510631042494421</v>
          </cell>
          <cell r="F675">
            <v>1.4332300690113162</v>
          </cell>
          <cell r="G675">
            <v>6.9810474342611135</v>
          </cell>
          <cell r="H675">
            <v>9.4940446584225313</v>
          </cell>
          <cell r="I675">
            <v>5.4219926212507481</v>
          </cell>
          <cell r="J675">
            <v>4.5031397259593939</v>
          </cell>
          <cell r="K675">
            <v>1.3248829334964862</v>
          </cell>
          <cell r="L675">
            <v>0.62801286521832056</v>
          </cell>
          <cell r="M675">
            <v>4.1562452344136921E-4</v>
          </cell>
          <cell r="N675">
            <v>3.5023086270858576E-4</v>
          </cell>
          <cell r="O675">
            <v>1.9398474167777032E-4</v>
          </cell>
        </row>
        <row r="676">
          <cell r="A676" t="str">
            <v>D-T-ELC-Bus_u_S4</v>
          </cell>
          <cell r="B676" t="str">
            <v>VAR_fout</v>
          </cell>
          <cell r="C676" t="str">
            <v>T-ELC-Bus_u_BatSTGin_S4</v>
          </cell>
          <cell r="D676">
            <v>1.8628405058637495E-4</v>
          </cell>
          <cell r="E676">
            <v>1.9732361644499562E-4</v>
          </cell>
          <cell r="F676">
            <v>3.4865784421442611E-4</v>
          </cell>
          <cell r="G676">
            <v>2.0307797548336736E-2</v>
          </cell>
          <cell r="H676">
            <v>5.3375985119061527E-3</v>
          </cell>
          <cell r="I676">
            <v>2.6528363272469415E-4</v>
          </cell>
          <cell r="J676">
            <v>2.7064050455250313E-4</v>
          </cell>
          <cell r="K676">
            <v>5.7164870322807572E-4</v>
          </cell>
          <cell r="L676">
            <v>4.4190921935717483E-4</v>
          </cell>
          <cell r="M676">
            <v>6.0538650813651764E-4</v>
          </cell>
          <cell r="N676">
            <v>6.4745435281233327E-4</v>
          </cell>
          <cell r="O676">
            <v>1.1317349226585523E-3</v>
          </cell>
        </row>
        <row r="677">
          <cell r="A677" t="str">
            <v>D-T-ELC-Bus_u_S4</v>
          </cell>
          <cell r="B677" t="str">
            <v>VAR_fin</v>
          </cell>
          <cell r="C677" t="str">
            <v>TELC</v>
          </cell>
          <cell r="D677">
            <v>1.8628405058637495E-4</v>
          </cell>
          <cell r="E677">
            <v>1.9732361644499562E-4</v>
          </cell>
          <cell r="F677">
            <v>3.4865784421442611E-4</v>
          </cell>
          <cell r="G677">
            <v>2.0307797548336736E-2</v>
          </cell>
          <cell r="H677">
            <v>5.3375985119061527E-3</v>
          </cell>
          <cell r="I677">
            <v>2.6528363272469415E-4</v>
          </cell>
          <cell r="J677">
            <v>2.7064050455250313E-4</v>
          </cell>
          <cell r="K677">
            <v>5.7164870322807572E-4</v>
          </cell>
          <cell r="L677">
            <v>4.4190921935717483E-4</v>
          </cell>
          <cell r="M677">
            <v>6.0538650813651764E-4</v>
          </cell>
          <cell r="N677">
            <v>6.4745435281233327E-4</v>
          </cell>
          <cell r="O677">
            <v>1.1317349226585523E-3</v>
          </cell>
        </row>
        <row r="678">
          <cell r="A678" t="str">
            <v>D-T-ELC-Bus_u_S4</v>
          </cell>
          <cell r="B678" t="str">
            <v>VAR_ncap</v>
          </cell>
          <cell r="C678" t="str">
            <v>-</v>
          </cell>
          <cell r="D678">
            <v>6.5266110542040699E-5</v>
          </cell>
          <cell r="E678">
            <v>5.7504277239715103E-5</v>
          </cell>
          <cell r="F678">
            <v>7.9113345073717904E-5</v>
          </cell>
          <cell r="G678">
            <v>2.06233548504945E-3</v>
          </cell>
          <cell r="H678">
            <v>4.8572878286365702E-5</v>
          </cell>
          <cell r="I678">
            <v>4.5608917139035E-5</v>
          </cell>
          <cell r="J678">
            <v>5.3806608873328098E-5</v>
          </cell>
          <cell r="K678">
            <v>6.2164641306472306E-5</v>
          </cell>
          <cell r="L678">
            <v>7.4413579364799903E-5</v>
          </cell>
          <cell r="M678">
            <v>8.1317201618004499E-5</v>
          </cell>
          <cell r="N678">
            <v>9.1488108087557204E-5</v>
          </cell>
          <cell r="O678">
            <v>1.28443857991036E-4</v>
          </cell>
        </row>
        <row r="679">
          <cell r="A679" t="str">
            <v>D-T-ELC-Bus_u_S4</v>
          </cell>
          <cell r="B679" t="str">
            <v>VAR_cap</v>
          </cell>
          <cell r="C679" t="str">
            <v>-</v>
          </cell>
          <cell r="D679">
            <v>6.5266110542040699E-5</v>
          </cell>
          <cell r="E679">
            <v>1.22770387781756E-4</v>
          </cell>
          <cell r="F679">
            <v>2.0188373285547401E-4</v>
          </cell>
          <cell r="G679">
            <v>2.1477068939088598E-3</v>
          </cell>
          <cell r="H679">
            <v>5.8340765202359102E-4</v>
          </cell>
          <cell r="I679">
            <v>8.4940957880050706E-5</v>
          </cell>
          <cell r="J679">
            <v>7.7455333928059394E-5</v>
          </cell>
          <cell r="K679">
            <v>9.8476721908417604E-5</v>
          </cell>
          <cell r="L679">
            <v>1.19899245742182E-4</v>
          </cell>
          <cell r="M679">
            <v>1.00615211166434E-4</v>
          </cell>
          <cell r="N679">
            <v>1.4702664353217199E-4</v>
          </cell>
          <cell r="O679">
            <v>1.9018578197691399E-4</v>
          </cell>
        </row>
        <row r="680">
          <cell r="A680" t="str">
            <v>T_C-FC-H2O-S1</v>
          </cell>
          <cell r="B680" t="str">
            <v>VAR_fout</v>
          </cell>
          <cell r="C680" t="str">
            <v>TPCAR</v>
          </cell>
          <cell r="E680">
            <v>2.2775757849892533E-5</v>
          </cell>
          <cell r="F680">
            <v>3.00698458642085E-5</v>
          </cell>
          <cell r="G680">
            <v>2.4232735658416794E-7</v>
          </cell>
          <cell r="H680">
            <v>4.4317876994384056E-7</v>
          </cell>
          <cell r="I680">
            <v>9.207737390016935E-7</v>
          </cell>
          <cell r="J680">
            <v>7.3918824827617984E-7</v>
          </cell>
          <cell r="K680">
            <v>5.5320100651599468E-7</v>
          </cell>
          <cell r="L680">
            <v>2.6955523214433849E-7</v>
          </cell>
          <cell r="M680">
            <v>1.5993068213995133E-7</v>
          </cell>
          <cell r="O680">
            <v>1.7367725403038309E-6</v>
          </cell>
        </row>
        <row r="681">
          <cell r="A681" t="str">
            <v>T_C-FC-H2O-S1</v>
          </cell>
          <cell r="B681" t="str">
            <v>VAR_fin</v>
          </cell>
          <cell r="C681" t="str">
            <v>TH2O</v>
          </cell>
          <cell r="E681">
            <v>2.0770005375889549E-5</v>
          </cell>
          <cell r="F681">
            <v>2.7421737812984699E-5</v>
          </cell>
          <cell r="G681">
            <v>2.2098674090891011E-7</v>
          </cell>
          <cell r="H681">
            <v>3.8234558202816109E-7</v>
          </cell>
          <cell r="I681">
            <v>7.5201243090176879E-7</v>
          </cell>
          <cell r="J681">
            <v>5.7008330081312255E-7</v>
          </cell>
          <cell r="K681">
            <v>4.0579457714975761E-7</v>
          </cell>
          <cell r="L681">
            <v>1.8557335099684747E-7</v>
          </cell>
          <cell r="M681">
            <v>1.017619702049518E-7</v>
          </cell>
          <cell r="O681">
            <v>1.100805441638622E-6</v>
          </cell>
        </row>
        <row r="682">
          <cell r="A682" t="str">
            <v>T_C-FC-H2O-S1</v>
          </cell>
          <cell r="B682" t="str">
            <v>VAR_ncap</v>
          </cell>
          <cell r="C682" t="str">
            <v>-</v>
          </cell>
          <cell r="E682">
            <v>2.7827313306634801E-6</v>
          </cell>
          <cell r="F682">
            <v>1.31457193978015E-6</v>
          </cell>
          <cell r="G682">
            <v>9.8420007478882706E-8</v>
          </cell>
          <cell r="H682">
            <v>1.2491021484829101E-7</v>
          </cell>
          <cell r="I682">
            <v>1.9900715934652401E-7</v>
          </cell>
          <cell r="J682">
            <v>1.5252226106128499E-7</v>
          </cell>
          <cell r="K682">
            <v>1.3633930061173899E-7</v>
          </cell>
          <cell r="L682">
            <v>9.9359267643561894E-8</v>
          </cell>
          <cell r="M682">
            <v>9.8603447292154495E-8</v>
          </cell>
          <cell r="N682">
            <v>6.9878397112952806E-8</v>
          </cell>
          <cell r="O682">
            <v>2.7908696775694602E-7</v>
          </cell>
        </row>
        <row r="683">
          <cell r="A683" t="str">
            <v>T_C-FC-H2O-S1</v>
          </cell>
          <cell r="B683" t="str">
            <v>VAR_cap</v>
          </cell>
          <cell r="C683" t="str">
            <v>-</v>
          </cell>
          <cell r="E683">
            <v>2.74568440849417E-6</v>
          </cell>
          <cell r="F683">
            <v>3.8855958957898198E-6</v>
          </cell>
          <cell r="G683">
            <v>2.4661246762066965E-7</v>
          </cell>
          <cell r="H683">
            <v>3.198280559937199E-7</v>
          </cell>
          <cell r="I683">
            <v>3.6931861391403799E-7</v>
          </cell>
          <cell r="J683">
            <v>3.3537548138664232E-7</v>
          </cell>
          <cell r="K683">
            <v>3.1947073091475851E-7</v>
          </cell>
          <cell r="L683">
            <v>2.7661453347331202E-7</v>
          </cell>
          <cell r="M683">
            <v>2.371407975420036E-7</v>
          </cell>
          <cell r="N683">
            <v>1.6910408324087292E-7</v>
          </cell>
          <cell r="O683">
            <v>4.4756881216205398E-7</v>
          </cell>
        </row>
        <row r="684">
          <cell r="A684" t="str">
            <v>T_B_c-ICEDSL-S1</v>
          </cell>
          <cell r="B684" t="str">
            <v>VAR_fout</v>
          </cell>
          <cell r="C684" t="str">
            <v>CO2_T</v>
          </cell>
          <cell r="D684">
            <v>8.3080429854307205</v>
          </cell>
          <cell r="E684">
            <v>22.54405645407418</v>
          </cell>
          <cell r="F684">
            <v>27.239359063296302</v>
          </cell>
          <cell r="G684">
            <v>7.2184155885405235E-2</v>
          </cell>
          <cell r="J684">
            <v>4.5933568968098198E-4</v>
          </cell>
          <cell r="K684">
            <v>3.1829028609191398E-4</v>
          </cell>
        </row>
        <row r="685">
          <cell r="A685" t="str">
            <v>T_B_c-ICEDSL-S1</v>
          </cell>
          <cell r="B685" t="str">
            <v>VAR_fout</v>
          </cell>
          <cell r="C685" t="str">
            <v>TPBSc</v>
          </cell>
          <cell r="D685">
            <v>1.4045372035365211E-2</v>
          </cell>
          <cell r="E685">
            <v>3.8960874862767128E-2</v>
          </cell>
          <cell r="F685">
            <v>4.7635752385836602E-2</v>
          </cell>
          <cell r="G685">
            <v>1.2674538377956099E-4</v>
          </cell>
          <cell r="J685">
            <v>1.0697666297717358E-6</v>
          </cell>
          <cell r="K685">
            <v>7.4127992727521438E-7</v>
          </cell>
        </row>
        <row r="686">
          <cell r="A686" t="str">
            <v>T_B_c-ICEDSL-S1</v>
          </cell>
          <cell r="B686" t="str">
            <v>VAR_fin</v>
          </cell>
          <cell r="C686" t="str">
            <v>TDSL</v>
          </cell>
          <cell r="D686">
            <v>0.11334301480805915</v>
          </cell>
          <cell r="E686">
            <v>0.30755875107877528</v>
          </cell>
          <cell r="F686">
            <v>0.37161472119094535</v>
          </cell>
          <cell r="G686">
            <v>9.8477702435750955E-4</v>
          </cell>
          <cell r="J686">
            <v>6.2665169124281324E-6</v>
          </cell>
          <cell r="K686">
            <v>4.3422958539142425E-6</v>
          </cell>
        </row>
        <row r="687">
          <cell r="A687" t="str">
            <v>T_B_c-ICEDSL-S1</v>
          </cell>
          <cell r="B687" t="str">
            <v>VAR_ncap</v>
          </cell>
          <cell r="C687" t="str">
            <v>-</v>
          </cell>
          <cell r="E687">
            <v>4.8857091813404602E-4</v>
          </cell>
          <cell r="F687">
            <v>1.8904300343503501E-4</v>
          </cell>
          <cell r="G687">
            <v>3.2062321532552899E-7</v>
          </cell>
          <cell r="I687">
            <v>1.0436584636562699E-8</v>
          </cell>
          <cell r="J687">
            <v>3.7880261108666902E-8</v>
          </cell>
        </row>
        <row r="688">
          <cell r="A688" t="str">
            <v>T_B_c-ICEDSL-S1</v>
          </cell>
          <cell r="B688" t="str">
            <v>VAR_cap</v>
          </cell>
          <cell r="C688" t="str">
            <v>-</v>
          </cell>
          <cell r="D688">
            <v>3.05805288461538E-4</v>
          </cell>
          <cell r="E688">
            <v>8.47921879672507E-4</v>
          </cell>
          <cell r="F688">
            <v>1.036964883107542E-3</v>
          </cell>
          <cell r="G688">
            <v>3.2676093122879562E-6</v>
          </cell>
          <cell r="H688">
            <v>1.3860694468795383E-8</v>
          </cell>
          <cell r="I688">
            <v>1.2557786527140397E-8</v>
          </cell>
          <cell r="J688">
            <v>4.8316845745229601E-8</v>
          </cell>
          <cell r="K688">
            <v>4.1445369588732401E-8</v>
          </cell>
        </row>
        <row r="689">
          <cell r="A689" t="str">
            <v>T-Plg-DSL-mix_S4</v>
          </cell>
          <cell r="B689" t="str">
            <v>VAR_fout</v>
          </cell>
          <cell r="C689" t="str">
            <v>CO2_T</v>
          </cell>
          <cell r="D689">
            <v>0.41654080891526102</v>
          </cell>
          <cell r="E689">
            <v>1.407981242357468</v>
          </cell>
          <cell r="F689">
            <v>1.4907646081664683</v>
          </cell>
          <cell r="G689">
            <v>4.3795149020788404</v>
          </cell>
          <cell r="H689">
            <v>2.419476051941821</v>
          </cell>
          <cell r="I689">
            <v>1.0789223516698241</v>
          </cell>
          <cell r="J689">
            <v>0.92990617716920199</v>
          </cell>
          <cell r="K689">
            <v>0.49476599363846774</v>
          </cell>
          <cell r="L689">
            <v>22.010891461564277</v>
          </cell>
          <cell r="M689">
            <v>68.553622163859927</v>
          </cell>
          <cell r="N689">
            <v>62.547492403864219</v>
          </cell>
          <cell r="O689">
            <v>53.014757399318221</v>
          </cell>
        </row>
        <row r="690">
          <cell r="A690" t="str">
            <v>T-Plg-DSL-mix_S4</v>
          </cell>
          <cell r="B690" t="str">
            <v>VAR_fout</v>
          </cell>
          <cell r="C690" t="str">
            <v>T-PEVmix-ELC_DSL_S4</v>
          </cell>
          <cell r="D690">
            <v>2.9947663059240893E-3</v>
          </cell>
          <cell r="E690">
            <v>1.0122837171622929E-2</v>
          </cell>
          <cell r="F690">
            <v>1.0718017353995454E-2</v>
          </cell>
          <cell r="G690">
            <v>3.1487007717667236E-2</v>
          </cell>
          <cell r="H690">
            <v>1.7395091196981956E-2</v>
          </cell>
          <cell r="I690">
            <v>8.1540898150544178E-3</v>
          </cell>
          <cell r="J690">
            <v>7.4035846024086052E-3</v>
          </cell>
          <cell r="K690">
            <v>4.1465542509125453E-3</v>
          </cell>
          <cell r="L690">
            <v>0.1956696739943859</v>
          </cell>
          <cell r="M690">
            <v>0.64425597562564463</v>
          </cell>
          <cell r="N690">
            <v>0.61938599278593343</v>
          </cell>
          <cell r="O690">
            <v>0.52510059894022021</v>
          </cell>
        </row>
        <row r="691">
          <cell r="A691" t="str">
            <v>T-Plg-DSL-mix_S4</v>
          </cell>
          <cell r="B691" t="str">
            <v>VAR_fin</v>
          </cell>
          <cell r="C691" t="str">
            <v>TDSL</v>
          </cell>
          <cell r="D691">
            <v>5.6826849783800908E-3</v>
          </cell>
          <cell r="E691">
            <v>1.9208475339119617E-2</v>
          </cell>
          <cell r="F691">
            <v>2.0337852771711733E-2</v>
          </cell>
          <cell r="G691">
            <v>5.9747815853735918E-2</v>
          </cell>
          <cell r="H691">
            <v>3.3007858825945674E-2</v>
          </cell>
          <cell r="I691">
            <v>1.4719268099179061E-2</v>
          </cell>
          <cell r="J691">
            <v>1.268630528198093E-2</v>
          </cell>
          <cell r="K691">
            <v>6.7498771301291666E-3</v>
          </cell>
          <cell r="L691">
            <v>0.30028501311820355</v>
          </cell>
          <cell r="M691">
            <v>0.93524723279481436</v>
          </cell>
          <cell r="N691">
            <v>0.85330821833375325</v>
          </cell>
          <cell r="O691">
            <v>0.72325726329219897</v>
          </cell>
        </row>
        <row r="692">
          <cell r="A692" t="str">
            <v>T_C-FC-H2O-S2</v>
          </cell>
          <cell r="B692" t="str">
            <v>VAR_fout</v>
          </cell>
          <cell r="C692" t="str">
            <v>TPCAR</v>
          </cell>
          <cell r="D692">
            <v>7.2616538828858116E-5</v>
          </cell>
          <cell r="E692">
            <v>9.5177260382150588E-5</v>
          </cell>
          <cell r="F692">
            <v>9.856672505192493E-5</v>
          </cell>
          <cell r="G692">
            <v>1.3896194290101018E-6</v>
          </cell>
          <cell r="H692">
            <v>1.4371837334309491E-6</v>
          </cell>
          <cell r="I692">
            <v>1.1831854923634418E-6</v>
          </cell>
          <cell r="J692">
            <v>1.2618426214861265E-6</v>
          </cell>
          <cell r="K692">
            <v>1.3222043650725612E-6</v>
          </cell>
          <cell r="L692">
            <v>1.1694288016788613E-6</v>
          </cell>
          <cell r="M692">
            <v>1.4370233172930634E-6</v>
          </cell>
          <cell r="N692">
            <v>1.2465092759020561E-6</v>
          </cell>
          <cell r="O692">
            <v>4.2249497660419174E-6</v>
          </cell>
        </row>
        <row r="693">
          <cell r="A693" t="str">
            <v>T_C-FC-H2O-S2</v>
          </cell>
          <cell r="B693" t="str">
            <v>VAR_fin</v>
          </cell>
          <cell r="C693" t="str">
            <v>TH2O</v>
          </cell>
          <cell r="D693">
            <v>8.1454772820704224E-5</v>
          </cell>
          <cell r="E693">
            <v>1.0676138311131072E-4</v>
          </cell>
          <cell r="F693">
            <v>1.1056338302913862E-4</v>
          </cell>
          <cell r="G693">
            <v>1.5587514459209117E-6</v>
          </cell>
          <cell r="H693">
            <v>1.5629728703454376E-6</v>
          </cell>
          <cell r="I693">
            <v>1.1938805873992076E-6</v>
          </cell>
          <cell r="J693">
            <v>1.203734561714166E-6</v>
          </cell>
          <cell r="K693">
            <v>1.1994881118650151E-6</v>
          </cell>
          <cell r="L693">
            <v>9.9202215738476599E-7</v>
          </cell>
          <cell r="M693">
            <v>1.1430952822597758E-6</v>
          </cell>
          <cell r="N693">
            <v>9.6873231578084743E-7</v>
          </cell>
          <cell r="O693">
            <v>3.2479319184802328E-6</v>
          </cell>
        </row>
        <row r="694">
          <cell r="A694" t="str">
            <v>T_C-FC-H2O-S2</v>
          </cell>
          <cell r="B694" t="str">
            <v>VAR_ncap</v>
          </cell>
          <cell r="C694" t="str">
            <v>-</v>
          </cell>
          <cell r="E694">
            <v>1.4325728405131201E-6</v>
          </cell>
          <cell r="F694">
            <v>7.0575467485756198E-7</v>
          </cell>
          <cell r="G694">
            <v>8.8250180071282101E-8</v>
          </cell>
          <cell r="H694">
            <v>9.9478412934876403E-8</v>
          </cell>
          <cell r="I694">
            <v>1.40478784861267E-7</v>
          </cell>
          <cell r="J694">
            <v>1.3189962320132199E-7</v>
          </cell>
          <cell r="K694">
            <v>1.1933623221422199E-7</v>
          </cell>
          <cell r="L694">
            <v>1.00810529231651E-7</v>
          </cell>
          <cell r="M694">
            <v>1.1812523637952E-7</v>
          </cell>
          <cell r="N694">
            <v>1.03414678063679E-7</v>
          </cell>
          <cell r="O694">
            <v>2.5400655819603798E-7</v>
          </cell>
        </row>
        <row r="695">
          <cell r="A695" t="str">
            <v>T_C-FC-H2O-S2</v>
          </cell>
          <cell r="B695" t="str">
            <v>VAR_cap</v>
          </cell>
          <cell r="C695" t="str">
            <v>-</v>
          </cell>
          <cell r="D695">
            <v>6.3156241402258444E-6</v>
          </cell>
          <cell r="E695">
            <v>7.7468341154197093E-6</v>
          </cell>
          <cell r="F695">
            <v>8.3622860494267692E-6</v>
          </cell>
          <cell r="G695">
            <v>3.1389487814610972E-7</v>
          </cell>
          <cell r="H695">
            <v>2.9309159053020894E-7</v>
          </cell>
          <cell r="I695">
            <v>2.8048083955239201E-7</v>
          </cell>
          <cell r="J695">
            <v>2.790745520359229E-7</v>
          </cell>
          <cell r="K695">
            <v>2.694296044701551E-7</v>
          </cell>
          <cell r="L695">
            <v>2.654862819246166E-7</v>
          </cell>
          <cell r="M695">
            <v>2.7038771732544801E-7</v>
          </cell>
          <cell r="N695">
            <v>2.5331040693406656E-7</v>
          </cell>
          <cell r="O695">
            <v>4.7554647263923603E-7</v>
          </cell>
        </row>
        <row r="696">
          <cell r="A696" t="str">
            <v>T_B_c-ICEDSL-S2</v>
          </cell>
          <cell r="B696" t="str">
            <v>VAR_fout</v>
          </cell>
          <cell r="C696" t="str">
            <v>CO2_T</v>
          </cell>
          <cell r="D696">
            <v>38.068854967071999</v>
          </cell>
          <cell r="E696">
            <v>29.236248329238126</v>
          </cell>
          <cell r="F696">
            <v>36.110949087555205</v>
          </cell>
          <cell r="G696">
            <v>5.9341552139998712E-4</v>
          </cell>
          <cell r="J696">
            <v>5.60991418658212E-5</v>
          </cell>
          <cell r="K696">
            <v>8.5611719361128503E-5</v>
          </cell>
        </row>
        <row r="697">
          <cell r="A697" t="str">
            <v>T_B_c-ICEDSL-S2</v>
          </cell>
          <cell r="B697" t="str">
            <v>VAR_fout</v>
          </cell>
          <cell r="C697" t="str">
            <v>TPBSc</v>
          </cell>
          <cell r="D697">
            <v>4.5425984533545294E-2</v>
          </cell>
          <cell r="E697">
            <v>3.5023520919916548E-2</v>
          </cell>
          <cell r="F697">
            <v>4.3232996194109793E-2</v>
          </cell>
          <cell r="G697">
            <v>7.3901754014101344E-7</v>
          </cell>
          <cell r="J697">
            <v>9.0850075800837693E-8</v>
          </cell>
          <cell r="K697">
            <v>1.3864438803719519E-7</v>
          </cell>
        </row>
        <row r="698">
          <cell r="A698" t="str">
            <v>T_B_c-ICEDSL-S2</v>
          </cell>
          <cell r="B698" t="str">
            <v>VAR_fin</v>
          </cell>
          <cell r="C698" t="str">
            <v>TDSL</v>
          </cell>
          <cell r="D698">
            <v>0.51935682083317858</v>
          </cell>
          <cell r="E698">
            <v>0.39885741240434042</v>
          </cell>
          <cell r="F698">
            <v>0.49264596299529667</v>
          </cell>
          <cell r="G698">
            <v>8.0957097053204277E-6</v>
          </cell>
          <cell r="J698">
            <v>7.6533617825131134E-7</v>
          </cell>
          <cell r="K698">
            <v>1.1679634292104846E-6</v>
          </cell>
        </row>
        <row r="699">
          <cell r="A699" t="str">
            <v>T_B_c-ICEDSL-S2</v>
          </cell>
          <cell r="B699" t="str">
            <v>VAR_ncap</v>
          </cell>
          <cell r="C699" t="str">
            <v>-</v>
          </cell>
          <cell r="E699">
            <v>6.2270677176998004E-7</v>
          </cell>
          <cell r="F699">
            <v>1.2337470162676201E-6</v>
          </cell>
          <cell r="G699">
            <v>1.3168507665800101E-8</v>
          </cell>
          <cell r="J699">
            <v>1.33378142692385E-8</v>
          </cell>
        </row>
        <row r="700">
          <cell r="A700" t="str">
            <v>T_B_c-ICEDSL-S2</v>
          </cell>
          <cell r="B700" t="str">
            <v>VAR_cap</v>
          </cell>
          <cell r="C700" t="str">
            <v>-</v>
          </cell>
          <cell r="D700">
            <v>9.8784375000000001E-4</v>
          </cell>
          <cell r="E700">
            <v>9.3855098411936599E-4</v>
          </cell>
          <cell r="F700">
            <v>9.3978847746107469E-4</v>
          </cell>
          <cell r="G700">
            <v>9.7867588036361537E-8</v>
          </cell>
          <cell r="H700">
            <v>2.9055203198269541E-9</v>
          </cell>
          <cell r="I700">
            <v>2.7653462860833701E-9</v>
          </cell>
          <cell r="J700">
            <v>1.33378142692385E-8</v>
          </cell>
          <cell r="K700">
            <v>1.33378142692385E-8</v>
          </cell>
        </row>
        <row r="701">
          <cell r="A701" t="str">
            <v>T_TW-FCLH2O-S1</v>
          </cell>
          <cell r="B701" t="str">
            <v>VAR_fout</v>
          </cell>
          <cell r="C701" t="str">
            <v>TPTWL</v>
          </cell>
          <cell r="G701">
            <v>1.2821516179777013E-4</v>
          </cell>
          <cell r="H701">
            <v>3.6268500902260825E-4</v>
          </cell>
          <cell r="I701">
            <v>6.0901266490591942E-4</v>
          </cell>
          <cell r="J701">
            <v>1.0566577679116966E-3</v>
          </cell>
          <cell r="K701">
            <v>1.5949562389788758E-3</v>
          </cell>
          <cell r="L701">
            <v>2.1469602588037027E-3</v>
          </cell>
          <cell r="M701">
            <v>2.6725649969347089E-3</v>
          </cell>
          <cell r="N701">
            <v>2.5505122864738598E-3</v>
          </cell>
          <cell r="O701">
            <v>3.7467853441199473E-3</v>
          </cell>
        </row>
        <row r="702">
          <cell r="A702" t="str">
            <v>T_TW-FCLH2O-S1</v>
          </cell>
          <cell r="B702" t="str">
            <v>VAR_fin</v>
          </cell>
          <cell r="C702" t="str">
            <v>TH2O</v>
          </cell>
          <cell r="G702">
            <v>2.7637831850817771E-5</v>
          </cell>
          <cell r="H702">
            <v>7.7374172965401436E-5</v>
          </cell>
          <cell r="I702">
            <v>1.2815497419002756E-4</v>
          </cell>
          <cell r="J702">
            <v>2.191923327638265E-4</v>
          </cell>
          <cell r="K702">
            <v>3.2545990626029608E-4</v>
          </cell>
          <cell r="L702">
            <v>4.3559069575214906E-4</v>
          </cell>
          <cell r="M702">
            <v>5.4126722191245207E-4</v>
          </cell>
          <cell r="N702">
            <v>5.1654822290071777E-4</v>
          </cell>
          <cell r="O702">
            <v>7.5882610774297946E-4</v>
          </cell>
        </row>
        <row r="703">
          <cell r="A703" t="str">
            <v>T_TW-FCLH2O-S1</v>
          </cell>
          <cell r="B703" t="str">
            <v>VAR_ncap</v>
          </cell>
          <cell r="C703" t="str">
            <v>-</v>
          </cell>
          <cell r="G703">
            <v>4.9024405947448898E-5</v>
          </cell>
          <cell r="H703">
            <v>9.1255568954084495E-5</v>
          </cell>
          <cell r="I703">
            <v>1.2992131916690901E-4</v>
          </cell>
          <cell r="J703">
            <v>2.1815005478548099E-4</v>
          </cell>
          <cell r="K703">
            <v>3.6550109045902098E-4</v>
          </cell>
          <cell r="L703">
            <v>3.9277366535266301E-4</v>
          </cell>
          <cell r="M703">
            <v>4.8349902382515601E-4</v>
          </cell>
          <cell r="N703">
            <v>4.66584887527495E-4</v>
          </cell>
          <cell r="O703">
            <v>7.0643329694654495E-4</v>
          </cell>
        </row>
        <row r="704">
          <cell r="A704" t="str">
            <v>T_TW-FCLH2O-S1</v>
          </cell>
          <cell r="B704" t="str">
            <v>VAR_cap</v>
          </cell>
          <cell r="C704" t="str">
            <v>-</v>
          </cell>
          <cell r="G704">
            <v>4.9024405947448898E-5</v>
          </cell>
          <cell r="H704">
            <v>1.4023765839102324E-4</v>
          </cell>
          <cell r="I704">
            <v>2.3140246812967144E-4</v>
          </cell>
          <cell r="J704">
            <v>3.9527239687541784E-4</v>
          </cell>
          <cell r="K704">
            <v>6.2785526174287658E-4</v>
          </cell>
          <cell r="L704">
            <v>8.5621520735090675E-4</v>
          </cell>
          <cell r="M704">
            <v>1.0631294887094708E-3</v>
          </cell>
          <cell r="N704">
            <v>1.0194425156410374E-3</v>
          </cell>
          <cell r="O704">
            <v>1.4984481544575161E-3</v>
          </cell>
        </row>
        <row r="705">
          <cell r="A705" t="str">
            <v>D-T-ELC-TW_Bat_S1</v>
          </cell>
          <cell r="B705" t="str">
            <v>VAR_fout</v>
          </cell>
          <cell r="C705" t="str">
            <v>T-ELC-TWSTGin_S1</v>
          </cell>
          <cell r="D705">
            <v>1.5591067436491015E-3</v>
          </cell>
          <cell r="E705">
            <v>2.1286282468932303E-3</v>
          </cell>
          <cell r="F705">
            <v>2.1475878348311689E-3</v>
          </cell>
          <cell r="G705">
            <v>3.1584714802597598E-3</v>
          </cell>
          <cell r="H705">
            <v>3.5943703315261116E-3</v>
          </cell>
          <cell r="I705">
            <v>3.2533267192697188E-3</v>
          </cell>
          <cell r="J705">
            <v>5.8265938765756616E-3</v>
          </cell>
          <cell r="K705">
            <v>9.6571965799252327E-2</v>
          </cell>
          <cell r="L705">
            <v>0.1327857768113874</v>
          </cell>
          <cell r="M705">
            <v>0.15611583227941708</v>
          </cell>
          <cell r="N705">
            <v>0.15217971594843122</v>
          </cell>
          <cell r="O705">
            <v>0.15316909589410158</v>
          </cell>
        </row>
        <row r="706">
          <cell r="A706" t="str">
            <v>D-T-ELC-TW_Bat_S1</v>
          </cell>
          <cell r="B706" t="str">
            <v>VAR_fin</v>
          </cell>
          <cell r="C706" t="str">
            <v>TELC</v>
          </cell>
          <cell r="D706">
            <v>1.5591067436491015E-3</v>
          </cell>
          <cell r="E706">
            <v>2.1286282468932303E-3</v>
          </cell>
          <cell r="F706">
            <v>2.1475878348311689E-3</v>
          </cell>
          <cell r="G706">
            <v>3.1584714802597598E-3</v>
          </cell>
          <cell r="H706">
            <v>3.5943703315261116E-3</v>
          </cell>
          <cell r="I706">
            <v>3.2533267192697188E-3</v>
          </cell>
          <cell r="J706">
            <v>5.8265938765756616E-3</v>
          </cell>
          <cell r="K706">
            <v>9.6571965799252327E-2</v>
          </cell>
          <cell r="L706">
            <v>0.1327857768113874</v>
          </cell>
          <cell r="M706">
            <v>0.15611583227941708</v>
          </cell>
          <cell r="N706">
            <v>0.15217971594843122</v>
          </cell>
          <cell r="O706">
            <v>0.15316909589410158</v>
          </cell>
        </row>
        <row r="707">
          <cell r="A707" t="str">
            <v>D-T-ELC-TW_Bat_S1</v>
          </cell>
          <cell r="B707" t="str">
            <v>VAR_ncap</v>
          </cell>
          <cell r="C707" t="str">
            <v>-</v>
          </cell>
          <cell r="D707">
            <v>1.8333986394691599E-4</v>
          </cell>
          <cell r="E707">
            <v>5.1063781968282798E-5</v>
          </cell>
          <cell r="F707">
            <v>2.5645190683434298E-6</v>
          </cell>
          <cell r="G707">
            <v>1.5298751337716301E-4</v>
          </cell>
          <cell r="H707">
            <v>2.26199525970965E-4</v>
          </cell>
          <cell r="I707">
            <v>8.6287297278574406E-5</v>
          </cell>
          <cell r="J707">
            <v>4.1285224992242901E-4</v>
          </cell>
          <cell r="K707">
            <v>9.7669756245977405E-3</v>
          </cell>
          <cell r="L707">
            <v>4.0833493547895302E-3</v>
          </cell>
          <cell r="M707">
            <v>7.4154322196314203E-3</v>
          </cell>
          <cell r="N707">
            <v>7.9477346134326898E-3</v>
          </cell>
          <cell r="O707">
            <v>3.2408139580976702E-3</v>
          </cell>
        </row>
        <row r="708">
          <cell r="A708" t="str">
            <v>D-T-ELC-TW_Bat_S1</v>
          </cell>
          <cell r="B708" t="str">
            <v>VAR_cap</v>
          </cell>
          <cell r="C708" t="str">
            <v>-</v>
          </cell>
          <cell r="D708">
            <v>1.8333986394691599E-4</v>
          </cell>
          <cell r="E708">
            <v>2.3440364591519901E-4</v>
          </cell>
          <cell r="F708">
            <v>2.3696816498354199E-4</v>
          </cell>
          <cell r="G708">
            <v>3.3399928042288302E-4</v>
          </cell>
          <cell r="H708">
            <v>3.8050095478980303E-4</v>
          </cell>
          <cell r="I708">
            <v>3.44613732590482E-4</v>
          </cell>
          <cell r="J708">
            <v>6.1642648871927999E-4</v>
          </cell>
          <cell r="K708">
            <v>1.0209303376895899E-2</v>
          </cell>
          <cell r="L708">
            <v>1.40360303218914E-2</v>
          </cell>
          <cell r="M708">
            <v>1.65028309691179E-2</v>
          </cell>
          <cell r="N708">
            <v>1.60864175241313E-2</v>
          </cell>
          <cell r="O708">
            <v>1.61929481814637E-2</v>
          </cell>
        </row>
        <row r="709">
          <cell r="A709" t="str">
            <v>T_C-FC-H2O-S3</v>
          </cell>
          <cell r="B709" t="str">
            <v>VAR_fout</v>
          </cell>
          <cell r="C709" t="str">
            <v>TPCAR</v>
          </cell>
          <cell r="D709">
            <v>6.3445540536068851E-4</v>
          </cell>
          <cell r="E709">
            <v>1.5505221338286792E-3</v>
          </cell>
          <cell r="F709">
            <v>1.4651165306063911E-3</v>
          </cell>
          <cell r="G709">
            <v>1.9197266184089642E-6</v>
          </cell>
          <cell r="H709">
            <v>1.3931737652638544E-6</v>
          </cell>
          <cell r="I709">
            <v>9.3750436174043995E-7</v>
          </cell>
          <cell r="J709">
            <v>1.2278285408449383E-6</v>
          </cell>
          <cell r="K709">
            <v>1.3960568347628654E-6</v>
          </cell>
          <cell r="L709">
            <v>1.4522006286564734E-6</v>
          </cell>
          <cell r="M709">
            <v>1.7511434624508904E-6</v>
          </cell>
          <cell r="N709">
            <v>2.393724126157032E-6</v>
          </cell>
          <cell r="O709">
            <v>5.0911776942584537E-6</v>
          </cell>
        </row>
        <row r="710">
          <cell r="A710" t="str">
            <v>T_C-FC-H2O-S3</v>
          </cell>
          <cell r="B710" t="str">
            <v>VAR_fin</v>
          </cell>
          <cell r="C710" t="str">
            <v>TH2O</v>
          </cell>
          <cell r="D710">
            <v>7.6439943119874546E-4</v>
          </cell>
          <cell r="E710">
            <v>1.8680875395582926E-3</v>
          </cell>
          <cell r="F710">
            <v>1.7651898512847E-3</v>
          </cell>
          <cell r="G710">
            <v>2.3129095012354175E-6</v>
          </cell>
          <cell r="H710">
            <v>1.62676439285695E-6</v>
          </cell>
          <cell r="I710">
            <v>1.0105341823542114E-6</v>
          </cell>
          <cell r="J710">
            <v>1.2576219604933311E-6</v>
          </cell>
          <cell r="K710">
            <v>1.360034633113602E-6</v>
          </cell>
          <cell r="L710">
            <v>1.3287222980804112E-6</v>
          </cell>
          <cell r="M710">
            <v>1.4963460532025358E-6</v>
          </cell>
          <cell r="N710">
            <v>1.9942457330492987E-6</v>
          </cell>
          <cell r="O710">
            <v>4.1890156137510512E-6</v>
          </cell>
        </row>
        <row r="711">
          <cell r="A711" t="str">
            <v>T_C-FC-H2O-S3</v>
          </cell>
          <cell r="B711" t="str">
            <v>VAR_ncap</v>
          </cell>
          <cell r="C711" t="str">
            <v>-</v>
          </cell>
          <cell r="E711">
            <v>1.21170479714721E-6</v>
          </cell>
          <cell r="F711">
            <v>5.3707648563148799E-7</v>
          </cell>
          <cell r="G711">
            <v>7.4154943505076399E-8</v>
          </cell>
          <cell r="H711">
            <v>8.7825443819845399E-8</v>
          </cell>
          <cell r="I711">
            <v>1.20249013829961E-7</v>
          </cell>
          <cell r="J711">
            <v>1.16490587431938E-7</v>
          </cell>
          <cell r="K711">
            <v>1.06906219696045E-7</v>
          </cell>
          <cell r="L711">
            <v>1.04818740312346E-7</v>
          </cell>
          <cell r="M711">
            <v>1.2068828374315899E-7</v>
          </cell>
          <cell r="N711">
            <v>1.2617017067287901E-7</v>
          </cell>
          <cell r="O711">
            <v>2.5886039855942798E-7</v>
          </cell>
        </row>
        <row r="712">
          <cell r="A712" t="str">
            <v>T_C-FC-H2O-S3</v>
          </cell>
          <cell r="B712" t="str">
            <v>VAR_cap</v>
          </cell>
          <cell r="C712" t="str">
            <v>-</v>
          </cell>
          <cell r="D712">
            <v>5.3635636176964106E-5</v>
          </cell>
          <cell r="E712">
            <v>1.0925320429332475E-4</v>
          </cell>
          <cell r="F712">
            <v>1.045273856338449E-4</v>
          </cell>
          <cell r="G712">
            <v>4.0928080511432507E-7</v>
          </cell>
          <cell r="H712">
            <v>3.1047417500670919E-7</v>
          </cell>
          <cell r="I712">
            <v>2.4388193952254508E-7</v>
          </cell>
          <cell r="J712">
            <v>2.4676099781617081E-7</v>
          </cell>
          <cell r="K712">
            <v>2.5921238241291651E-7</v>
          </cell>
          <cell r="L712">
            <v>2.5211076662561607E-7</v>
          </cell>
          <cell r="M712">
            <v>2.63932379458852E-7</v>
          </cell>
          <cell r="N712">
            <v>2.9507445192551082E-7</v>
          </cell>
          <cell r="O712">
            <v>5.0571885297546598E-7</v>
          </cell>
        </row>
        <row r="713">
          <cell r="A713" t="str">
            <v>T_B_c-ICEDSL-S3</v>
          </cell>
          <cell r="B713" t="str">
            <v>VAR_fout</v>
          </cell>
          <cell r="C713" t="str">
            <v>CO2_T</v>
          </cell>
          <cell r="D713">
            <v>11.73180059674004</v>
          </cell>
          <cell r="E713">
            <v>9.4142312577984733</v>
          </cell>
          <cell r="F713">
            <v>11.613127063983853</v>
          </cell>
        </row>
        <row r="714">
          <cell r="A714" t="str">
            <v>T_B_c-ICEDSL-S3</v>
          </cell>
          <cell r="B714" t="str">
            <v>VAR_fout</v>
          </cell>
          <cell r="C714" t="str">
            <v>TPBSc</v>
          </cell>
          <cell r="D714">
            <v>9.2749291543437144E-3</v>
          </cell>
          <cell r="E714">
            <v>7.4716735201643377E-3</v>
          </cell>
          <cell r="F714">
            <v>9.2120750968354009E-3</v>
          </cell>
        </row>
        <row r="715">
          <cell r="A715" t="str">
            <v>T_B_c-ICEDSL-S3</v>
          </cell>
          <cell r="B715" t="str">
            <v>VAR_fin</v>
          </cell>
          <cell r="C715" t="str">
            <v>TDSL</v>
          </cell>
          <cell r="D715">
            <v>0.16005184988731291</v>
          </cell>
          <cell r="E715">
            <v>0.12843425999725075</v>
          </cell>
          <cell r="F715">
            <v>0.15843283852638262</v>
          </cell>
        </row>
        <row r="716">
          <cell r="A716" t="str">
            <v>T_B_c-ICEDSL-S3</v>
          </cell>
          <cell r="B716" t="str">
            <v>VAR_ncap</v>
          </cell>
          <cell r="C716" t="str">
            <v>-</v>
          </cell>
          <cell r="E716">
            <v>2.7567573504694403E-7</v>
          </cell>
          <cell r="F716">
            <v>3.16946409659681E-7</v>
          </cell>
        </row>
        <row r="717">
          <cell r="A717" t="str">
            <v>T_B_c-ICEDSL-S3</v>
          </cell>
          <cell r="B717" t="str">
            <v>VAR_cap</v>
          </cell>
          <cell r="C717" t="str">
            <v>-</v>
          </cell>
          <cell r="D717">
            <v>2.0239742396444021E-4</v>
          </cell>
          <cell r="E717">
            <v>2.0005638314053573E-4</v>
          </cell>
          <cell r="F717">
            <v>2.0037409313753291E-4</v>
          </cell>
          <cell r="G717">
            <v>3.9282310646774222E-9</v>
          </cell>
        </row>
        <row r="718">
          <cell r="A718" t="str">
            <v>T_TW-FCLH2O-S2</v>
          </cell>
          <cell r="B718" t="str">
            <v>VAR_fout</v>
          </cell>
          <cell r="C718" t="str">
            <v>TPTWL</v>
          </cell>
          <cell r="G718">
            <v>6.6660403007419647E-5</v>
          </cell>
          <cell r="H718">
            <v>1.7143780388489201E-4</v>
          </cell>
          <cell r="I718">
            <v>2.8098707902798941E-4</v>
          </cell>
          <cell r="J718">
            <v>3.9912694615454851E-4</v>
          </cell>
          <cell r="K718">
            <v>5.4514535604863689E-4</v>
          </cell>
          <cell r="L718">
            <v>6.2702216706521472E-4</v>
          </cell>
          <cell r="M718">
            <v>8.3817044921718207E-4</v>
          </cell>
          <cell r="N718">
            <v>8.1246113431935663E-4</v>
          </cell>
          <cell r="O718">
            <v>1.2003739944039134E-3</v>
          </cell>
        </row>
        <row r="719">
          <cell r="A719" t="str">
            <v>T_TW-FCLH2O-S2</v>
          </cell>
          <cell r="B719" t="str">
            <v>VAR_fin</v>
          </cell>
          <cell r="C719" t="str">
            <v>TH2O</v>
          </cell>
          <cell r="G719">
            <v>2.4680931369914481E-5</v>
          </cell>
          <cell r="H719">
            <v>6.2898581243910092E-5</v>
          </cell>
          <cell r="I719">
            <v>1.020087202446695E-4</v>
          </cell>
          <cell r="J719">
            <v>1.4304128550205337E-4</v>
          </cell>
          <cell r="K719">
            <v>1.9262268022228552E-4</v>
          </cell>
          <cell r="L719">
            <v>2.196437285035788E-4</v>
          </cell>
          <cell r="M719">
            <v>2.9276847741764014E-4</v>
          </cell>
          <cell r="N719">
            <v>2.8378835054115924E-4</v>
          </cell>
          <cell r="O719">
            <v>4.1928424821178936E-4</v>
          </cell>
        </row>
        <row r="720">
          <cell r="A720" t="str">
            <v>T_TW-FCLH2O-S2</v>
          </cell>
          <cell r="B720" t="str">
            <v>VAR_ncap</v>
          </cell>
          <cell r="C720" t="str">
            <v>-</v>
          </cell>
          <cell r="G720">
            <v>2.5679050925516201E-5</v>
          </cell>
          <cell r="H720">
            <v>4.1017450598483599E-5</v>
          </cell>
          <cell r="I720">
            <v>5.1745458212466098E-5</v>
          </cell>
          <cell r="J720">
            <v>6.7532318089199203E-5</v>
          </cell>
          <cell r="K720">
            <v>9.4795925129037494E-5</v>
          </cell>
          <cell r="L720">
            <v>1.0410545892280399E-4</v>
          </cell>
          <cell r="M720">
            <v>1.32624845798809E-4</v>
          </cell>
          <cell r="N720">
            <v>1.3579991016817E-4</v>
          </cell>
          <cell r="O720">
            <v>2.0890336957946699E-4</v>
          </cell>
        </row>
        <row r="721">
          <cell r="A721" t="str">
            <v>T_TW-FCLH2O-S2</v>
          </cell>
          <cell r="B721" t="str">
            <v>VAR_cap</v>
          </cell>
          <cell r="C721" t="str">
            <v>-</v>
          </cell>
          <cell r="G721">
            <v>2.5679050925516201E-5</v>
          </cell>
          <cell r="H721">
            <v>6.6669890776221484E-5</v>
          </cell>
          <cell r="I721">
            <v>1.0848925685625683E-4</v>
          </cell>
          <cell r="J721">
            <v>1.5378298237558213E-4</v>
          </cell>
          <cell r="K721">
            <v>2.1391083637512301E-4</v>
          </cell>
          <cell r="L721">
            <v>2.4817639972196176E-4</v>
          </cell>
          <cell r="M721">
            <v>3.3115946124809905E-4</v>
          </cell>
          <cell r="N721">
            <v>3.2224445642535851E-4</v>
          </cell>
          <cell r="O721">
            <v>4.7686738557496477E-4</v>
          </cell>
        </row>
        <row r="722">
          <cell r="A722" t="str">
            <v>D-T-ELC-TW_Bat_S2</v>
          </cell>
          <cell r="B722" t="str">
            <v>VAR_fout</v>
          </cell>
          <cell r="C722" t="str">
            <v>T-ELC-TWSTGin_S2</v>
          </cell>
          <cell r="D722">
            <v>3.5934529454360452E-4</v>
          </cell>
          <cell r="E722">
            <v>4.639846517567997E-4</v>
          </cell>
          <cell r="F722">
            <v>4.6967119369917872E-4</v>
          </cell>
          <cell r="G722">
            <v>2.7028785377999241E-3</v>
          </cell>
          <cell r="H722">
            <v>4.085812836591431E-3</v>
          </cell>
          <cell r="I722">
            <v>3.7922259591033664E-3</v>
          </cell>
          <cell r="J722">
            <v>3.7176385752078103E-3</v>
          </cell>
          <cell r="K722">
            <v>7.2702442856424189E-3</v>
          </cell>
          <cell r="L722">
            <v>6.4558297474304385E-3</v>
          </cell>
          <cell r="M722">
            <v>1.0585608588099347E-2</v>
          </cell>
          <cell r="N722">
            <v>8.2645150151574951E-3</v>
          </cell>
          <cell r="O722">
            <v>1.75461854226278E-2</v>
          </cell>
        </row>
        <row r="723">
          <cell r="A723" t="str">
            <v>D-T-ELC-TW_Bat_S2</v>
          </cell>
          <cell r="B723" t="str">
            <v>VAR_fin</v>
          </cell>
          <cell r="C723" t="str">
            <v>TELC</v>
          </cell>
          <cell r="D723">
            <v>3.5934529454360452E-4</v>
          </cell>
          <cell r="E723">
            <v>4.639846517567997E-4</v>
          </cell>
          <cell r="F723">
            <v>4.6967119369917872E-4</v>
          </cell>
          <cell r="G723">
            <v>2.7028785377999241E-3</v>
          </cell>
          <cell r="H723">
            <v>4.085812836591431E-3</v>
          </cell>
          <cell r="I723">
            <v>3.7922259591033664E-3</v>
          </cell>
          <cell r="J723">
            <v>3.7176385752078103E-3</v>
          </cell>
          <cell r="K723">
            <v>7.2702442856424189E-3</v>
          </cell>
          <cell r="L723">
            <v>6.4558297474304385E-3</v>
          </cell>
          <cell r="M723">
            <v>1.0585608588099347E-2</v>
          </cell>
          <cell r="N723">
            <v>8.2645150151574951E-3</v>
          </cell>
          <cell r="O723">
            <v>1.75461854226278E-2</v>
          </cell>
        </row>
        <row r="724">
          <cell r="A724" t="str">
            <v>D-T-ELC-TW_Bat_S2</v>
          </cell>
          <cell r="B724" t="str">
            <v>VAR_ncap</v>
          </cell>
          <cell r="C724" t="str">
            <v>-</v>
          </cell>
          <cell r="D724">
            <v>8.3569383714694607E-5</v>
          </cell>
          <cell r="E724">
            <v>5.0387936760779597E-7</v>
          </cell>
          <cell r="F724">
            <v>2.8811912448692701E-6</v>
          </cell>
          <cell r="G724">
            <v>1.9891905183933199E-4</v>
          </cell>
          <cell r="H724">
            <v>2.3047949428325201E-4</v>
          </cell>
          <cell r="I724">
            <v>4.8964071310573E-5</v>
          </cell>
          <cell r="J724">
            <v>1.5020930526243401E-4</v>
          </cell>
          <cell r="K724">
            <v>5.7094840956700102E-4</v>
          </cell>
          <cell r="L724">
            <v>2.5384532765000301E-6</v>
          </cell>
          <cell r="M724">
            <v>5.4725387969900097E-4</v>
          </cell>
          <cell r="N724">
            <v>3.2630208174579502E-4</v>
          </cell>
          <cell r="O724">
            <v>9.846760545741439E-4</v>
          </cell>
        </row>
        <row r="725">
          <cell r="A725" t="str">
            <v>D-T-ELC-TW_Bat_S2</v>
          </cell>
          <cell r="B725" t="str">
            <v>VAR_cap</v>
          </cell>
          <cell r="C725" t="str">
            <v>-</v>
          </cell>
          <cell r="D725">
            <v>8.3569383714694607E-5</v>
          </cell>
          <cell r="E725">
            <v>8.4073263082302396E-5</v>
          </cell>
          <cell r="F725">
            <v>8.6954454327171704E-5</v>
          </cell>
          <cell r="G725">
            <v>2.8587350616650402E-4</v>
          </cell>
          <cell r="H725">
            <v>4.3241041067910302E-4</v>
          </cell>
          <cell r="I725">
            <v>4.0172907415871501E-4</v>
          </cell>
          <cell r="J725">
            <v>3.9357131299644701E-4</v>
          </cell>
          <cell r="K725">
            <v>7.7012178614000695E-4</v>
          </cell>
          <cell r="L725">
            <v>6.8339452421424301E-4</v>
          </cell>
          <cell r="M725">
            <v>1.1207407425425E-3</v>
          </cell>
          <cell r="N725">
            <v>8.7487217738163202E-4</v>
          </cell>
          <cell r="O725">
            <v>1.8582320160189401E-3</v>
          </cell>
        </row>
        <row r="726">
          <cell r="A726" t="str">
            <v>T_C-FC-H2O-S4</v>
          </cell>
          <cell r="B726" t="str">
            <v>VAR_fout</v>
          </cell>
          <cell r="C726" t="str">
            <v>TPCAR</v>
          </cell>
          <cell r="E726">
            <v>1.7484043350865538E-5</v>
          </cell>
          <cell r="F726">
            <v>2.3238171260273331E-5</v>
          </cell>
          <cell r="G726">
            <v>1.162637328326855E-6</v>
          </cell>
          <cell r="H726">
            <v>1.1924410461184231E-6</v>
          </cell>
          <cell r="I726">
            <v>1.0897119313104254E-6</v>
          </cell>
          <cell r="J726">
            <v>1.1620727360101903E-6</v>
          </cell>
          <cell r="K726">
            <v>1.0619035802708924E-6</v>
          </cell>
          <cell r="L726">
            <v>9.1654050341191763E-7</v>
          </cell>
          <cell r="M726">
            <v>1.1634216169629998E-6</v>
          </cell>
          <cell r="N726">
            <v>7.3089835748561122E-7</v>
          </cell>
          <cell r="O726">
            <v>3.6974284028805651E-6</v>
          </cell>
        </row>
        <row r="727">
          <cell r="A727" t="str">
            <v>T_C-FC-H2O-S4</v>
          </cell>
          <cell r="B727" t="str">
            <v>VAR_fin</v>
          </cell>
          <cell r="C727" t="str">
            <v>TH2O</v>
          </cell>
          <cell r="E727">
            <v>2.0895111331288422E-5</v>
          </cell>
          <cell r="F727">
            <v>2.7771846927782878E-5</v>
          </cell>
          <cell r="G727">
            <v>1.3894632909440096E-6</v>
          </cell>
          <cell r="H727">
            <v>1.378163112913938E-6</v>
          </cell>
          <cell r="I727">
            <v>1.1764389000617046E-6</v>
          </cell>
          <cell r="J727">
            <v>1.1895221629806288E-6</v>
          </cell>
          <cell r="K727">
            <v>1.0362787330452794E-6</v>
          </cell>
          <cell r="L727">
            <v>8.4518446108151002E-7</v>
          </cell>
          <cell r="M727">
            <v>1.0013791952226855E-6</v>
          </cell>
          <cell r="N727">
            <v>6.1512284532747534E-7</v>
          </cell>
          <cell r="O727">
            <v>3.094764741573921E-6</v>
          </cell>
        </row>
        <row r="728">
          <cell r="A728" t="str">
            <v>T_C-FC-H2O-S4</v>
          </cell>
          <cell r="B728" t="str">
            <v>VAR_ncap</v>
          </cell>
          <cell r="C728" t="str">
            <v>-</v>
          </cell>
          <cell r="E728">
            <v>1.5645187872511E-6</v>
          </cell>
          <cell r="F728">
            <v>6.7318688300398903E-7</v>
          </cell>
          <cell r="G728">
            <v>8.3496655306240198E-8</v>
          </cell>
          <cell r="H728">
            <v>1.00863561756981E-7</v>
          </cell>
          <cell r="I728">
            <v>1.4360344127997499E-7</v>
          </cell>
          <cell r="J728">
            <v>1.32464691840401E-7</v>
          </cell>
          <cell r="K728">
            <v>1.15670611965369E-7</v>
          </cell>
          <cell r="L728">
            <v>9.6378861230907102E-8</v>
          </cell>
          <cell r="M728">
            <v>1.12386902030274E-7</v>
          </cell>
          <cell r="N728">
            <v>9.4366088186748994E-8</v>
          </cell>
          <cell r="O728">
            <v>2.4911436386196702E-7</v>
          </cell>
        </row>
        <row r="729">
          <cell r="A729" t="str">
            <v>T_C-FC-H2O-S4</v>
          </cell>
          <cell r="B729" t="str">
            <v>VAR_cap</v>
          </cell>
          <cell r="C729" t="str">
            <v>-</v>
          </cell>
          <cell r="E729">
            <v>1.54369011252241E-6</v>
          </cell>
          <cell r="F729">
            <v>2.11955596886584E-6</v>
          </cell>
          <cell r="G729">
            <v>2.2838995910524014E-7</v>
          </cell>
          <cell r="H729">
            <v>2.8452852873290799E-7</v>
          </cell>
          <cell r="I729">
            <v>2.82587589070624E-7</v>
          </cell>
          <cell r="J729">
            <v>2.8559613861965281E-7</v>
          </cell>
          <cell r="K729">
            <v>2.6727019865063773E-7</v>
          </cell>
          <cell r="L729">
            <v>2.6264902117003708E-7</v>
          </cell>
          <cell r="M729">
            <v>2.4228801532942009E-7</v>
          </cell>
          <cell r="N729">
            <v>2.3617380192348903E-7</v>
          </cell>
          <cell r="O729">
            <v>4.5586735407899001E-7</v>
          </cell>
        </row>
        <row r="730">
          <cell r="A730" t="str">
            <v>T_B_c-ICEDSL-S4</v>
          </cell>
          <cell r="B730" t="str">
            <v>VAR_fout</v>
          </cell>
          <cell r="C730" t="str">
            <v>CO2_T</v>
          </cell>
          <cell r="D730">
            <v>0.97533244892250015</v>
          </cell>
          <cell r="E730">
            <v>2.6609775520017198E-2</v>
          </cell>
          <cell r="F730">
            <v>2.851423186184485E-2</v>
          </cell>
        </row>
        <row r="731">
          <cell r="A731" t="str">
            <v>T_B_c-ICEDSL-S4</v>
          </cell>
          <cell r="B731" t="str">
            <v>VAR_fout</v>
          </cell>
          <cell r="C731" t="str">
            <v>TPBSc</v>
          </cell>
          <cell r="D731">
            <v>5.1423147795831711E-4</v>
          </cell>
          <cell r="E731">
            <v>1.4133533543403294E-5</v>
          </cell>
          <cell r="F731">
            <v>1.526050146892857E-5</v>
          </cell>
        </row>
        <row r="732">
          <cell r="A732" t="str">
            <v>T_B_c-ICEDSL-S4</v>
          </cell>
          <cell r="B732" t="str">
            <v>VAR_fin</v>
          </cell>
          <cell r="C732" t="str">
            <v>TDSL</v>
          </cell>
          <cell r="D732">
            <v>1.3306036138096862E-2</v>
          </cell>
          <cell r="E732">
            <v>3.6302558690337253E-4</v>
          </cell>
          <cell r="F732">
            <v>3.8900725595968457E-4</v>
          </cell>
        </row>
        <row r="733">
          <cell r="A733" t="str">
            <v>T_B_c-ICEDSL-S4</v>
          </cell>
          <cell r="B733" t="str">
            <v>VAR_ncap</v>
          </cell>
          <cell r="C733" t="str">
            <v>-</v>
          </cell>
          <cell r="E733">
            <v>5.9401690807598202E-8</v>
          </cell>
          <cell r="F733">
            <v>5.4750226536343502E-8</v>
          </cell>
        </row>
        <row r="734">
          <cell r="A734" t="str">
            <v>T_B_c-ICEDSL-S4</v>
          </cell>
          <cell r="B734" t="str">
            <v>VAR_cap</v>
          </cell>
          <cell r="C734" t="str">
            <v>-</v>
          </cell>
          <cell r="D734">
            <v>1.1906099829858404E-5</v>
          </cell>
          <cell r="E734">
            <v>4.5614747290310145E-7</v>
          </cell>
          <cell r="F734">
            <v>4.8073256482464701E-7</v>
          </cell>
          <cell r="G734">
            <v>5.0015953375480498E-9</v>
          </cell>
        </row>
        <row r="735">
          <cell r="A735" t="str">
            <v>D-T-ELC-HGV</v>
          </cell>
          <cell r="B735" t="str">
            <v>VAR_fout</v>
          </cell>
          <cell r="C735" t="str">
            <v>T-ELC-HGV_BatSTGin</v>
          </cell>
          <cell r="D735">
            <v>6.1526047896254092E-3</v>
          </cell>
          <cell r="E735">
            <v>1.3649523868852875E-2</v>
          </cell>
          <cell r="F735">
            <v>1.394922650968203E-2</v>
          </cell>
          <cell r="G735">
            <v>5.1699367120786755E-3</v>
          </cell>
          <cell r="H735">
            <v>1.4604489960487019</v>
          </cell>
          <cell r="I735">
            <v>2.4531040094880145</v>
          </cell>
          <cell r="J735">
            <v>5.593185193134115</v>
          </cell>
          <cell r="K735">
            <v>7.248609000398627</v>
          </cell>
          <cell r="L735">
            <v>8.3305631894488581</v>
          </cell>
          <cell r="M735">
            <v>8.6652736511681212</v>
          </cell>
          <cell r="N735">
            <v>8.9565377241818673</v>
          </cell>
          <cell r="O735">
            <v>9.3661482796664188</v>
          </cell>
        </row>
        <row r="736">
          <cell r="A736" t="str">
            <v>D-T-ELC-HGV</v>
          </cell>
          <cell r="B736" t="str">
            <v>VAR_fin</v>
          </cell>
          <cell r="C736" t="str">
            <v>TELC</v>
          </cell>
          <cell r="D736">
            <v>6.1526047896254092E-3</v>
          </cell>
          <cell r="E736">
            <v>1.3649523868852875E-2</v>
          </cell>
          <cell r="F736">
            <v>1.394922650968203E-2</v>
          </cell>
          <cell r="G736">
            <v>5.1699367120786755E-3</v>
          </cell>
          <cell r="H736">
            <v>1.4604489960487019</v>
          </cell>
          <cell r="I736">
            <v>2.4531040094880145</v>
          </cell>
          <cell r="J736">
            <v>5.593185193134115</v>
          </cell>
          <cell r="K736">
            <v>7.248609000398627</v>
          </cell>
          <cell r="L736">
            <v>8.3305631894488581</v>
          </cell>
          <cell r="M736">
            <v>8.6652736511681212</v>
          </cell>
          <cell r="N736">
            <v>8.9565377241818673</v>
          </cell>
          <cell r="O736">
            <v>9.3661482796664188</v>
          </cell>
        </row>
        <row r="737">
          <cell r="A737" t="str">
            <v>D-T-ELC-HGV</v>
          </cell>
          <cell r="B737" t="str">
            <v>VAR_ncap</v>
          </cell>
          <cell r="C737" t="str">
            <v>-</v>
          </cell>
          <cell r="D737">
            <v>8.32866167114733E-4</v>
          </cell>
          <cell r="E737">
            <v>9.2778133247131505E-4</v>
          </cell>
          <cell r="F737">
            <v>9.0265895469026597E-5</v>
          </cell>
          <cell r="G737">
            <v>1.8671658791095399E-4</v>
          </cell>
          <cell r="H737">
            <v>0.18167460961554399</v>
          </cell>
          <cell r="I737">
            <v>0.15960634342773999</v>
          </cell>
          <cell r="J737">
            <v>0.62076619252339404</v>
          </cell>
          <cell r="K737">
            <v>0.48950182684195698</v>
          </cell>
          <cell r="L737">
            <v>0.69098949586964598</v>
          </cell>
          <cell r="M737">
            <v>0.906548756257057</v>
          </cell>
          <cell r="N737">
            <v>0.50523883256637703</v>
          </cell>
          <cell r="O737">
            <v>0.82750736808119296</v>
          </cell>
        </row>
        <row r="738">
          <cell r="A738" t="str">
            <v>D-T-ELC-HGV</v>
          </cell>
          <cell r="B738" t="str">
            <v>VAR_cap</v>
          </cell>
          <cell r="C738" t="str">
            <v>-</v>
          </cell>
          <cell r="D738">
            <v>8.32866167114733E-4</v>
          </cell>
          <cell r="E738">
            <v>1.76064749958605E-3</v>
          </cell>
          <cell r="F738">
            <v>1.8509133950550701E-3</v>
          </cell>
          <cell r="G738">
            <v>6.6237489459980501E-4</v>
          </cell>
          <cell r="H738">
            <v>0.181723031671399</v>
          </cell>
          <cell r="I738">
            <v>0.30671792913363499</v>
          </cell>
          <cell r="J738">
            <v>0.70352383663073903</v>
          </cell>
          <cell r="K738">
            <v>0.90843385935378196</v>
          </cell>
          <cell r="L738">
            <v>1.04915639459081</v>
          </cell>
          <cell r="M738">
            <v>1.0857461823583601</v>
          </cell>
          <cell r="N738">
            <v>1.12439922212541</v>
          </cell>
          <cell r="O738">
            <v>1.1684742789410401</v>
          </cell>
        </row>
        <row r="739">
          <cell r="A739" t="str">
            <v>T_TW-FCLH2O-S3</v>
          </cell>
          <cell r="B739" t="str">
            <v>VAR_fout</v>
          </cell>
          <cell r="C739" t="str">
            <v>TPTWL</v>
          </cell>
          <cell r="G739">
            <v>4.0621331543115637E-5</v>
          </cell>
          <cell r="H739">
            <v>1.1445508926598103E-4</v>
          </cell>
          <cell r="I739">
            <v>1.9019019267185516E-4</v>
          </cell>
          <cell r="J739">
            <v>2.6665003149519356E-4</v>
          </cell>
          <cell r="K739">
            <v>3.6343474493710976E-4</v>
          </cell>
          <cell r="L739">
            <v>4.3657596120270551E-4</v>
          </cell>
          <cell r="M739">
            <v>5.2827260728266316E-4</v>
          </cell>
          <cell r="N739">
            <v>6.1414319415526342E-4</v>
          </cell>
          <cell r="O739">
            <v>7.6695890824580299E-4</v>
          </cell>
        </row>
        <row r="740">
          <cell r="A740" t="str">
            <v>T_TW-FCLH2O-S3</v>
          </cell>
          <cell r="B740" t="str">
            <v>VAR_fin</v>
          </cell>
          <cell r="C740" t="str">
            <v>TH2O</v>
          </cell>
          <cell r="G740">
            <v>2.3071800380153931E-5</v>
          </cell>
          <cell r="H740">
            <v>6.4334546487292238E-5</v>
          </cell>
          <cell r="I740">
            <v>1.0602792544455501E-4</v>
          </cell>
          <cell r="J740">
            <v>1.4704889656263321E-4</v>
          </cell>
          <cell r="K740">
            <v>1.9767655949834962E-4</v>
          </cell>
          <cell r="L740">
            <v>2.3517133283022039E-4</v>
          </cell>
          <cell r="M740">
            <v>2.8245883019585008E-4</v>
          </cell>
          <cell r="N740">
            <v>3.2750369910972799E-4</v>
          </cell>
          <cell r="O740">
            <v>4.0899562497171777E-4</v>
          </cell>
        </row>
        <row r="741">
          <cell r="A741" t="str">
            <v>T_TW-FCLH2O-S3</v>
          </cell>
          <cell r="B741" t="str">
            <v>VAR_ncap</v>
          </cell>
          <cell r="C741" t="str">
            <v>-</v>
          </cell>
          <cell r="G741">
            <v>1.5666350413766501E-5</v>
          </cell>
          <cell r="H741">
            <v>2.88592113925156E-5</v>
          </cell>
          <cell r="I741">
            <v>2.8007587162028601E-5</v>
          </cell>
          <cell r="J741">
            <v>3.54942554486936E-5</v>
          </cell>
          <cell r="K741">
            <v>4.9524764356695703E-5</v>
          </cell>
          <cell r="L741">
            <v>5.4139520827446198E-5</v>
          </cell>
          <cell r="M741">
            <v>6.9044809330333503E-5</v>
          </cell>
          <cell r="N741">
            <v>7.0452031015357406E-5</v>
          </cell>
          <cell r="O741">
            <v>1.0983860660188601E-4</v>
          </cell>
        </row>
        <row r="742">
          <cell r="A742" t="str">
            <v>T_TW-FCLH2O-S3</v>
          </cell>
          <cell r="B742" t="str">
            <v>VAR_cap</v>
          </cell>
          <cell r="C742" t="str">
            <v>-</v>
          </cell>
          <cell r="G742">
            <v>1.5666350413766501E-5</v>
          </cell>
          <cell r="H742">
            <v>4.4505378116489089E-5</v>
          </cell>
          <cell r="I742">
            <v>7.2461760145929447E-5</v>
          </cell>
          <cell r="J742">
            <v>1.0297945097622388E-4</v>
          </cell>
          <cell r="K742">
            <v>1.41729162440786E-4</v>
          </cell>
          <cell r="L742">
            <v>1.720487881577139E-4</v>
          </cell>
          <cell r="M742">
            <v>2.0796418658016591E-4</v>
          </cell>
          <cell r="N742">
            <v>2.4295096768953042E-4</v>
          </cell>
          <cell r="O742">
            <v>3.0315186222901506E-4</v>
          </cell>
        </row>
        <row r="743">
          <cell r="A743" t="str">
            <v>D-T-ELC-TW_Bat_S3</v>
          </cell>
          <cell r="B743" t="str">
            <v>VAR_fout</v>
          </cell>
          <cell r="C743" t="str">
            <v>T-ELC-TWSTGin_S3</v>
          </cell>
          <cell r="D743">
            <v>7.8067821799897253E-5</v>
          </cell>
          <cell r="E743">
            <v>1.4738406123587393E-4</v>
          </cell>
          <cell r="F743">
            <v>1.7380093158204766E-4</v>
          </cell>
          <cell r="G743">
            <v>2.9884455635443875E-3</v>
          </cell>
          <cell r="H743">
            <v>6.730015100042246E-3</v>
          </cell>
          <cell r="I743">
            <v>6.388843027326307E-3</v>
          </cell>
          <cell r="J743">
            <v>5.6170254703837262E-3</v>
          </cell>
          <cell r="K743">
            <v>1.1705700625662131E-2</v>
          </cell>
          <cell r="L743">
            <v>9.2236118923600102E-3</v>
          </cell>
          <cell r="M743">
            <v>1.3355911683662517E-2</v>
          </cell>
          <cell r="N743">
            <v>1.3144282423865851E-2</v>
          </cell>
          <cell r="O743">
            <v>2.4692549094409627E-2</v>
          </cell>
        </row>
        <row r="744">
          <cell r="A744" t="str">
            <v>D-T-ELC-TW_Bat_S3</v>
          </cell>
          <cell r="B744" t="str">
            <v>VAR_fin</v>
          </cell>
          <cell r="C744" t="str">
            <v>TELC</v>
          </cell>
          <cell r="D744">
            <v>7.8067821799897253E-5</v>
          </cell>
          <cell r="E744">
            <v>1.4738406123587393E-4</v>
          </cell>
          <cell r="F744">
            <v>1.7380093158204766E-4</v>
          </cell>
          <cell r="G744">
            <v>2.9884455635443875E-3</v>
          </cell>
          <cell r="H744">
            <v>6.730015100042246E-3</v>
          </cell>
          <cell r="I744">
            <v>6.388843027326307E-3</v>
          </cell>
          <cell r="J744">
            <v>5.6170254703837262E-3</v>
          </cell>
          <cell r="K744">
            <v>1.1705700625662131E-2</v>
          </cell>
          <cell r="L744">
            <v>9.2236118923600102E-3</v>
          </cell>
          <cell r="M744">
            <v>1.3355911683662517E-2</v>
          </cell>
          <cell r="N744">
            <v>1.3144282423865851E-2</v>
          </cell>
          <cell r="O744">
            <v>2.4692549094409627E-2</v>
          </cell>
        </row>
        <row r="745">
          <cell r="A745" t="str">
            <v>D-T-ELC-TW_Bat_S3</v>
          </cell>
          <cell r="B745" t="str">
            <v>VAR_ncap</v>
          </cell>
          <cell r="C745" t="str">
            <v>-</v>
          </cell>
          <cell r="D745">
            <v>8.2375293757228906E-5</v>
          </cell>
          <cell r="E745">
            <v>5.2831665472951998E-7</v>
          </cell>
          <cell r="F745">
            <v>1.41028711567311E-6</v>
          </cell>
          <cell r="G745">
            <v>2.3178966651881799E-4</v>
          </cell>
          <cell r="H745">
            <v>3.9589607490084699E-4</v>
          </cell>
          <cell r="I745">
            <v>1.22984653593345E-5</v>
          </cell>
          <cell r="J745">
            <v>2.7590719985866701E-5</v>
          </cell>
          <cell r="K745">
            <v>8.0381894386737996E-4</v>
          </cell>
          <cell r="L745">
            <v>1.3592671835666301E-5</v>
          </cell>
          <cell r="M745">
            <v>5.6838359726216301E-4</v>
          </cell>
          <cell r="N745">
            <v>5.2615538296314799E-6</v>
          </cell>
          <cell r="O745">
            <v>2.0266822784925E-3</v>
          </cell>
        </row>
        <row r="746">
          <cell r="A746" t="str">
            <v>D-T-ELC-TW_Bat_S3</v>
          </cell>
          <cell r="B746" t="str">
            <v>VAR_cap</v>
          </cell>
          <cell r="C746" t="str">
            <v>-</v>
          </cell>
          <cell r="D746">
            <v>8.2375293757228906E-5</v>
          </cell>
          <cell r="E746">
            <v>8.2903610411958503E-5</v>
          </cell>
          <cell r="F746">
            <v>8.4313897527631606E-5</v>
          </cell>
          <cell r="G746">
            <v>3.1610356404644999E-4</v>
          </cell>
          <cell r="H746">
            <v>7.1199963894729595E-4</v>
          </cell>
          <cell r="I746">
            <v>6.7589447942077404E-4</v>
          </cell>
          <cell r="J746">
            <v>5.9434422196435598E-4</v>
          </cell>
          <cell r="K746">
            <v>1.23960420411343E-3</v>
          </cell>
          <cell r="L746">
            <v>9.7584971922189795E-4</v>
          </cell>
          <cell r="M746">
            <v>1.41338593295108E-3</v>
          </cell>
          <cell r="N746">
            <v>1.39105676679484E-3</v>
          </cell>
          <cell r="O746">
            <v>2.6139201014199601E-3</v>
          </cell>
        </row>
        <row r="747">
          <cell r="A747" t="str">
            <v>T_TW-FCLH2O-S4</v>
          </cell>
          <cell r="B747" t="str">
            <v>VAR_fout</v>
          </cell>
          <cell r="C747" t="str">
            <v>TPTWL</v>
          </cell>
          <cell r="G747">
            <v>2.5540664075515575E-5</v>
          </cell>
          <cell r="H747">
            <v>6.3275221959091751E-5</v>
          </cell>
          <cell r="I747">
            <v>1.1288148926414453E-4</v>
          </cell>
          <cell r="J747">
            <v>1.7051623051770657E-4</v>
          </cell>
          <cell r="K747">
            <v>2.5672028541891154E-4</v>
          </cell>
          <cell r="L747">
            <v>3.1423585845532609E-4</v>
          </cell>
          <cell r="M747">
            <v>3.8631862062186496E-4</v>
          </cell>
          <cell r="N747">
            <v>4.4101901971263611E-4</v>
          </cell>
          <cell r="O747">
            <v>5.6624797697998571E-4</v>
          </cell>
        </row>
        <row r="748">
          <cell r="A748" t="str">
            <v>T_TW-FCLH2O-S4</v>
          </cell>
          <cell r="B748" t="str">
            <v>VAR_fin</v>
          </cell>
          <cell r="C748" t="str">
            <v>TH2O</v>
          </cell>
          <cell r="G748">
            <v>1.6350826358349293E-5</v>
          </cell>
          <cell r="H748">
            <v>4.0068027683257342E-5</v>
          </cell>
          <cell r="I748">
            <v>7.0733630704892869E-5</v>
          </cell>
          <cell r="J748">
            <v>1.0563327577609243E-4</v>
          </cell>
          <cell r="K748">
            <v>1.56974362205337E-4</v>
          </cell>
          <cell r="L748">
            <v>1.900830553319928E-4</v>
          </cell>
          <cell r="M748">
            <v>2.3182001464032881E-4</v>
          </cell>
          <cell r="N748">
            <v>2.6334538063154403E-4</v>
          </cell>
          <cell r="O748">
            <v>3.3745699260242606E-4</v>
          </cell>
        </row>
        <row r="749">
          <cell r="A749" t="str">
            <v>T_TW-FCLH2O-S4</v>
          </cell>
          <cell r="B749" t="str">
            <v>VAR_ncap</v>
          </cell>
          <cell r="C749" t="str">
            <v>-</v>
          </cell>
          <cell r="G749">
            <v>9.8248891959545397E-6</v>
          </cell>
          <cell r="H749">
            <v>1.4635013739157499E-5</v>
          </cell>
          <cell r="I749">
            <v>1.7860619571546701E-5</v>
          </cell>
          <cell r="J749">
            <v>2.30045121857151E-5</v>
          </cell>
          <cell r="K749">
            <v>3.4224666638441399E-5</v>
          </cell>
          <cell r="L749">
            <v>3.3578046768616597E-5</v>
          </cell>
          <cell r="M749">
            <v>4.2854525527491499E-5</v>
          </cell>
          <cell r="N749">
            <v>4.3652482091994297E-5</v>
          </cell>
          <cell r="O749">
            <v>6.84709970358323E-5</v>
          </cell>
        </row>
        <row r="750">
          <cell r="A750" t="str">
            <v>T_TW-FCLH2O-S4</v>
          </cell>
          <cell r="B750" t="str">
            <v>VAR_cap</v>
          </cell>
          <cell r="C750" t="str">
            <v>-</v>
          </cell>
          <cell r="G750">
            <v>9.8248891959545397E-6</v>
          </cell>
          <cell r="H750">
            <v>2.4445242297711572E-5</v>
          </cell>
          <cell r="I750">
            <v>4.2274142793061787E-5</v>
          </cell>
          <cell r="J750">
            <v>6.5263189232217693E-5</v>
          </cell>
          <cell r="K750">
            <v>9.9450276262176673E-5</v>
          </cell>
          <cell r="L750">
            <v>1.2316073299010804E-4</v>
          </cell>
          <cell r="M750">
            <v>1.5134658979236117E-4</v>
          </cell>
          <cell r="N750">
            <v>1.7356243154944054E-4</v>
          </cell>
          <cell r="O750">
            <v>2.2258416905631458E-4</v>
          </cell>
        </row>
        <row r="751">
          <cell r="A751" t="str">
            <v>D-T-ELC-TW_Bat_S4</v>
          </cell>
          <cell r="B751" t="str">
            <v>VAR_fout</v>
          </cell>
          <cell r="C751" t="str">
            <v>T-ELC-TWSTGin_S4</v>
          </cell>
          <cell r="D751">
            <v>3.7724243746096881E-5</v>
          </cell>
          <cell r="E751">
            <v>7.6135687872611507E-5</v>
          </cell>
          <cell r="F751">
            <v>9.9741939873674486E-5</v>
          </cell>
          <cell r="G751">
            <v>3.4379608981855436E-3</v>
          </cell>
          <cell r="H751">
            <v>6.8663904375271135E-3</v>
          </cell>
          <cell r="I751">
            <v>7.282864987684567E-3</v>
          </cell>
          <cell r="J751">
            <v>7.7059767406434656E-3</v>
          </cell>
          <cell r="K751">
            <v>1.3900739678492596E-2</v>
          </cell>
          <cell r="L751">
            <v>1.1359232707714925E-2</v>
          </cell>
          <cell r="M751">
            <v>1.7312462230544536E-2</v>
          </cell>
          <cell r="N751">
            <v>1.6800817284971136E-2</v>
          </cell>
          <cell r="O751">
            <v>3.1991582072625341E-2</v>
          </cell>
        </row>
        <row r="752">
          <cell r="A752" t="str">
            <v>D-T-ELC-TW_Bat_S4</v>
          </cell>
          <cell r="B752" t="str">
            <v>VAR_fin</v>
          </cell>
          <cell r="C752" t="str">
            <v>TELC</v>
          </cell>
          <cell r="D752">
            <v>3.7724243746096881E-5</v>
          </cell>
          <cell r="E752">
            <v>7.6135687872611507E-5</v>
          </cell>
          <cell r="F752">
            <v>9.9741939873674486E-5</v>
          </cell>
          <cell r="G752">
            <v>3.4379608981855436E-3</v>
          </cell>
          <cell r="H752">
            <v>6.8663904375271135E-3</v>
          </cell>
          <cell r="I752">
            <v>7.282864987684567E-3</v>
          </cell>
          <cell r="J752">
            <v>7.7059767406434656E-3</v>
          </cell>
          <cell r="K752">
            <v>1.3900739678492596E-2</v>
          </cell>
          <cell r="L752">
            <v>1.1359232707714925E-2</v>
          </cell>
          <cell r="M752">
            <v>1.7312462230544536E-2</v>
          </cell>
          <cell r="N752">
            <v>1.6800817284971136E-2</v>
          </cell>
          <cell r="O752">
            <v>3.1991582072625341E-2</v>
          </cell>
        </row>
        <row r="753">
          <cell r="A753" t="str">
            <v>D-T-ELC-TW_Bat_S4</v>
          </cell>
          <cell r="B753" t="str">
            <v>VAR_ncap</v>
          </cell>
          <cell r="C753" t="str">
            <v>-</v>
          </cell>
          <cell r="D753">
            <v>8.2354295553597998E-5</v>
          </cell>
          <cell r="E753">
            <v>5.3620775631051796E-7</v>
          </cell>
          <cell r="F753">
            <v>1.5702929347182901E-6</v>
          </cell>
          <cell r="G753">
            <v>2.7920153954796297E-4</v>
          </cell>
          <cell r="H753">
            <v>3.62748919432001E-4</v>
          </cell>
          <cell r="I753">
            <v>4.4096053218144998E-5</v>
          </cell>
          <cell r="J753">
            <v>9.8351094625188403E-5</v>
          </cell>
          <cell r="K753">
            <v>6.8706311785117404E-4</v>
          </cell>
          <cell r="L753">
            <v>9.4445426726629995E-6</v>
          </cell>
          <cell r="M753">
            <v>9.9265852147321096E-4</v>
          </cell>
          <cell r="N753">
            <v>5.5178805411922102E-6</v>
          </cell>
          <cell r="O753">
            <v>1.6907754506918901E-3</v>
          </cell>
        </row>
        <row r="754">
          <cell r="A754" t="str">
            <v>D-T-ELC-TW_Bat_S4</v>
          </cell>
          <cell r="B754" t="str">
            <v>VAR_cap</v>
          </cell>
          <cell r="C754" t="str">
            <v>-</v>
          </cell>
          <cell r="D754">
            <v>8.2354295553597998E-5</v>
          </cell>
          <cell r="E754">
            <v>8.2890503309908495E-5</v>
          </cell>
          <cell r="F754">
            <v>8.4460796244626807E-5</v>
          </cell>
          <cell r="G754">
            <v>3.6366233579259003E-4</v>
          </cell>
          <cell r="H754">
            <v>7.2641125522459097E-4</v>
          </cell>
          <cell r="I754">
            <v>7.7050730844273601E-4</v>
          </cell>
          <cell r="J754">
            <v>8.1506365739042702E-4</v>
          </cell>
          <cell r="K754">
            <v>1.4714607246744699E-3</v>
          </cell>
          <cell r="L754">
            <v>1.20170372779917E-3</v>
          </cell>
          <cell r="M754">
            <v>1.83161332984038E-3</v>
          </cell>
          <cell r="N754">
            <v>1.77763829627422E-3</v>
          </cell>
          <cell r="O754">
            <v>3.3854595132301298E-3</v>
          </cell>
        </row>
        <row r="755">
          <cell r="A755" t="str">
            <v>T_B_u-ICENGA-S1</v>
          </cell>
          <cell r="B755" t="str">
            <v>VAR_fout</v>
          </cell>
          <cell r="C755" t="str">
            <v>CO2_T</v>
          </cell>
          <cell r="E755">
            <v>8.0823805348991598E-3</v>
          </cell>
          <cell r="F755">
            <v>3.503213746591359E-2</v>
          </cell>
        </row>
        <row r="756">
          <cell r="A756" t="str">
            <v>T_B_u-ICENGA-S1</v>
          </cell>
          <cell r="B756" t="str">
            <v>VAR_fout</v>
          </cell>
          <cell r="C756" t="str">
            <v>TPBSu</v>
          </cell>
          <cell r="E756">
            <v>1.723059200673058E-5</v>
          </cell>
          <cell r="F756">
            <v>7.7663286732693204E-5</v>
          </cell>
        </row>
        <row r="757">
          <cell r="A757" t="str">
            <v>T_B_u-ICENGA-S1</v>
          </cell>
          <cell r="B757" t="str">
            <v>VAR_fin</v>
          </cell>
          <cell r="C757" t="str">
            <v>TNGA</v>
          </cell>
          <cell r="E757">
            <v>1.433046194131056E-4</v>
          </cell>
          <cell r="F757">
            <v>6.2113718911194237E-4</v>
          </cell>
        </row>
        <row r="758">
          <cell r="A758" t="str">
            <v>T_B_u-ICENGA-S1</v>
          </cell>
          <cell r="B758" t="str">
            <v>VAR_ncap</v>
          </cell>
          <cell r="C758" t="str">
            <v>-</v>
          </cell>
          <cell r="E758">
            <v>4.2103662909691499E-7</v>
          </cell>
          <cell r="F758">
            <v>1.14623542553383E-6</v>
          </cell>
        </row>
        <row r="759">
          <cell r="A759" t="str">
            <v>T_B_u-ICENGA-S1</v>
          </cell>
          <cell r="B759" t="str">
            <v>VAR_cap</v>
          </cell>
          <cell r="C759" t="str">
            <v>-</v>
          </cell>
          <cell r="E759">
            <v>4.2103662909691499E-7</v>
          </cell>
          <cell r="F759">
            <v>1.5672720546307499E-6</v>
          </cell>
          <cell r="G759">
            <v>9.648238505700002E-10</v>
          </cell>
          <cell r="H759">
            <v>4.6624579857703885E-10</v>
          </cell>
        </row>
        <row r="760">
          <cell r="A760" t="str">
            <v>T_B_u-ICENGA-S2</v>
          </cell>
          <cell r="B760" t="str">
            <v>VAR_fout</v>
          </cell>
          <cell r="C760" t="str">
            <v>CO2_T</v>
          </cell>
          <cell r="E760">
            <v>6.67052520854154E-3</v>
          </cell>
          <cell r="F760">
            <v>7.5702002947255903E-2</v>
          </cell>
        </row>
        <row r="761">
          <cell r="A761" t="str">
            <v>T_B_u-ICENGA-S2</v>
          </cell>
          <cell r="B761" t="str">
            <v>VAR_fout</v>
          </cell>
          <cell r="C761" t="str">
            <v>TPBSu</v>
          </cell>
          <cell r="E761">
            <v>1.0052868975067789E-5</v>
          </cell>
          <cell r="F761">
            <v>1.1940373029831395E-4</v>
          </cell>
        </row>
        <row r="762">
          <cell r="A762" t="str">
            <v>T_B_u-ICENGA-S2</v>
          </cell>
          <cell r="B762" t="str">
            <v>VAR_fin</v>
          </cell>
          <cell r="C762" t="str">
            <v>TNGA</v>
          </cell>
          <cell r="E762">
            <v>1.182717235557012E-4</v>
          </cell>
          <cell r="F762">
            <v>1.3422340948095026E-3</v>
          </cell>
        </row>
        <row r="763">
          <cell r="A763" t="str">
            <v>T_B_u-ICENGA-S2</v>
          </cell>
          <cell r="B763" t="str">
            <v>VAR_ncap</v>
          </cell>
          <cell r="C763" t="str">
            <v>-</v>
          </cell>
          <cell r="E763">
            <v>2.4498119567079298E-7</v>
          </cell>
          <cell r="F763">
            <v>2.0561152483248299E-6</v>
          </cell>
        </row>
        <row r="764">
          <cell r="A764" t="str">
            <v>T_B_u-ICENGA-S2</v>
          </cell>
          <cell r="B764" t="str">
            <v>VAR_cap</v>
          </cell>
          <cell r="C764" t="str">
            <v>-</v>
          </cell>
          <cell r="E764">
            <v>2.4498119567079298E-7</v>
          </cell>
          <cell r="F764">
            <v>2.3010964439956201E-6</v>
          </cell>
          <cell r="G764">
            <v>3.7386128542000636E-9</v>
          </cell>
          <cell r="H764">
            <v>2.3275742556798954E-9</v>
          </cell>
        </row>
        <row r="765">
          <cell r="A765" t="str">
            <v>T_B_c-ICEDSLEXT</v>
          </cell>
          <cell r="B765" t="str">
            <v>VAR_fout</v>
          </cell>
          <cell r="C765" t="str">
            <v>CO2_T</v>
          </cell>
          <cell r="D765">
            <v>0.44180732411705098</v>
          </cell>
          <cell r="E765">
            <v>0.44076516951394301</v>
          </cell>
          <cell r="F765">
            <v>0.43753415757904701</v>
          </cell>
        </row>
        <row r="766">
          <cell r="A766" t="str">
            <v>T_B_c-ICEDSLEXT</v>
          </cell>
          <cell r="B766" t="str">
            <v>VAR_fout</v>
          </cell>
          <cell r="C766" t="str">
            <v>TPBSc</v>
          </cell>
          <cell r="D766">
            <v>5.9973985641314564E-2</v>
          </cell>
          <cell r="E766">
            <v>4.7983432061271994E-2</v>
          </cell>
          <cell r="F766">
            <v>2.9988353809870628E-2</v>
          </cell>
        </row>
        <row r="767">
          <cell r="A767" t="str">
            <v>T_B_c-ICEDSLEXT</v>
          </cell>
          <cell r="B767" t="str">
            <v>VAR_fin</v>
          </cell>
          <cell r="C767" t="str">
            <v>TDSL</v>
          </cell>
          <cell r="D767">
            <v>6.0273850493458509E-3</v>
          </cell>
          <cell r="E767">
            <v>6.0131673876390665E-3</v>
          </cell>
          <cell r="F767">
            <v>5.9690880979406131E-3</v>
          </cell>
        </row>
        <row r="768">
          <cell r="A768" t="str">
            <v>T_B_c-ICEDSLEXT</v>
          </cell>
          <cell r="B768" t="str">
            <v>VAR_cap</v>
          </cell>
          <cell r="C768" t="str">
            <v>-</v>
          </cell>
          <cell r="D768">
            <v>1.3033190693948528E-3</v>
          </cell>
          <cell r="E768">
            <v>1.04265638017014E-3</v>
          </cell>
          <cell r="F768">
            <v>6.5166023760633498E-4</v>
          </cell>
        </row>
        <row r="769">
          <cell r="A769" t="str">
            <v>T_B_u-ICENGA-S3</v>
          </cell>
          <cell r="B769" t="str">
            <v>VAR_fout</v>
          </cell>
          <cell r="C769" t="str">
            <v>CO2_T</v>
          </cell>
          <cell r="E769">
            <v>6.5702094822625004E-3</v>
          </cell>
          <cell r="F769">
            <v>1.0526723629145753</v>
          </cell>
        </row>
        <row r="770">
          <cell r="A770" t="str">
            <v>T_B_u-ICENGA-S3</v>
          </cell>
          <cell r="B770" t="str">
            <v>VAR_fout</v>
          </cell>
          <cell r="C770" t="str">
            <v>TPBSu</v>
          </cell>
          <cell r="E770">
            <v>6.572787877242918E-6</v>
          </cell>
          <cell r="F770">
            <v>1.107439422150089E-3</v>
          </cell>
        </row>
        <row r="771">
          <cell r="A771" t="str">
            <v>T_B_u-ICENGA-S3</v>
          </cell>
          <cell r="B771" t="str">
            <v>VAR_fin</v>
          </cell>
          <cell r="C771" t="str">
            <v>TNGA</v>
          </cell>
          <cell r="E771">
            <v>1.1649307592664012E-4</v>
          </cell>
          <cell r="F771">
            <v>1.8664403597776151E-2</v>
          </cell>
        </row>
        <row r="772">
          <cell r="A772" t="str">
            <v>T_B_u-ICENGA-S3</v>
          </cell>
          <cell r="B772" t="str">
            <v>VAR_ncap</v>
          </cell>
          <cell r="C772" t="str">
            <v>-</v>
          </cell>
          <cell r="E772">
            <v>1.6189140081539899E-7</v>
          </cell>
          <cell r="F772">
            <v>2.0750283888838801E-5</v>
          </cell>
        </row>
        <row r="773">
          <cell r="A773" t="str">
            <v>T_B_u-ICENGA-S3</v>
          </cell>
          <cell r="B773" t="str">
            <v>VAR_cap</v>
          </cell>
          <cell r="C773" t="str">
            <v>-</v>
          </cell>
          <cell r="E773">
            <v>1.6189140081539899E-7</v>
          </cell>
          <cell r="F773">
            <v>2.09121752896542E-5</v>
          </cell>
          <cell r="G773">
            <v>-6.0068260959963743E-10</v>
          </cell>
        </row>
        <row r="774">
          <cell r="A774" t="str">
            <v>T_B_u-ICENGA-S4</v>
          </cell>
          <cell r="B774" t="str">
            <v>VAR_fout</v>
          </cell>
          <cell r="C774" t="str">
            <v>CO2_T</v>
          </cell>
          <cell r="E774">
            <v>7.6696008559750501E-4</v>
          </cell>
          <cell r="F774">
            <v>2.7170300282050698E-3</v>
          </cell>
          <cell r="I774">
            <v>5.3310998803104402E-5</v>
          </cell>
        </row>
        <row r="775">
          <cell r="A775" t="str">
            <v>T_B_u-ICENGA-S4</v>
          </cell>
          <cell r="B775" t="str">
            <v>VAR_fout</v>
          </cell>
          <cell r="C775" t="str">
            <v>TPBSu</v>
          </cell>
          <cell r="E775">
            <v>5.1251914293582333E-7</v>
          </cell>
          <cell r="F775">
            <v>1.8742316679811445E-6</v>
          </cell>
          <cell r="I775">
            <v>4.4897665291855603E-8</v>
          </cell>
        </row>
        <row r="776">
          <cell r="A776" t="str">
            <v>T_B_u-ICENGA-S4</v>
          </cell>
          <cell r="B776" t="str">
            <v>VAR_fin</v>
          </cell>
          <cell r="C776" t="str">
            <v>TNGA</v>
          </cell>
          <cell r="E776">
            <v>1.3598583077969948E-5</v>
          </cell>
          <cell r="F776">
            <v>4.8174291280231702E-5</v>
          </cell>
          <cell r="I776">
            <v>9.4523047523234789E-7</v>
          </cell>
        </row>
        <row r="777">
          <cell r="A777" t="str">
            <v>T_B_u-ICENGA-S4</v>
          </cell>
          <cell r="B777" t="str">
            <v>VAR_ncap</v>
          </cell>
          <cell r="C777" t="str">
            <v>-</v>
          </cell>
          <cell r="E777">
            <v>2.6041011831172399E-8</v>
          </cell>
          <cell r="F777">
            <v>3.8443658351651399E-8</v>
          </cell>
          <cell r="I777">
            <v>1.2135937436581199E-8</v>
          </cell>
        </row>
        <row r="778">
          <cell r="A778" t="str">
            <v>T_B_u-ICENGA-S4</v>
          </cell>
          <cell r="B778" t="str">
            <v>VAR_cap</v>
          </cell>
          <cell r="C778" t="str">
            <v>-</v>
          </cell>
          <cell r="E778">
            <v>2.6041011831172399E-8</v>
          </cell>
          <cell r="F778">
            <v>6.4484670182823901E-8</v>
          </cell>
          <cell r="G778">
            <v>4.2260195672894013E-9</v>
          </cell>
          <cell r="I778">
            <v>1.2135937436581199E-8</v>
          </cell>
          <cell r="J778">
            <v>-1.7673433218566202E-9</v>
          </cell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18.873022161950885</v>
          </cell>
          <cell r="C9">
            <v>22.214828363149731</v>
          </cell>
          <cell r="D9">
            <v>26.367492484477861</v>
          </cell>
          <cell r="E9">
            <v>36.363433549746311</v>
          </cell>
          <cell r="F9">
            <v>55.374450217111509</v>
          </cell>
          <cell r="G9">
            <v>60.303141013626572</v>
          </cell>
          <cell r="H9">
            <v>72.947771417794755</v>
          </cell>
          <cell r="I9">
            <v>88.158059136565598</v>
          </cell>
          <cell r="J9">
            <v>89.859209099370602</v>
          </cell>
          <cell r="K9">
            <v>90.938315201301791</v>
          </cell>
          <cell r="L9">
            <v>91.42957773694954</v>
          </cell>
          <cell r="M9">
            <v>93.545811058838993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3.6613207049875286E-4</v>
          </cell>
          <cell r="H28">
            <v>0.12134463508162154</v>
          </cell>
          <cell r="I28">
            <v>0.11235352852374796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</sheetData>
      <sheetData sheetId="56"/>
      <sheetData sheetId="57"/>
      <sheetData sheetId="58">
        <row r="14">
          <cell r="B14">
            <v>82.760001048630002</v>
          </cell>
          <cell r="C14">
            <v>83.109714825674843</v>
          </cell>
          <cell r="D14">
            <v>73.079953488373633</v>
          </cell>
          <cell r="E14">
            <v>73.079999208152969</v>
          </cell>
          <cell r="F14">
            <v>62.876117038081205</v>
          </cell>
          <cell r="G14">
            <v>33.168560961832526</v>
          </cell>
          <cell r="H14">
            <v>0</v>
          </cell>
          <cell r="I14">
            <v>0</v>
          </cell>
          <cell r="J14">
            <v>20.054415318973909</v>
          </cell>
          <cell r="K14">
            <v>44.116716941345281</v>
          </cell>
          <cell r="L14">
            <v>44.677768868222245</v>
          </cell>
          <cell r="M14">
            <v>44.778922627620368</v>
          </cell>
        </row>
        <row r="15">
          <cell r="B15">
            <v>66.745680087465431</v>
          </cell>
          <cell r="C15">
            <v>49.798799106154775</v>
          </cell>
          <cell r="D15">
            <v>68.756548342148591</v>
          </cell>
          <cell r="E15">
            <v>70.431431991876849</v>
          </cell>
          <cell r="F15">
            <v>71.413370097589095</v>
          </cell>
          <cell r="G15">
            <v>72.497374580585273</v>
          </cell>
          <cell r="H15">
            <v>73.751646859582706</v>
          </cell>
          <cell r="I15">
            <v>74.835796597747816</v>
          </cell>
          <cell r="J15">
            <v>74.835824674890546</v>
          </cell>
          <cell r="K15">
            <v>74.835633381732961</v>
          </cell>
          <cell r="L15">
            <v>74.835599397676688</v>
          </cell>
          <cell r="M15">
            <v>74.836042706184401</v>
          </cell>
        </row>
        <row r="16">
          <cell r="B16">
            <v>66.632400805689144</v>
          </cell>
          <cell r="C16">
            <v>55.763999647395103</v>
          </cell>
          <cell r="D16">
            <v>65.553185207249157</v>
          </cell>
          <cell r="E16">
            <v>64.716636921875647</v>
          </cell>
          <cell r="F16">
            <v>63.735226441582611</v>
          </cell>
          <cell r="G16">
            <v>62.651228130576513</v>
          </cell>
          <cell r="H16">
            <v>61.5655219472916</v>
          </cell>
          <cell r="I16">
            <v>60.481377772266136</v>
          </cell>
          <cell r="J16">
            <v>60.481350320315187</v>
          </cell>
          <cell r="K16">
            <v>60.4815432061556</v>
          </cell>
          <cell r="L16">
            <v>60.481578029869766</v>
          </cell>
          <cell r="M16">
            <v>60.481139186772893</v>
          </cell>
        </row>
        <row r="17">
          <cell r="B17">
            <v>12.841921283518701</v>
          </cell>
          <cell r="C17">
            <v>16.034302909464788</v>
          </cell>
          <cell r="D17">
            <v>5.4738575633416922</v>
          </cell>
          <cell r="E17">
            <v>12.784369393036147</v>
          </cell>
          <cell r="F17">
            <v>13.075491838881652</v>
          </cell>
          <cell r="G17">
            <v>13.130124922519341</v>
          </cell>
          <cell r="H17">
            <v>13.216644378775412</v>
          </cell>
          <cell r="I17">
            <v>13.297365702626392</v>
          </cell>
          <cell r="J17">
            <v>13.337785855603757</v>
          </cell>
          <cell r="K17">
            <v>14.510279524710668</v>
          </cell>
          <cell r="L17">
            <v>14.871624835933863</v>
          </cell>
          <cell r="M17">
            <v>14.816679735993024</v>
          </cell>
        </row>
        <row r="18">
          <cell r="B18">
            <v>3.9600719613498363E-2</v>
          </cell>
          <cell r="C18">
            <v>3.4573710168363551E-5</v>
          </cell>
          <cell r="D18">
            <v>2.1356280285754477E-3</v>
          </cell>
          <cell r="E18">
            <v>3.0791320631184629E-4</v>
          </cell>
          <cell r="F18">
            <v>2.594883797487872E-4</v>
          </cell>
          <cell r="G18">
            <v>0.17090777586650757</v>
          </cell>
          <cell r="H18">
            <v>0.17115383100646792</v>
          </cell>
          <cell r="I18">
            <v>5.1529269883396504E-6</v>
          </cell>
          <cell r="J18">
            <v>1.3450668968823893E-3</v>
          </cell>
          <cell r="K18">
            <v>1.6872011540654656E-3</v>
          </cell>
          <cell r="L18">
            <v>1.0490910856316277E-3</v>
          </cell>
          <cell r="M18">
            <v>2.2243426900692017E-3</v>
          </cell>
        </row>
        <row r="19">
          <cell r="B19">
            <v>6.5070002657818566</v>
          </cell>
          <cell r="C19">
            <v>7.3027684026900088</v>
          </cell>
          <cell r="D19">
            <v>7.4118446001400704</v>
          </cell>
          <cell r="E19">
            <v>7.398138818325271</v>
          </cell>
          <cell r="F19">
            <v>7.4918607131338035</v>
          </cell>
          <cell r="G19">
            <v>5.8262313730185822</v>
          </cell>
          <cell r="H19">
            <v>4.5214679770193671</v>
          </cell>
          <cell r="I19">
            <v>4.6999646641545691</v>
          </cell>
          <cell r="J19">
            <v>4.6534304480598054</v>
          </cell>
          <cell r="K19">
            <v>4.6534311167722624</v>
          </cell>
          <cell r="L19">
            <v>4.6534304889355189</v>
          </cell>
          <cell r="M19">
            <v>4.6534307321553259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1.8929344042753642</v>
          </cell>
          <cell r="H20">
            <v>4.3142942848908721</v>
          </cell>
          <cell r="I20">
            <v>4.4885566372943835</v>
          </cell>
          <cell r="J20">
            <v>4.4441164528072212</v>
          </cell>
          <cell r="K20">
            <v>4.4441161803822657</v>
          </cell>
          <cell r="L20">
            <v>4.4441158672019485</v>
          </cell>
          <cell r="M20">
            <v>4.4441161782220249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5.797941254935403E-6</v>
          </cell>
          <cell r="H21">
            <v>4.0861190940821077E-6</v>
          </cell>
          <cell r="I21">
            <v>9.2808167511669246E-5</v>
          </cell>
          <cell r="J21">
            <v>1.5074878215150477E-3</v>
          </cell>
          <cell r="K21">
            <v>1.7457283072067902E-3</v>
          </cell>
          <cell r="L21">
            <v>1.7399411355840516E-3</v>
          </cell>
          <cell r="M21">
            <v>2.7578787197800251E-3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1.4117958235943355E-6</v>
          </cell>
          <cell r="H22">
            <v>0</v>
          </cell>
          <cell r="I22">
            <v>5.2164378157608576E-2</v>
          </cell>
          <cell r="J22">
            <v>1.2069532037739063E-2</v>
          </cell>
          <cell r="K22">
            <v>7.2860170366028073E-3</v>
          </cell>
          <cell r="L22">
            <v>8.3901733726051402E-3</v>
          </cell>
          <cell r="M22">
            <v>7.2150166855923861E-3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3.0996157624170546E-6</v>
          </cell>
          <cell r="I23">
            <v>8.6813305970923833E-5</v>
          </cell>
          <cell r="J23">
            <v>4.8680779358494949E-2</v>
          </cell>
          <cell r="K23">
            <v>5.4190218619994394E-2</v>
          </cell>
          <cell r="L23">
            <v>5.2824055154309692E-2</v>
          </cell>
          <cell r="M23">
            <v>5.3361184248911932E-2</v>
          </cell>
        </row>
        <row r="24">
          <cell r="B24">
            <v>0.96588062392178575</v>
          </cell>
          <cell r="C24">
            <v>2.0593582381395062E-4</v>
          </cell>
          <cell r="D24">
            <v>1.1892773378692982E-3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7.4245459508893566E-2</v>
          </cell>
          <cell r="C25">
            <v>2.4587559078031285E-4</v>
          </cell>
          <cell r="D25">
            <v>1.1428972356934816E-2</v>
          </cell>
          <cell r="E25">
            <v>9.1718693757535759E-4</v>
          </cell>
          <cell r="F25">
            <v>1.9161160205285854E-3</v>
          </cell>
          <cell r="G25">
            <v>0.72178221842802737</v>
          </cell>
          <cell r="H25">
            <v>1.1209396887544685</v>
          </cell>
          <cell r="I25">
            <v>0.96479230328118604</v>
          </cell>
          <cell r="J25">
            <v>0.93945962111478309</v>
          </cell>
          <cell r="K25">
            <v>0.94125364090109553</v>
          </cell>
          <cell r="L25">
            <v>0.94175843164813544</v>
          </cell>
          <cell r="M25">
            <v>0.94371504597354539</v>
          </cell>
        </row>
        <row r="26">
          <cell r="B26">
            <v>1.5475483989974068</v>
          </cell>
          <cell r="C26">
            <v>1.4228844326023231</v>
          </cell>
          <cell r="D26">
            <v>1.4380990753337577</v>
          </cell>
          <cell r="E26">
            <v>1.4131359621852162</v>
          </cell>
          <cell r="F26">
            <v>1.4025732845745527</v>
          </cell>
          <cell r="G26">
            <v>1.0912299636259588</v>
          </cell>
          <cell r="H26">
            <v>0.68348104923653874</v>
          </cell>
          <cell r="I26">
            <v>0.70435524437499875</v>
          </cell>
          <cell r="J26">
            <v>0.70854373247102442</v>
          </cell>
          <cell r="K26">
            <v>0.70856479270765127</v>
          </cell>
          <cell r="L26">
            <v>0.70857213718678547</v>
          </cell>
          <cell r="M26">
            <v>0.70857582694651566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0.31663745220480072</v>
          </cell>
          <cell r="H27">
            <v>0.70631466610864024</v>
          </cell>
          <cell r="I27">
            <v>0.7188691391754839</v>
          </cell>
          <cell r="J27">
            <v>0.71175169275889505</v>
          </cell>
          <cell r="K27">
            <v>0.71175171248670444</v>
          </cell>
          <cell r="L27">
            <v>0.71175162788972757</v>
          </cell>
          <cell r="M27">
            <v>0.71175169581288034</v>
          </cell>
        </row>
        <row r="28">
          <cell r="B28">
            <v>1.8006281707011423E-3</v>
          </cell>
          <cell r="C28">
            <v>2.2914824759534405E-5</v>
          </cell>
          <cell r="D28">
            <v>7.1803470471217511E-4</v>
          </cell>
          <cell r="E28">
            <v>2.4099895183947128E-4</v>
          </cell>
          <cell r="F28">
            <v>9.5997979387524093E-5</v>
          </cell>
          <cell r="G28">
            <v>6.2496185426329351E-4</v>
          </cell>
          <cell r="H28">
            <v>3.7942043443066012E-4</v>
          </cell>
          <cell r="I28">
            <v>0</v>
          </cell>
          <cell r="J28">
            <v>4.4011247261742713E-5</v>
          </cell>
          <cell r="K28">
            <v>4.3450455718655763E-5</v>
          </cell>
          <cell r="L28">
            <v>4.3373775869563908E-5</v>
          </cell>
          <cell r="M28">
            <v>4.4985634682772928E-5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0.25169808701507451</v>
          </cell>
          <cell r="H30">
            <v>0.72710744266880833</v>
          </cell>
          <cell r="I30">
            <v>1.0768416775827507</v>
          </cell>
          <cell r="J30">
            <v>1.0768412184958329</v>
          </cell>
          <cell r="K30">
            <v>1.0768425338365069</v>
          </cell>
          <cell r="L30">
            <v>1.0768444786233162</v>
          </cell>
          <cell r="M30">
            <v>1.0768639583011022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3.8099033599862746E-4</v>
          </cell>
          <cell r="H31">
            <v>2.3849082331739335E-2</v>
          </cell>
          <cell r="I31">
            <v>0.373576134470256</v>
          </cell>
          <cell r="J31">
            <v>0.4024634375789346</v>
          </cell>
          <cell r="K31">
            <v>0.40312324957631052</v>
          </cell>
          <cell r="L31">
            <v>0.40342083187329653</v>
          </cell>
          <cell r="M31">
            <v>0.40390230343568756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1.8146633280466114E-2</v>
          </cell>
          <cell r="I32">
            <v>1.8150862763893664E-2</v>
          </cell>
          <cell r="J32">
            <v>1.815013471657018E-2</v>
          </cell>
          <cell r="K32">
            <v>1.6568844305543319E-2</v>
          </cell>
          <cell r="L32">
            <v>1.6796666989674459E-2</v>
          </cell>
          <cell r="M32">
            <v>1.6897439064047677E-2</v>
          </cell>
        </row>
        <row r="33">
          <cell r="B33">
            <v>0.52400000000000047</v>
          </cell>
          <cell r="C33">
            <v>0.54529204320697078</v>
          </cell>
          <cell r="D33">
            <v>0.50316464154052054</v>
          </cell>
          <cell r="E33">
            <v>0.98984228559381826</v>
          </cell>
          <cell r="F33">
            <v>1.0861897355413361</v>
          </cell>
          <cell r="G33">
            <v>1.0863137814254247</v>
          </cell>
          <cell r="H33">
            <v>1.2212459805636593</v>
          </cell>
          <cell r="I33">
            <v>1.221262519334102</v>
          </cell>
          <cell r="J33">
            <v>1.2213800676946502</v>
          </cell>
          <cell r="K33">
            <v>1.2215382173731462</v>
          </cell>
          <cell r="L33">
            <v>1.2215410910374236</v>
          </cell>
          <cell r="M33">
            <v>1.2215570182267321</v>
          </cell>
        </row>
        <row r="34">
          <cell r="B34">
            <v>0</v>
          </cell>
          <cell r="C34">
            <v>0</v>
          </cell>
          <cell r="D34">
            <v>0.15619072897983161</v>
          </cell>
          <cell r="E34">
            <v>0.53821345162669443</v>
          </cell>
          <cell r="F34">
            <v>2.3205627586842272</v>
          </cell>
          <cell r="G34">
            <v>3.0689980419595648</v>
          </cell>
          <cell r="H34">
            <v>6.4786821594399324</v>
          </cell>
          <cell r="I34">
            <v>9.2868731154888575</v>
          </cell>
          <cell r="J34">
            <v>8.2538006547198712</v>
          </cell>
          <cell r="K34">
            <v>6.4163838161465989</v>
          </cell>
          <cell r="L34">
            <v>3.3520697510897763</v>
          </cell>
          <cell r="M34">
            <v>2.869144957801846E-2</v>
          </cell>
        </row>
        <row r="35">
          <cell r="B35">
            <v>3.517953999707534</v>
          </cell>
          <cell r="C35">
            <v>4.8486222543413104</v>
          </cell>
          <cell r="D35">
            <v>11.927073870179624</v>
          </cell>
          <cell r="E35">
            <v>14.116657077484307</v>
          </cell>
          <cell r="F35">
            <v>19.78467689860712</v>
          </cell>
          <cell r="G35">
            <v>20.793897306235376</v>
          </cell>
          <cell r="H35">
            <v>21.854596279856747</v>
          </cell>
          <cell r="I35">
            <v>22.969401049914179</v>
          </cell>
          <cell r="J35">
            <v>24.141071820801891</v>
          </cell>
          <cell r="K35">
            <v>25.372509635566047</v>
          </cell>
          <cell r="L35">
            <v>26.666763210887776</v>
          </cell>
          <cell r="M35">
            <v>28.027036979969285</v>
          </cell>
        </row>
        <row r="36">
          <cell r="B36">
            <v>2.1349390887346629</v>
          </cell>
          <cell r="C36">
            <v>3.3906739584495149</v>
          </cell>
          <cell r="D36">
            <v>4.3183171606101451</v>
          </cell>
          <cell r="E36">
            <v>18.917448377972754</v>
          </cell>
          <cell r="F36">
            <v>19.882441940435754</v>
          </cell>
          <cell r="G36">
            <v>20.896647122207167</v>
          </cell>
          <cell r="H36">
            <v>21.962587790033144</v>
          </cell>
          <cell r="I36">
            <v>23.082902713005229</v>
          </cell>
          <cell r="J36">
            <v>24.260364096781437</v>
          </cell>
          <cell r="K36">
            <v>25.497889406070179</v>
          </cell>
          <cell r="L36">
            <v>26.798542625873115</v>
          </cell>
          <cell r="M36">
            <v>28.165677056098193</v>
          </cell>
        </row>
        <row r="37">
          <cell r="B37">
            <v>0.86248322578584768</v>
          </cell>
          <cell r="C37">
            <v>1.2875919198428809</v>
          </cell>
          <cell r="D37">
            <v>5.6574990198584603</v>
          </cell>
          <cell r="E37">
            <v>13.460658647674402</v>
          </cell>
          <cell r="F37">
            <v>14.147307523828715</v>
          </cell>
          <cell r="G37">
            <v>14.868963991608782</v>
          </cell>
          <cell r="H37">
            <v>15.627433361167956</v>
          </cell>
          <cell r="I37">
            <v>16.424591324769125</v>
          </cell>
          <cell r="J37">
            <v>17.262411710134231</v>
          </cell>
          <cell r="K37">
            <v>18.142970225685545</v>
          </cell>
          <cell r="L37">
            <v>19.068447383813812</v>
          </cell>
          <cell r="M37">
            <v>20.041143424348085</v>
          </cell>
        </row>
        <row r="38">
          <cell r="B38">
            <v>2.8396236857719668</v>
          </cell>
          <cell r="C38">
            <v>3.2944550725739599</v>
          </cell>
          <cell r="D38">
            <v>6.7409207172650021</v>
          </cell>
          <cell r="E38">
            <v>7.7939917402622712</v>
          </cell>
          <cell r="F38">
            <v>24.712980513430871</v>
          </cell>
          <cell r="G38">
            <v>26.122042275639355</v>
          </cell>
          <cell r="H38">
            <v>27.454534981221936</v>
          </cell>
          <cell r="I38">
            <v>28.854993544103994</v>
          </cell>
          <cell r="J38">
            <v>30.326889011475654</v>
          </cell>
          <cell r="K38">
            <v>31.873866272027552</v>
          </cell>
          <cell r="L38">
            <v>33.499755606364026</v>
          </cell>
          <cell r="M38">
            <v>35.208587490876461</v>
          </cell>
        </row>
        <row r="39">
          <cell r="B39">
            <v>0.66996282385178585</v>
          </cell>
          <cell r="C39">
            <v>0.41870674029202692</v>
          </cell>
          <cell r="D39">
            <v>5.3586524901168768E-2</v>
          </cell>
          <cell r="E39">
            <v>0.41596620270893214</v>
          </cell>
          <cell r="F39">
            <v>0.26048009521079918</v>
          </cell>
          <cell r="G39">
            <v>0.66116512056489574</v>
          </cell>
          <cell r="H39">
            <v>0.42264103701140687</v>
          </cell>
          <cell r="I39">
            <v>0.4238917900630037</v>
          </cell>
          <cell r="J39">
            <v>0.42365224470961199</v>
          </cell>
          <cell r="K39">
            <v>0.35550444091670752</v>
          </cell>
          <cell r="L39">
            <v>0.42374715356674619</v>
          </cell>
          <cell r="M39">
            <v>0.42402283963971144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4.5381091059535491E-3</v>
          </cell>
          <cell r="H40">
            <v>0.24435640379102205</v>
          </cell>
          <cell r="I40">
            <v>0.24510005825881095</v>
          </cell>
          <cell r="J40">
            <v>0.2449544977921167</v>
          </cell>
          <cell r="K40">
            <v>0.20555728846817636</v>
          </cell>
          <cell r="L40">
            <v>0.24501381560625765</v>
          </cell>
          <cell r="M40">
            <v>0.24517148396033769</v>
          </cell>
        </row>
        <row r="41">
          <cell r="B41">
            <v>7.0500942808608538E-2</v>
          </cell>
          <cell r="C41">
            <v>0.17147088663445637</v>
          </cell>
          <cell r="D41">
            <v>8.7153436827114624E-3</v>
          </cell>
          <cell r="E41">
            <v>0.17098002725649042</v>
          </cell>
          <cell r="F41">
            <v>0.17116995479924843</v>
          </cell>
          <cell r="G41">
            <v>0</v>
          </cell>
          <cell r="H41">
            <v>0</v>
          </cell>
          <cell r="I41">
            <v>0</v>
          </cell>
          <cell r="J41">
            <v>0.11806463767851348</v>
          </cell>
          <cell r="K41">
            <v>0.11784286409429016</v>
          </cell>
          <cell r="L41">
            <v>0.17043959432884806</v>
          </cell>
          <cell r="M41">
            <v>0.16926219395913683</v>
          </cell>
        </row>
        <row r="42">
          <cell r="B42">
            <v>0.17247368833591198</v>
          </cell>
          <cell r="C42">
            <v>0.24647166145645291</v>
          </cell>
          <cell r="D42">
            <v>1.1323982364956537</v>
          </cell>
          <cell r="E42">
            <v>1.5387739580302806</v>
          </cell>
          <cell r="F42">
            <v>1.5368524591111128</v>
          </cell>
          <cell r="G42">
            <v>0.64993127137342188</v>
          </cell>
          <cell r="H42">
            <v>0.18886881571629691</v>
          </cell>
          <cell r="I42">
            <v>1.0540525758473075E-3</v>
          </cell>
          <cell r="J42">
            <v>9.2528701082759989E-4</v>
          </cell>
          <cell r="K42">
            <v>1.1133399966297389E-3</v>
          </cell>
          <cell r="L42">
            <v>9.1052847811072752E-4</v>
          </cell>
          <cell r="M42">
            <v>1.2756379057171801E-3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2.5431334247385946</v>
          </cell>
          <cell r="H43">
            <v>3.6728548977062787</v>
          </cell>
          <cell r="I43">
            <v>4.3450987587368193</v>
          </cell>
          <cell r="J43">
            <v>4.3092437013351006</v>
          </cell>
          <cell r="K43">
            <v>4.3450990277794954</v>
          </cell>
          <cell r="L43">
            <v>4.334928160907709</v>
          </cell>
          <cell r="M43">
            <v>4.3451027967576588</v>
          </cell>
        </row>
        <row r="44">
          <cell r="B44">
            <v>0.23004155968187884</v>
          </cell>
          <cell r="C44">
            <v>0.23015747953886212</v>
          </cell>
          <cell r="D44">
            <v>0.33670595418499183</v>
          </cell>
          <cell r="E44">
            <v>0.33294549849543831</v>
          </cell>
          <cell r="F44">
            <v>0.32918527149850729</v>
          </cell>
          <cell r="G44">
            <v>0.27652248589122819</v>
          </cell>
          <cell r="H44">
            <v>1.5879104978595737E-4</v>
          </cell>
          <cell r="I44">
            <v>6.4176873726448386E-5</v>
          </cell>
          <cell r="J44">
            <v>1.0260492213509981E-4</v>
          </cell>
          <cell r="K44">
            <v>1.7835184608337972E-4</v>
          </cell>
          <cell r="L44">
            <v>1.1095457670873224E-4</v>
          </cell>
          <cell r="M44">
            <v>4.059839835814084E-5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4.5903431085571371E-2</v>
          </cell>
          <cell r="H45">
            <v>0.5955220868503811</v>
          </cell>
          <cell r="I45">
            <v>0.59288181935816031</v>
          </cell>
          <cell r="J45">
            <v>0.59283049863437709</v>
          </cell>
          <cell r="K45">
            <v>0.59269446585009755</v>
          </cell>
          <cell r="L45">
            <v>0.59282553024416418</v>
          </cell>
          <cell r="M45">
            <v>0.59292247374858076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7.1357996085843365E-3</v>
          </cell>
          <cell r="F46">
            <v>0.75404837768927524</v>
          </cell>
          <cell r="G46">
            <v>2.9464890247261435</v>
          </cell>
          <cell r="H46">
            <v>4.0298604250447951</v>
          </cell>
          <cell r="I46">
            <v>4.0298615665609558</v>
          </cell>
          <cell r="J46">
            <v>4.0298623260793445</v>
          </cell>
          <cell r="K46">
            <v>4.0298609316288383</v>
          </cell>
          <cell r="L46">
            <v>4.0298616739483277</v>
          </cell>
          <cell r="M46">
            <v>4.0298638252982277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2.9758834197958061E-4</v>
          </cell>
          <cell r="F47">
            <v>4.7249416876910075E-4</v>
          </cell>
          <cell r="G47">
            <v>4.2748593301400045E-3</v>
          </cell>
          <cell r="H47">
            <v>2.9865403576992567E-3</v>
          </cell>
          <cell r="I47">
            <v>9.8063670737534342E-4</v>
          </cell>
          <cell r="J47">
            <v>1.3681371818521021E-3</v>
          </cell>
          <cell r="K47">
            <v>2.8326633587019085E-3</v>
          </cell>
          <cell r="L47">
            <v>1.2155882137151318E-3</v>
          </cell>
          <cell r="M47">
            <v>7.8970091766588388E-4</v>
          </cell>
        </row>
        <row r="48">
          <cell r="B48">
            <v>1.3995208421993234E-2</v>
          </cell>
          <cell r="C48">
            <v>2.4406341426070031E-3</v>
          </cell>
          <cell r="D48">
            <v>7.4847875125346854E-3</v>
          </cell>
          <cell r="E48">
            <v>5.9213701361597558E-3</v>
          </cell>
          <cell r="F48">
            <v>5.7641138754285807E-3</v>
          </cell>
          <cell r="G48">
            <v>2.5162167476171296E-3</v>
          </cell>
          <cell r="H48">
            <v>0</v>
          </cell>
          <cell r="I48">
            <v>0</v>
          </cell>
          <cell r="J48">
            <v>2.2554678299994543E-3</v>
          </cell>
          <cell r="K48">
            <v>2.7225607824158103E-3</v>
          </cell>
          <cell r="L48">
            <v>3.8053870829131394E-3</v>
          </cell>
          <cell r="M48">
            <v>4.5368712682703118E-3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9.074079520513446E-4</v>
          </cell>
          <cell r="K49">
            <v>1.5192977632046292E-3</v>
          </cell>
          <cell r="L49">
            <v>1.5209754840900488E-3</v>
          </cell>
          <cell r="M49">
            <v>2.9305958997637525E-3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5.4964237119789765E-4</v>
          </cell>
          <cell r="F50">
            <v>9.2506633250376323E-4</v>
          </cell>
          <cell r="G50">
            <v>4.0415767173126414E-3</v>
          </cell>
          <cell r="H50">
            <v>5.1087363422047264E-3</v>
          </cell>
          <cell r="I50">
            <v>6.5112455385523838E-3</v>
          </cell>
          <cell r="J50">
            <v>3.4465501503156389E-3</v>
          </cell>
          <cell r="K50">
            <v>3.375635157271459E-3</v>
          </cell>
          <cell r="L50">
            <v>3.2942277323968032E-3</v>
          </cell>
          <cell r="M50">
            <v>4.4480486395297404E-3</v>
          </cell>
        </row>
        <row r="51">
          <cell r="B51">
            <v>2.7854736791334878E-2</v>
          </cell>
          <cell r="C51">
            <v>2.9488502928377014E-2</v>
          </cell>
          <cell r="D51">
            <v>0.12011811365672635</v>
          </cell>
          <cell r="E51">
            <v>0.12003272881203925</v>
          </cell>
          <cell r="F51">
            <v>0.12006799938977032</v>
          </cell>
          <cell r="G51">
            <v>5.131604686758532E-2</v>
          </cell>
          <cell r="H51">
            <v>0</v>
          </cell>
          <cell r="I51">
            <v>0</v>
          </cell>
          <cell r="J51">
            <v>1.7705100431876994E-3</v>
          </cell>
          <cell r="K51">
            <v>4.285368244908115E-3</v>
          </cell>
          <cell r="L51">
            <v>3.2871089539334253E-3</v>
          </cell>
          <cell r="M51">
            <v>8.5881153960563148E-3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1.8509674011911994E-3</v>
          </cell>
          <cell r="K52">
            <v>3.5305982153151028E-3</v>
          </cell>
          <cell r="L52">
            <v>2.7313815040371043E-3</v>
          </cell>
          <cell r="M52">
            <v>5.8925519533267337E-3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8.1565128511263459E-4</v>
          </cell>
          <cell r="F53">
            <v>1.3499878879191542E-3</v>
          </cell>
          <cell r="G53">
            <v>0.15941994015896085</v>
          </cell>
          <cell r="H53">
            <v>0.19771130469827419</v>
          </cell>
          <cell r="I53">
            <v>0.1933917394824605</v>
          </cell>
          <cell r="J53">
            <v>0.19233282846302691</v>
          </cell>
          <cell r="K53">
            <v>0.19065765533664669</v>
          </cell>
          <cell r="L53">
            <v>0.19051252459722892</v>
          </cell>
          <cell r="M53">
            <v>0.18507199291808546</v>
          </cell>
        </row>
        <row r="54">
          <cell r="B54">
            <v>0.95936515910894415</v>
          </cell>
          <cell r="C54">
            <v>1.1059547725578278</v>
          </cell>
          <cell r="D54">
            <v>1.1060283951214467</v>
          </cell>
          <cell r="E54">
            <v>1.1060293669229284</v>
          </cell>
          <cell r="F54">
            <v>1.4432869015830698</v>
          </cell>
          <cell r="G54">
            <v>1.4433537656934574</v>
          </cell>
          <cell r="H54">
            <v>3.1982072325275448</v>
          </cell>
          <cell r="I54">
            <v>3.4299870972750695</v>
          </cell>
          <cell r="J54">
            <v>4.1211857303284294</v>
          </cell>
          <cell r="K54">
            <v>5.2972260822846771</v>
          </cell>
          <cell r="L54">
            <v>5.4823209574407219</v>
          </cell>
          <cell r="M54">
            <v>5.4828702188071317</v>
          </cell>
        </row>
        <row r="55">
          <cell r="B55">
            <v>0.59440070871766748</v>
          </cell>
          <cell r="C55">
            <v>0.62587358998259968</v>
          </cell>
          <cell r="D55">
            <v>1.1856852971159655</v>
          </cell>
          <cell r="E55">
            <v>1.2988023941144442</v>
          </cell>
          <cell r="F55">
            <v>1.2528534270171676</v>
          </cell>
          <cell r="G55">
            <v>0.7662691275162381</v>
          </cell>
          <cell r="H55">
            <v>0</v>
          </cell>
          <cell r="I55">
            <v>0</v>
          </cell>
          <cell r="J55">
            <v>1.8795932817530802E-3</v>
          </cell>
          <cell r="K55">
            <v>1.7609892139568571E-3</v>
          </cell>
          <cell r="L55">
            <v>1.3508186289412129E-3</v>
          </cell>
          <cell r="M55">
            <v>3.1494596183481334E-3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6.0885938803920006E-4</v>
          </cell>
          <cell r="F56">
            <v>6.4010908123798393E-4</v>
          </cell>
          <cell r="G56">
            <v>6.1380452915575697E-3</v>
          </cell>
          <cell r="H56">
            <v>5.2157710088484369E-3</v>
          </cell>
          <cell r="I56">
            <v>2.3700378397495886E-3</v>
          </cell>
          <cell r="J56">
            <v>3.0636877520323872E-3</v>
          </cell>
          <cell r="K56">
            <v>2.1715986257732495E-3</v>
          </cell>
          <cell r="L56">
            <v>1.7961429428854298E-3</v>
          </cell>
          <cell r="M56">
            <v>3.3299485827147997E-3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1.167977495332232E-3</v>
          </cell>
          <cell r="F57">
            <v>2.984652341344081E-3</v>
          </cell>
          <cell r="G57">
            <v>1.5377672504737063E-2</v>
          </cell>
          <cell r="H57">
            <v>6.0366294644802344E-2</v>
          </cell>
          <cell r="I57">
            <v>9.0524244477773172E-2</v>
          </cell>
          <cell r="J57">
            <v>7.4390328090462712E-2</v>
          </cell>
          <cell r="K57">
            <v>2.8677243535230667E-2</v>
          </cell>
          <cell r="L57">
            <v>9.4505014439309996E-3</v>
          </cell>
          <cell r="M57">
            <v>2.4830612420623465E-2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8.7682723751276981E-4</v>
          </cell>
          <cell r="K58">
            <v>1.5184271840441477E-3</v>
          </cell>
          <cell r="L58">
            <v>1.1351880157498431E-3</v>
          </cell>
          <cell r="M58">
            <v>2.5515790558276966E-3</v>
          </cell>
        </row>
        <row r="70">
          <cell r="B70">
            <v>9.4521391287464507E-2</v>
          </cell>
          <cell r="C70">
            <v>8.2758519609442763E-3</v>
          </cell>
          <cell r="D70">
            <v>9.1804045415942295E-2</v>
          </cell>
          <cell r="E70">
            <v>4.5054598991910298E-2</v>
          </cell>
          <cell r="F70">
            <v>3.4116555183412313E-2</v>
          </cell>
          <cell r="G70">
            <v>2.8445591156599385E-2</v>
          </cell>
          <cell r="H70">
            <v>3.2332214035711709E-2</v>
          </cell>
          <cell r="I70">
            <v>9.4473007037235657E-2</v>
          </cell>
          <cell r="J70">
            <v>9.4491133755019899E-2</v>
          </cell>
          <cell r="K70">
            <v>9.4490908151859371E-2</v>
          </cell>
          <cell r="L70">
            <v>9.4491808012068995E-2</v>
          </cell>
          <cell r="M70">
            <v>9.4494432671527864E-2</v>
          </cell>
        </row>
        <row r="71">
          <cell r="B71">
            <v>2.5929973987593733E-3</v>
          </cell>
          <cell r="C71">
            <v>2.0814658566083691E-3</v>
          </cell>
          <cell r="D71">
            <v>2.5600052789903158E-3</v>
          </cell>
          <cell r="E71">
            <v>2.5672869768567862E-3</v>
          </cell>
          <cell r="F71">
            <v>0.75427501798289287</v>
          </cell>
          <cell r="G71">
            <v>0.98874897835722564</v>
          </cell>
          <cell r="H71">
            <v>1.0143856814069836</v>
          </cell>
          <cell r="I71">
            <v>1.6690511700745874</v>
          </cell>
          <cell r="J71">
            <v>1.9606871611276508</v>
          </cell>
          <cell r="K71">
            <v>2.0452429280471898</v>
          </cell>
          <cell r="L71">
            <v>2.0455657520515067</v>
          </cell>
          <cell r="M71">
            <v>2.1949841375509713</v>
          </cell>
        </row>
        <row r="72">
          <cell r="B72">
            <v>2.3582902053886213E-3</v>
          </cell>
          <cell r="C72">
            <v>1.9006330160724946E-3</v>
          </cell>
          <cell r="D72">
            <v>2.3136614723277705E-3</v>
          </cell>
          <cell r="E72">
            <v>2.4164163248021407E-3</v>
          </cell>
          <cell r="F72">
            <v>2.9717800761090509E-2</v>
          </cell>
          <cell r="G72">
            <v>6.2101445412051058E-2</v>
          </cell>
          <cell r="H72">
            <v>1.0560661511930438</v>
          </cell>
          <cell r="I72">
            <v>2.0466227657332676</v>
          </cell>
          <cell r="J72">
            <v>2.4036985905919015</v>
          </cell>
          <cell r="K72">
            <v>1.7690861196609411</v>
          </cell>
          <cell r="L72">
            <v>2.052405164077308</v>
          </cell>
          <cell r="M72">
            <v>2.2131445241531362</v>
          </cell>
        </row>
        <row r="73">
          <cell r="B73">
            <v>7.6058254464362479E-4</v>
          </cell>
          <cell r="C73">
            <v>7.6025804932585588E-4</v>
          </cell>
          <cell r="D73">
            <v>7.6273177205066407E-4</v>
          </cell>
          <cell r="E73">
            <v>4.5772147845089588E-2</v>
          </cell>
          <cell r="F73">
            <v>0.13595519210100865</v>
          </cell>
          <cell r="G73">
            <v>0.22014636111454788</v>
          </cell>
          <cell r="H73">
            <v>0.25991501996730676</v>
          </cell>
          <cell r="I73">
            <v>0.29855116051100361</v>
          </cell>
          <cell r="J73">
            <v>0.31498747645024244</v>
          </cell>
          <cell r="K73">
            <v>0.32900955579016683</v>
          </cell>
          <cell r="L73">
            <v>0.4079654136188714</v>
          </cell>
          <cell r="M73">
            <v>0.34522581435992611</v>
          </cell>
        </row>
        <row r="74">
          <cell r="B74">
            <v>1.5276668059797912E-3</v>
          </cell>
          <cell r="C74">
            <v>1.5269526732617021E-3</v>
          </cell>
          <cell r="D74">
            <v>1.5323027429082017E-3</v>
          </cell>
          <cell r="E74">
            <v>4.9798719918788828E-2</v>
          </cell>
          <cell r="F74">
            <v>7.9203283513010078E-2</v>
          </cell>
          <cell r="G74">
            <v>6.5958502633009466E-2</v>
          </cell>
          <cell r="H74">
            <v>8.8733053181788257E-2</v>
          </cell>
          <cell r="I74">
            <v>0.11230916844842712</v>
          </cell>
          <cell r="J74">
            <v>9.5384404730633462E-2</v>
          </cell>
          <cell r="K74">
            <v>0.14531463346646428</v>
          </cell>
          <cell r="L74">
            <v>0.13118449345055078</v>
          </cell>
          <cell r="M74">
            <v>0.16926913894719459</v>
          </cell>
        </row>
        <row r="75">
          <cell r="B75">
            <v>1.5265432817350394E-3</v>
          </cell>
          <cell r="C75">
            <v>1.5258227580227835E-3</v>
          </cell>
          <cell r="D75">
            <v>1.5309175961380267E-3</v>
          </cell>
          <cell r="E75">
            <v>6.0349075629301863E-2</v>
          </cell>
          <cell r="F75">
            <v>0.13371723457454338</v>
          </cell>
          <cell r="G75">
            <v>0.10582931658332602</v>
          </cell>
          <cell r="H75">
            <v>9.0414542648470694E-2</v>
          </cell>
          <cell r="I75">
            <v>0.14186928007042773</v>
          </cell>
          <cell r="J75">
            <v>0.16166318955873338</v>
          </cell>
          <cell r="K75">
            <v>0.14816943870319693</v>
          </cell>
          <cell r="L75">
            <v>0.1308865733837854</v>
          </cell>
          <cell r="M75">
            <v>0.16960785094682446</v>
          </cell>
        </row>
        <row r="76">
          <cell r="B76">
            <v>7.6348197231023535E-4</v>
          </cell>
          <cell r="C76">
            <v>7.6316082917820421E-4</v>
          </cell>
          <cell r="D76">
            <v>7.6551109010405515E-4</v>
          </cell>
          <cell r="E76">
            <v>3.9335832256712208E-2</v>
          </cell>
          <cell r="F76">
            <v>0.10914978087928784</v>
          </cell>
          <cell r="G76">
            <v>7.940608880032006E-2</v>
          </cell>
          <cell r="H76">
            <v>5.8084492019711172E-2</v>
          </cell>
          <cell r="I76">
            <v>9.636110146647435E-2</v>
          </cell>
          <cell r="J76">
            <v>0.11367871114470497</v>
          </cell>
          <cell r="K76">
            <v>9.8813639987284763E-2</v>
          </cell>
          <cell r="L76">
            <v>8.7468702780494526E-2</v>
          </cell>
          <cell r="M76">
            <v>0.11352827828244375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3.112122599239399E-4</v>
          </cell>
          <cell r="H90">
            <v>3.120178967371002E-4</v>
          </cell>
          <cell r="I90">
            <v>3.1331970745377444E-4</v>
          </cell>
          <cell r="J90">
            <v>3.1386321091420532E-4</v>
          </cell>
          <cell r="K90">
            <v>3.1549494275742387E-4</v>
          </cell>
          <cell r="L90">
            <v>3.193863036971898E-4</v>
          </cell>
          <cell r="M90">
            <v>5.4164293879879516E-4</v>
          </cell>
        </row>
        <row r="91">
          <cell r="B91">
            <v>1.8035509852617722</v>
          </cell>
          <cell r="C91">
            <v>3.9571700478578491E-4</v>
          </cell>
          <cell r="D91">
            <v>2.3821180805159259E-3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0.47912260570694015</v>
          </cell>
          <cell r="C92">
            <v>0.24917947025001569</v>
          </cell>
          <cell r="D92">
            <v>0.21646563581921027</v>
          </cell>
          <cell r="E92">
            <v>2.4852337711385813E-3</v>
          </cell>
          <cell r="F92">
            <v>5.1693196301959817E-3</v>
          </cell>
          <cell r="G92">
            <v>1.8877652407582941</v>
          </cell>
          <cell r="H92">
            <v>2.9316264946500059</v>
          </cell>
          <cell r="I92">
            <v>3.8420948798122181</v>
          </cell>
          <cell r="J92">
            <v>3.9586421842789603</v>
          </cell>
          <cell r="K92">
            <v>3.7808384817944245</v>
          </cell>
          <cell r="L92">
            <v>3.9713531819903105</v>
          </cell>
          <cell r="M92">
            <v>4.0091367885576981</v>
          </cell>
        </row>
        <row r="93">
          <cell r="B93">
            <v>14.461260844411518</v>
          </cell>
          <cell r="C93">
            <v>13.051647917369987</v>
          </cell>
          <cell r="D93">
            <v>13.178224698632114</v>
          </cell>
          <cell r="E93">
            <v>12.779633841584221</v>
          </cell>
          <cell r="F93">
            <v>12.342946312727591</v>
          </cell>
          <cell r="G93">
            <v>12.115052892112054</v>
          </cell>
          <cell r="H93">
            <v>10.995366492995586</v>
          </cell>
          <cell r="I93">
            <v>10.865288149258113</v>
          </cell>
          <cell r="J93">
            <v>10.757712776634072</v>
          </cell>
          <cell r="K93">
            <v>10.757712024975209</v>
          </cell>
          <cell r="L93">
            <v>10.757711210115456</v>
          </cell>
          <cell r="M93">
            <v>10.757713370817113</v>
          </cell>
        </row>
        <row r="94">
          <cell r="B94">
            <v>9.2603734493201511E-3</v>
          </cell>
          <cell r="C94">
            <v>1.1784767019189121E-4</v>
          </cell>
          <cell r="D94">
            <v>3.6927499099483315E-3</v>
          </cell>
          <cell r="E94">
            <v>1.2394231808887087E-3</v>
          </cell>
          <cell r="F94">
            <v>4.9370389399298051E-4</v>
          </cell>
          <cell r="G94">
            <v>3.2140895362112185E-3</v>
          </cell>
          <cell r="H94">
            <v>1.9513050913576783E-3</v>
          </cell>
          <cell r="I94">
            <v>7.1321271424165059E-6</v>
          </cell>
          <cell r="J94">
            <v>2.2634355734610522E-4</v>
          </cell>
          <cell r="K94">
            <v>2.2345948655308676E-4</v>
          </cell>
          <cell r="L94">
            <v>2.230651330434712E-4</v>
          </cell>
          <cell r="M94">
            <v>2.3135469265426063E-4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0.30563339137544698</v>
          </cell>
          <cell r="H96">
            <v>0.90022826235185494</v>
          </cell>
          <cell r="I96">
            <v>1.3588716407591843</v>
          </cell>
          <cell r="J96">
            <v>1.3588710614352153</v>
          </cell>
          <cell r="K96">
            <v>1.358872721269875</v>
          </cell>
          <cell r="L96">
            <v>1.3588751754056108</v>
          </cell>
          <cell r="M96">
            <v>1.3588997569037702</v>
          </cell>
        </row>
        <row r="97">
          <cell r="B97">
            <v>1.7329000527855167</v>
          </cell>
          <cell r="C97">
            <v>1.5870720525343713</v>
          </cell>
          <cell r="D97">
            <v>1.581045133420607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>
            <v>0.90177548055964152</v>
          </cell>
          <cell r="C98">
            <v>0.90177422966307608</v>
          </cell>
          <cell r="D98">
            <v>0.90177470518507408</v>
          </cell>
          <cell r="E98">
            <v>0.90177507722987804</v>
          </cell>
          <cell r="F98">
            <v>0.90181155820059988</v>
          </cell>
          <cell r="G98">
            <v>0.90181249014360743</v>
          </cell>
          <cell r="H98">
            <v>0.9018107314390349</v>
          </cell>
          <cell r="I98">
            <v>0.90181406142816545</v>
          </cell>
          <cell r="J98">
            <v>0.90181140116589298</v>
          </cell>
          <cell r="K98">
            <v>2.1936406334543288</v>
          </cell>
          <cell r="L98">
            <v>5.3223209030099925</v>
          </cell>
          <cell r="M98">
            <v>8.0726699100139125</v>
          </cell>
        </row>
        <row r="99">
          <cell r="B99">
            <v>2.9000150635446222</v>
          </cell>
          <cell r="C99">
            <v>7.6036763478872045</v>
          </cell>
          <cell r="D99">
            <v>7.6028576756491333</v>
          </cell>
          <cell r="E99">
            <v>2.3004930706992024</v>
          </cell>
          <cell r="F99">
            <v>1.7123205378434525</v>
          </cell>
          <cell r="G99">
            <v>0</v>
          </cell>
          <cell r="H99">
            <v>0</v>
          </cell>
          <cell r="I99">
            <v>0</v>
          </cell>
          <cell r="J99">
            <v>4.6611279954164004</v>
          </cell>
          <cell r="K99">
            <v>9.3353637957245361</v>
          </cell>
          <cell r="L99">
            <v>9.3353632069584442</v>
          </cell>
          <cell r="M99">
            <v>9.3353853783738909</v>
          </cell>
        </row>
        <row r="100">
          <cell r="B100">
            <v>0.18406650092938465</v>
          </cell>
          <cell r="C100">
            <v>0.18585123292821853</v>
          </cell>
          <cell r="D100">
            <v>5.267802440144656E-2</v>
          </cell>
          <cell r="E100">
            <v>5.3132593685571133E-2</v>
          </cell>
          <cell r="F100">
            <v>5.846690304069723E-4</v>
          </cell>
          <cell r="G100">
            <v>5.5982942098308904E-5</v>
          </cell>
          <cell r="H100">
            <v>3.0300172462649423E-4</v>
          </cell>
          <cell r="I100">
            <v>4.6509930040747159E-5</v>
          </cell>
          <cell r="J100">
            <v>1.5309657933697258E-6</v>
          </cell>
          <cell r="K100">
            <v>1.5316757942074511E-7</v>
          </cell>
          <cell r="L100">
            <v>9.5018092833330056E-7</v>
          </cell>
          <cell r="M100">
            <v>4.9329772387598305E-7</v>
          </cell>
        </row>
        <row r="101">
          <cell r="B101">
            <v>2.0359680736478922</v>
          </cell>
          <cell r="C101">
            <v>1.8374609832207596</v>
          </cell>
          <cell r="D101">
            <v>1.5754054031536835</v>
          </cell>
          <cell r="E101">
            <v>3.6056795808039332</v>
          </cell>
          <cell r="F101">
            <v>3.3891406460936278</v>
          </cell>
          <cell r="G101">
            <v>2.6224526343538201</v>
          </cell>
          <cell r="H101">
            <v>2.0292048811631829</v>
          </cell>
          <cell r="I101">
            <v>1.5701659440348414</v>
          </cell>
          <cell r="J101">
            <v>1.2149586390630274</v>
          </cell>
          <cell r="K101">
            <v>0.94011471102055821</v>
          </cell>
          <cell r="L101">
            <v>0.72744262046586761</v>
          </cell>
          <cell r="M101">
            <v>0.56292127973259642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3.7818176694793667E-5</v>
          </cell>
          <cell r="F102">
            <v>6.0196400965602759E-5</v>
          </cell>
          <cell r="G102">
            <v>6.0842394687490188E-5</v>
          </cell>
          <cell r="H102">
            <v>6.1895146483664258E-5</v>
          </cell>
          <cell r="I102">
            <v>6.5597471546425295E-5</v>
          </cell>
          <cell r="J102">
            <v>6.5953903866810442E-5</v>
          </cell>
          <cell r="K102">
            <v>6.8347400139015266E-5</v>
          </cell>
          <cell r="L102">
            <v>7.1074217713085398E-5</v>
          </cell>
          <cell r="M102">
            <v>1.400638831387823E-4</v>
          </cell>
        </row>
        <row r="103">
          <cell r="F103">
            <v>0.4239291129499419</v>
          </cell>
          <cell r="G103">
            <v>0.75398086808563092</v>
          </cell>
          <cell r="H103">
            <v>0.7463271999107064</v>
          </cell>
          <cell r="I103">
            <v>0.73941204288200746</v>
          </cell>
          <cell r="J103">
            <v>0.73898639960717649</v>
          </cell>
          <cell r="K103">
            <v>0.62012085879382028</v>
          </cell>
          <cell r="L103">
            <v>0.73915686066490061</v>
          </cell>
          <cell r="M103">
            <v>0.73963583134742528</v>
          </cell>
        </row>
        <row r="104">
          <cell r="B104">
            <v>0.92933060974984127</v>
          </cell>
          <cell r="C104">
            <v>2.072278539732801</v>
          </cell>
          <cell r="D104">
            <v>9.0992925945108813E-2</v>
          </cell>
          <cell r="E104">
            <v>1.3164212358740199</v>
          </cell>
          <cell r="F104">
            <v>0.84865969751812875</v>
          </cell>
          <cell r="G104">
            <v>0</v>
          </cell>
          <cell r="H104">
            <v>0</v>
          </cell>
          <cell r="I104">
            <v>0</v>
          </cell>
          <cell r="J104">
            <v>0.26171623929181637</v>
          </cell>
          <cell r="K104">
            <v>0.26122462936035468</v>
          </cell>
          <cell r="L104">
            <v>0.37781685127118259</v>
          </cell>
          <cell r="M104">
            <v>0.3752068843669456</v>
          </cell>
        </row>
        <row r="105">
          <cell r="B105">
            <v>0.65961324930952603</v>
          </cell>
          <cell r="C105">
            <v>0.85836702379577445</v>
          </cell>
          <cell r="D105">
            <v>3.3631168176266075</v>
          </cell>
          <cell r="E105">
            <v>3.2550987573717522</v>
          </cell>
          <cell r="F105">
            <v>3.2510340481196658</v>
          </cell>
          <cell r="G105">
            <v>6.7545599340831224</v>
          </cell>
          <cell r="H105">
            <v>8.1690309322400783</v>
          </cell>
          <cell r="I105">
            <v>9.1937847931614218</v>
          </cell>
          <cell r="J105">
            <v>9.1176651676548719</v>
          </cell>
          <cell r="K105">
            <v>9.1939107779879734</v>
          </cell>
          <cell r="L105">
            <v>9.1719664583161808</v>
          </cell>
          <cell r="M105">
            <v>9.1942620733263851</v>
          </cell>
        </row>
        <row r="106">
          <cell r="B106">
            <v>1.9347926511265963</v>
          </cell>
          <cell r="C106">
            <v>1.8587665077795834</v>
          </cell>
          <cell r="D106">
            <v>2.5502871241423537</v>
          </cell>
          <cell r="E106">
            <v>2.243330358406173</v>
          </cell>
          <cell r="F106">
            <v>1.9426654011197206</v>
          </cell>
          <cell r="G106">
            <v>1.6330998224358284</v>
          </cell>
          <cell r="H106">
            <v>2.5189218421588642</v>
          </cell>
          <cell r="I106">
            <v>2.0114194512814212</v>
          </cell>
          <cell r="J106">
            <v>2.0113757161382639</v>
          </cell>
          <cell r="K106">
            <v>2.0111712115916855</v>
          </cell>
          <cell r="L106">
            <v>2.0113871862231427</v>
          </cell>
          <cell r="M106">
            <v>2.0114773770080512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1.4879417098979028E-4</v>
          </cell>
          <cell r="F107">
            <v>2.2432635994312834E-4</v>
          </cell>
          <cell r="G107">
            <v>1.9217257539161515E-3</v>
          </cell>
          <cell r="H107">
            <v>1.2738342101888038E-3</v>
          </cell>
          <cell r="I107">
            <v>3.9569551350233185E-4</v>
          </cell>
          <cell r="J107">
            <v>5.5205535408067317E-4</v>
          </cell>
          <cell r="K107">
            <v>1.1430045131604226E-3</v>
          </cell>
          <cell r="L107">
            <v>4.9050050728856179E-4</v>
          </cell>
          <cell r="M107">
            <v>3.1865124747921652E-4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5.3338300104569846E-3</v>
          </cell>
          <cell r="F108">
            <v>0.50803057365529991</v>
          </cell>
          <cell r="G108">
            <v>1.7678934148356868</v>
          </cell>
          <cell r="H108">
            <v>2.2164232337746399</v>
          </cell>
          <cell r="I108">
            <v>2.0149307832804788</v>
          </cell>
          <cell r="J108">
            <v>2.0149311630396722</v>
          </cell>
          <cell r="K108">
            <v>2.0149304658144209</v>
          </cell>
          <cell r="L108">
            <v>2.0149308369741639</v>
          </cell>
          <cell r="M108">
            <v>2.0149319126491148</v>
          </cell>
        </row>
        <row r="109">
          <cell r="B109">
            <v>3.3692168423317098E-2</v>
          </cell>
          <cell r="C109">
            <v>5.8161990361386001E-3</v>
          </cell>
          <cell r="D109">
            <v>1.7563509321741489E-2</v>
          </cell>
          <cell r="E109">
            <v>1.3534560311222337E-2</v>
          </cell>
          <cell r="F109">
            <v>1.3059546224028681E-2</v>
          </cell>
          <cell r="G109">
            <v>5.6504516437718023E-3</v>
          </cell>
          <cell r="H109">
            <v>0</v>
          </cell>
          <cell r="I109">
            <v>0</v>
          </cell>
          <cell r="J109">
            <v>6.7146253278946126E-3</v>
          </cell>
          <cell r="K109">
            <v>8.953124122691879E-3</v>
          </cell>
          <cell r="L109">
            <v>1.1308826355198302E-2</v>
          </cell>
          <cell r="M109">
            <v>1.5717153520252672E-2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1.4837968589978905E-3</v>
          </cell>
          <cell r="F110">
            <v>2.4456826247707128E-3</v>
          </cell>
          <cell r="G110">
            <v>1.0459662917424145E-2</v>
          </cell>
          <cell r="H110">
            <v>1.2959157375000408E-2</v>
          </cell>
          <cell r="I110">
            <v>1.6182505371724311E-2</v>
          </cell>
          <cell r="J110">
            <v>8.5657676386444448E-3</v>
          </cell>
          <cell r="K110">
            <v>8.3895214428776777E-3</v>
          </cell>
          <cell r="L110">
            <v>8.1871982341256179E-3</v>
          </cell>
          <cell r="M110">
            <v>1.1054808266205267E-2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6.0512014408762027E-2</v>
          </cell>
          <cell r="C112">
            <v>6.3437565610057992E-2</v>
          </cell>
          <cell r="D112">
            <v>0.25459517423333744</v>
          </cell>
          <cell r="E112">
            <v>0.2480676395448817</v>
          </cell>
          <cell r="F112">
            <v>0.24512242935529091</v>
          </cell>
          <cell r="G112">
            <v>0.10347334040513101</v>
          </cell>
          <cell r="H112">
            <v>0</v>
          </cell>
          <cell r="I112">
            <v>0</v>
          </cell>
          <cell r="J112">
            <v>7.1858416615581955E-3</v>
          </cell>
          <cell r="K112">
            <v>1.5493695235126812E-2</v>
          </cell>
          <cell r="L112">
            <v>1.1930945143233521E-2</v>
          </cell>
          <cell r="M112">
            <v>2.8684298718248142E-2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2.1697127781321341E-3</v>
          </cell>
          <cell r="F113">
            <v>3.5911007855977529E-3</v>
          </cell>
          <cell r="G113">
            <v>0.42407274722088129</v>
          </cell>
          <cell r="H113">
            <v>0.5259315494436857</v>
          </cell>
          <cell r="I113">
            <v>0.51444108039669301</v>
          </cell>
          <cell r="J113">
            <v>0.51162427275879141</v>
          </cell>
          <cell r="K113">
            <v>0.50716814720093262</v>
          </cell>
          <cell r="L113">
            <v>0.50678208513548617</v>
          </cell>
          <cell r="M113">
            <v>0.49230973485599117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>
            <v>1.4243091839913171</v>
          </cell>
          <cell r="C115">
            <v>1.5783396211976675</v>
          </cell>
          <cell r="D115">
            <v>1.4830354095727802</v>
          </cell>
          <cell r="E115">
            <v>1.3240211054326432</v>
          </cell>
          <cell r="F115">
            <v>1.52024641131919</v>
          </cell>
          <cell r="G115">
            <v>1.3128035664411679</v>
          </cell>
          <cell r="H115">
            <v>2.908931933996707</v>
          </cell>
          <cell r="I115">
            <v>3.1197474944657766</v>
          </cell>
          <cell r="J115">
            <v>3.748427761327275</v>
          </cell>
          <cell r="K115">
            <v>4.8180961995324578</v>
          </cell>
          <cell r="L115">
            <v>4.9864493905591152</v>
          </cell>
          <cell r="M115">
            <v>4.9869489716721223</v>
          </cell>
        </row>
        <row r="116">
          <cell r="B116">
            <v>0.69257956095250173</v>
          </cell>
          <cell r="C116">
            <v>0.75020685511250096</v>
          </cell>
          <cell r="D116">
            <v>1.480778213779143</v>
          </cell>
          <cell r="E116">
            <v>1.7307664316530071</v>
          </cell>
          <cell r="F116">
            <v>1.7744078013237699</v>
          </cell>
          <cell r="G116">
            <v>1.1494036912743557</v>
          </cell>
          <cell r="H116">
            <v>0</v>
          </cell>
          <cell r="I116">
            <v>0</v>
          </cell>
          <cell r="J116">
            <v>2.8193899226296201E-3</v>
          </cell>
          <cell r="K116">
            <v>2.6414838209352859E-3</v>
          </cell>
          <cell r="L116">
            <v>2.0262279434118194E-3</v>
          </cell>
          <cell r="M116">
            <v>4.7241894275221984E-3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9.730598439625785E-4</v>
          </cell>
          <cell r="F117">
            <v>1.0009546572428763E-3</v>
          </cell>
          <cell r="G117">
            <v>9.3868012384784559E-3</v>
          </cell>
          <cell r="H117">
            <v>7.818122334551909E-3</v>
          </cell>
          <cell r="I117">
            <v>3.4806282314056433E-3</v>
          </cell>
          <cell r="J117">
            <v>4.4993197589884553E-3</v>
          </cell>
          <cell r="K117">
            <v>3.1892011837864514E-3</v>
          </cell>
          <cell r="L117">
            <v>2.6378084475257089E-3</v>
          </cell>
          <cell r="M117">
            <v>4.8903493656248702E-3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2.5456274637467518E-4</v>
          </cell>
          <cell r="K118">
            <v>4.4083369859346201E-4</v>
          </cell>
          <cell r="L118">
            <v>3.29570714249954E-4</v>
          </cell>
          <cell r="M118">
            <v>7.4078101620804037E-4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8.7905674648688947E-4</v>
          </cell>
          <cell r="F119">
            <v>2.0627845762642184E-3</v>
          </cell>
          <cell r="G119">
            <v>9.6822382437233446E-3</v>
          </cell>
          <cell r="H119">
            <v>3.6064243660582418E-2</v>
          </cell>
          <cell r="I119">
            <v>5.1165877313523983E-2</v>
          </cell>
          <cell r="J119">
            <v>4.2046707181565904E-2</v>
          </cell>
          <cell r="K119">
            <v>1.6208876780782564E-2</v>
          </cell>
          <cell r="L119">
            <v>5.3415877726566531E-3</v>
          </cell>
          <cell r="M119">
            <v>1.4034693976874138E-2</v>
          </cell>
        </row>
        <row r="123">
          <cell r="B123">
            <v>0</v>
          </cell>
          <cell r="C123">
            <v>3.8576989161071156</v>
          </cell>
          <cell r="D123">
            <v>3.9745921197646603</v>
          </cell>
          <cell r="E123">
            <v>4.4338933211905696</v>
          </cell>
          <cell r="F123">
            <v>5.6719041851008525</v>
          </cell>
          <cell r="G123">
            <v>5.9612293972838666</v>
          </cell>
          <cell r="H123">
            <v>6.2653136644098417</v>
          </cell>
          <cell r="I123">
            <v>6.5870201410791207</v>
          </cell>
          <cell r="J123">
            <v>6.9230245701254027</v>
          </cell>
          <cell r="K123">
            <v>7.2763040039433093</v>
          </cell>
          <cell r="L123">
            <v>7.6474756217842543</v>
          </cell>
          <cell r="M123">
            <v>8.039190142305646</v>
          </cell>
        </row>
      </sheetData>
      <sheetData sheetId="59">
        <row r="13">
          <cell r="B13">
            <v>16.052401813790713</v>
          </cell>
          <cell r="C13">
            <v>20.042878954190837</v>
          </cell>
          <cell r="D13">
            <v>6.842322133588441</v>
          </cell>
          <cell r="E13">
            <v>15.980461799796934</v>
          </cell>
          <cell r="F13">
            <v>16.344365101913795</v>
          </cell>
          <cell r="G13">
            <v>16.412655757029377</v>
          </cell>
          <cell r="H13">
            <v>16.520805079620462</v>
          </cell>
          <cell r="I13">
            <v>16.621706604366633</v>
          </cell>
          <cell r="J13">
            <v>16.672231792815776</v>
          </cell>
          <cell r="K13">
            <v>18.137848794613991</v>
          </cell>
          <cell r="L13">
            <v>18.589530519621402</v>
          </cell>
          <cell r="M13">
            <v>18.520849009813684</v>
          </cell>
        </row>
        <row r="14">
          <cell r="B14">
            <v>250.94818047858215</v>
          </cell>
          <cell r="C14">
            <v>254.3924508428228</v>
          </cell>
          <cell r="D14">
            <v>224.18651727165295</v>
          </cell>
          <cell r="E14">
            <v>221.53741709702842</v>
          </cell>
          <cell r="F14">
            <v>190.48232501039547</v>
          </cell>
          <cell r="G14">
            <v>100.03205193756989</v>
          </cell>
          <cell r="H14">
            <v>0</v>
          </cell>
          <cell r="I14">
            <v>0</v>
          </cell>
          <cell r="J14">
            <v>50.72044952530392</v>
          </cell>
          <cell r="K14">
            <v>111.87545287452092</v>
          </cell>
          <cell r="L14">
            <v>112.123508705151</v>
          </cell>
          <cell r="M14">
            <v>112.18734343512267</v>
          </cell>
        </row>
        <row r="15">
          <cell r="B15">
            <v>66.745680087465431</v>
          </cell>
          <cell r="C15">
            <v>49.798799106154775</v>
          </cell>
          <cell r="D15">
            <v>68.756548342148591</v>
          </cell>
          <cell r="E15">
            <v>70.431431991876849</v>
          </cell>
          <cell r="F15">
            <v>71.413370097589095</v>
          </cell>
          <cell r="G15">
            <v>72.497374580585273</v>
          </cell>
          <cell r="H15">
            <v>73.751646859582706</v>
          </cell>
          <cell r="I15">
            <v>74.835796597747816</v>
          </cell>
          <cell r="J15">
            <v>74.835824674890546</v>
          </cell>
          <cell r="K15">
            <v>74.835633381732961</v>
          </cell>
          <cell r="L15">
            <v>74.835599397676688</v>
          </cell>
          <cell r="M15">
            <v>74.836042706184401</v>
          </cell>
        </row>
        <row r="16">
          <cell r="B16">
            <v>66.632400805689144</v>
          </cell>
          <cell r="C16">
            <v>55.763999647395103</v>
          </cell>
          <cell r="D16">
            <v>65.553185207249157</v>
          </cell>
          <cell r="E16">
            <v>64.716636921875647</v>
          </cell>
          <cell r="F16">
            <v>63.735226441582611</v>
          </cell>
          <cell r="G16">
            <v>62.651228130576513</v>
          </cell>
          <cell r="H16">
            <v>61.5655219472916</v>
          </cell>
          <cell r="I16">
            <v>60.481377772266136</v>
          </cell>
          <cell r="J16">
            <v>60.481350320315187</v>
          </cell>
          <cell r="K16">
            <v>60.4815432061556</v>
          </cell>
          <cell r="L16">
            <v>60.481578029869766</v>
          </cell>
          <cell r="M16">
            <v>60.481139186772893</v>
          </cell>
        </row>
        <row r="18">
          <cell r="B18">
            <v>0.11902351751069486</v>
          </cell>
          <cell r="C18">
            <v>6.0620435093475158E-4</v>
          </cell>
          <cell r="D18">
            <v>7.2847820256951397E-3</v>
          </cell>
          <cell r="E18">
            <v>1.1404575063778391E-3</v>
          </cell>
          <cell r="F18">
            <v>8.6081638436725323E-4</v>
          </cell>
          <cell r="G18">
            <v>0.49196638440956197</v>
          </cell>
          <cell r="H18">
            <v>0.49600308026867973</v>
          </cell>
          <cell r="I18">
            <v>1.6581510293310675E-5</v>
          </cell>
          <cell r="J18">
            <v>4.3282969638395062E-3</v>
          </cell>
          <cell r="K18">
            <v>5.4967331366202431E-3</v>
          </cell>
          <cell r="L18">
            <v>3.4577259424997354E-3</v>
          </cell>
          <cell r="M18">
            <v>7.3114560332188201E-3</v>
          </cell>
        </row>
        <row r="19">
          <cell r="B19">
            <v>18.203591222197037</v>
          </cell>
          <cell r="C19">
            <v>20.42978413448283</v>
          </cell>
          <cell r="D19">
            <v>20.734929121320196</v>
          </cell>
          <cell r="E19">
            <v>20.696586653309339</v>
          </cell>
          <cell r="F19">
            <v>20.958777369765308</v>
          </cell>
          <cell r="G19">
            <v>16.299113254704409</v>
          </cell>
          <cell r="H19">
            <v>12.648985925317945</v>
          </cell>
          <cell r="I19">
            <v>13.148337484317034</v>
          </cell>
          <cell r="J19">
            <v>13.018156169881081</v>
          </cell>
          <cell r="K19">
            <v>13.018158040630706</v>
          </cell>
          <cell r="L19">
            <v>13.018156284232534</v>
          </cell>
          <cell r="M19">
            <v>13.01815696464957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5.6554733690676651</v>
          </cell>
          <cell r="H20">
            <v>12.762089587181883</v>
          </cell>
          <cell r="I20">
            <v>13.14740177401972</v>
          </cell>
          <cell r="J20">
            <v>13.017232321436728</v>
          </cell>
          <cell r="K20">
            <v>13.0172315234786</v>
          </cell>
          <cell r="L20">
            <v>13.017230606144171</v>
          </cell>
          <cell r="M20">
            <v>13.017231517151046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1.0699328043895224E-5</v>
          </cell>
          <cell r="H21">
            <v>9.8944390188058167E-6</v>
          </cell>
          <cell r="I21">
            <v>3.4623523573051602E-4</v>
          </cell>
          <cell r="J21">
            <v>2.7851018655878634E-3</v>
          </cell>
          <cell r="K21">
            <v>3.3886727517261094E-3</v>
          </cell>
          <cell r="L21">
            <v>3.3351276093853536E-3</v>
          </cell>
          <cell r="M21">
            <v>5.3598947008992636E-3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8.1121956949062921E-6</v>
          </cell>
          <cell r="H22">
            <v>4.0359731449625953E-6</v>
          </cell>
          <cell r="I22">
            <v>0.11883325503677708</v>
          </cell>
          <cell r="J22">
            <v>2.9450958609029774E-2</v>
          </cell>
          <cell r="K22">
            <v>1.8142948034375887E-2</v>
          </cell>
          <cell r="L22">
            <v>2.0786957089774974E-2</v>
          </cell>
          <cell r="M22">
            <v>1.7902355594976264E-2</v>
          </cell>
          <cell r="P22">
            <v>2.5575597990632399</v>
          </cell>
          <cell r="Q22">
            <v>1.3014633603390522</v>
          </cell>
          <cell r="R22">
            <v>1.4907744961779152</v>
          </cell>
          <cell r="S22">
            <v>1.4108770237529231</v>
          </cell>
          <cell r="T22">
            <v>1.2469698034106091</v>
          </cell>
          <cell r="U22">
            <v>1.0479551666102216</v>
          </cell>
          <cell r="V22">
            <v>0.56882319151569016</v>
          </cell>
          <cell r="W22">
            <v>0.349345139757612</v>
          </cell>
          <cell r="X22">
            <v>4.6589377604188877E-3</v>
          </cell>
          <cell r="Y22">
            <v>5.6897156508303598E-3</v>
          </cell>
          <cell r="Z22">
            <v>5.0095604473959802E-3</v>
          </cell>
          <cell r="AA22">
            <v>6.9269571181289E-3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1.0138651832439108E-5</v>
          </cell>
          <cell r="I23">
            <v>3.5553176723869182E-4</v>
          </cell>
          <cell r="J23">
            <v>8.8850692601001632E-2</v>
          </cell>
          <cell r="K23">
            <v>9.9496962759910795E-2</v>
          </cell>
          <cell r="L23">
            <v>9.6972551863867759E-2</v>
          </cell>
          <cell r="M23">
            <v>9.8399454749589527E-2</v>
          </cell>
          <cell r="P23">
            <v>6.884963950238511E-2</v>
          </cell>
          <cell r="Q23">
            <v>5.8782122129267957E-2</v>
          </cell>
          <cell r="R23">
            <v>0.10495688514823666</v>
          </cell>
          <cell r="S23">
            <v>3.100245778244301E-2</v>
          </cell>
          <cell r="T23">
            <v>3.6673989730866975E-2</v>
          </cell>
          <cell r="U23">
            <v>9.6779243545201593E-2</v>
          </cell>
          <cell r="V23">
            <v>0.1595831976073557</v>
          </cell>
          <cell r="W23">
            <v>0.41142303888212195</v>
          </cell>
          <cell r="X23">
            <v>0.76472393038344766</v>
          </cell>
          <cell r="Y23">
            <v>0.65222261815199845</v>
          </cell>
          <cell r="Z23">
            <v>0.76923949494742405</v>
          </cell>
          <cell r="AA23">
            <v>0.7807003816550786</v>
          </cell>
        </row>
        <row r="24">
          <cell r="B24">
            <v>3.6755476382045105</v>
          </cell>
          <cell r="C24">
            <v>1.0938628914053858E-3</v>
          </cell>
          <cell r="D24">
            <v>5.7724921479911581E-3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1.0398299481333468E-4</v>
          </cell>
          <cell r="K24">
            <v>1.7508620407286697E-4</v>
          </cell>
          <cell r="L24">
            <v>1.3955077070698012E-4</v>
          </cell>
          <cell r="M24">
            <v>2.8301059890972779E-4</v>
          </cell>
        </row>
        <row r="25">
          <cell r="B25">
            <v>0.30464069468003807</v>
          </cell>
          <cell r="C25">
            <v>1.1210156953934073E-3</v>
          </cell>
          <cell r="D25">
            <v>4.4801284564844113E-2</v>
          </cell>
          <cell r="E25">
            <v>3.7538353223716247E-3</v>
          </cell>
          <cell r="F25">
            <v>7.2292565122209365E-3</v>
          </cell>
          <cell r="G25">
            <v>2.3577558989885024</v>
          </cell>
          <cell r="H25">
            <v>3.6652864523652169</v>
          </cell>
          <cell r="I25">
            <v>3.1516824876116853</v>
          </cell>
          <cell r="J25">
            <v>3.069377250238245</v>
          </cell>
          <cell r="K25">
            <v>3.0807563507552</v>
          </cell>
          <cell r="L25">
            <v>3.0781848738831723</v>
          </cell>
          <cell r="M25">
            <v>3.0893291376033627</v>
          </cell>
        </row>
        <row r="26">
          <cell r="B26">
            <v>40.317903202962817</v>
          </cell>
          <cell r="C26">
            <v>38.351505101216524</v>
          </cell>
          <cell r="D26">
            <v>38.406024599326379</v>
          </cell>
          <cell r="E26">
            <v>38.118198249261837</v>
          </cell>
          <cell r="F26">
            <v>37.876943741437955</v>
          </cell>
          <cell r="G26">
            <v>30.837389937293725</v>
          </cell>
          <cell r="H26">
            <v>26.505366545441483</v>
          </cell>
          <cell r="I26">
            <v>27.762302985558016</v>
          </cell>
          <cell r="J26">
            <v>28.447059618777523</v>
          </cell>
          <cell r="K26">
            <v>28.44887695440071</v>
          </cell>
          <cell r="L26">
            <v>28.44950884624874</v>
          </cell>
          <cell r="M26">
            <v>28.449814690390458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6.5634068669487382</v>
          </cell>
          <cell r="H27">
            <v>13.816411943041075</v>
          </cell>
          <cell r="I27">
            <v>13.312391466212652</v>
          </cell>
          <cell r="J27">
            <v>13.180586902942483</v>
          </cell>
          <cell r="K27">
            <v>13.180587268272316</v>
          </cell>
          <cell r="L27">
            <v>13.180585701661625</v>
          </cell>
          <cell r="M27">
            <v>13.180586959497797</v>
          </cell>
        </row>
        <row r="28">
          <cell r="B28">
            <v>2.0493097511514045E-2</v>
          </cell>
          <cell r="C28">
            <v>7.1335379432399147E-4</v>
          </cell>
          <cell r="D28">
            <v>7.3937902793223273E-3</v>
          </cell>
          <cell r="E28">
            <v>2.4366914955960884E-3</v>
          </cell>
          <cell r="F28">
            <v>9.4863671518722779E-4</v>
          </cell>
          <cell r="G28">
            <v>6.2627998281413917E-3</v>
          </cell>
          <cell r="H28">
            <v>3.7657980596695877E-3</v>
          </cell>
          <cell r="I28">
            <v>1.3556799064073458E-5</v>
          </cell>
          <cell r="J28">
            <v>5.5677287578868092E-4</v>
          </cell>
          <cell r="K28">
            <v>6.6030377803845083E-4</v>
          </cell>
          <cell r="L28">
            <v>6.0049273099628856E-4</v>
          </cell>
          <cell r="M28">
            <v>8.2187144230196985E-4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0.59928115955970118</v>
          </cell>
          <cell r="H30">
            <v>1.7312081968304951</v>
          </cell>
          <cell r="I30">
            <v>2.5639087561494094</v>
          </cell>
          <cell r="J30">
            <v>2.563907663085315</v>
          </cell>
          <cell r="K30">
            <v>2.5639107948488262</v>
          </cell>
          <cell r="L30">
            <v>2.5639154252936072</v>
          </cell>
          <cell r="M30">
            <v>2.5639618054788147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2.7378223140703695E-3</v>
          </cell>
          <cell r="H31">
            <v>0.10025475793724008</v>
          </cell>
          <cell r="I31">
            <v>1.414963316389491</v>
          </cell>
          <cell r="J31">
            <v>1.524768161566632</v>
          </cell>
          <cell r="K31">
            <v>1.5280969394034121</v>
          </cell>
          <cell r="L31">
            <v>1.5381840693849342</v>
          </cell>
          <cell r="M31">
            <v>1.5391366667888728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0.1209775552031073</v>
          </cell>
          <cell r="I32">
            <v>0.12100575175929115</v>
          </cell>
          <cell r="J32">
            <v>0.12100089811046801</v>
          </cell>
          <cell r="K32">
            <v>0.1104589620369554</v>
          </cell>
          <cell r="L32">
            <v>0.11197777993116302</v>
          </cell>
          <cell r="M32">
            <v>0.11264959376031791</v>
          </cell>
        </row>
        <row r="33">
          <cell r="B33">
            <v>0.52400000000000047</v>
          </cell>
          <cell r="C33">
            <v>0.54529204320697078</v>
          </cell>
          <cell r="D33">
            <v>0.50316464154052054</v>
          </cell>
          <cell r="E33">
            <v>0.98984228559381826</v>
          </cell>
          <cell r="F33">
            <v>1.0861897355413361</v>
          </cell>
          <cell r="G33">
            <v>1.0863137814254247</v>
          </cell>
          <cell r="H33">
            <v>1.2212459805636593</v>
          </cell>
          <cell r="I33">
            <v>1.221262519334102</v>
          </cell>
          <cell r="J33">
            <v>1.2213800676946502</v>
          </cell>
          <cell r="K33">
            <v>1.2215382173731462</v>
          </cell>
          <cell r="L33">
            <v>1.2215410910374236</v>
          </cell>
          <cell r="M33">
            <v>1.2215570182267321</v>
          </cell>
        </row>
        <row r="34">
          <cell r="B34">
            <v>0</v>
          </cell>
          <cell r="C34">
            <v>0</v>
          </cell>
          <cell r="D34">
            <v>0.15619072897983161</v>
          </cell>
          <cell r="E34">
            <v>0.53821345162669443</v>
          </cell>
          <cell r="F34">
            <v>2.3205627586842272</v>
          </cell>
          <cell r="G34">
            <v>3.0689980419595648</v>
          </cell>
          <cell r="H34">
            <v>6.4786821594399324</v>
          </cell>
          <cell r="I34">
            <v>9.2868731154888575</v>
          </cell>
          <cell r="J34">
            <v>8.2538006547198712</v>
          </cell>
          <cell r="K34">
            <v>6.4163838161465989</v>
          </cell>
          <cell r="L34">
            <v>3.3520697510897763</v>
          </cell>
          <cell r="M34">
            <v>2.869144957801846E-2</v>
          </cell>
        </row>
        <row r="35">
          <cell r="B35">
            <v>3.517953999707534</v>
          </cell>
          <cell r="C35">
            <v>4.8486222543413104</v>
          </cell>
          <cell r="D35">
            <v>11.927073870179624</v>
          </cell>
          <cell r="E35">
            <v>14.116657077484307</v>
          </cell>
          <cell r="F35">
            <v>19.78467689860712</v>
          </cell>
          <cell r="G35">
            <v>20.793897306235376</v>
          </cell>
          <cell r="H35">
            <v>21.854596279856747</v>
          </cell>
          <cell r="I35">
            <v>22.969401049914179</v>
          </cell>
          <cell r="J35">
            <v>24.141071820801891</v>
          </cell>
          <cell r="K35">
            <v>25.372509635566047</v>
          </cell>
          <cell r="L35">
            <v>26.666763210887776</v>
          </cell>
          <cell r="M35">
            <v>28.027036979969285</v>
          </cell>
        </row>
        <row r="36">
          <cell r="B36">
            <v>2.1349390887346629</v>
          </cell>
          <cell r="C36">
            <v>3.3906739584495149</v>
          </cell>
          <cell r="D36">
            <v>4.3183171606101451</v>
          </cell>
          <cell r="E36">
            <v>18.917448377972754</v>
          </cell>
          <cell r="F36">
            <v>19.882441940435754</v>
          </cell>
          <cell r="G36">
            <v>20.896647122207167</v>
          </cell>
          <cell r="H36">
            <v>21.962587790033144</v>
          </cell>
          <cell r="I36">
            <v>23.082902713005229</v>
          </cell>
          <cell r="J36">
            <v>24.260364096781437</v>
          </cell>
          <cell r="K36">
            <v>25.497889406070179</v>
          </cell>
          <cell r="L36">
            <v>26.798542625873115</v>
          </cell>
          <cell r="M36">
            <v>28.165677056098193</v>
          </cell>
        </row>
        <row r="37">
          <cell r="B37">
            <v>0.86248322578584768</v>
          </cell>
          <cell r="C37">
            <v>1.2875919198428809</v>
          </cell>
          <cell r="D37">
            <v>5.6574990198584603</v>
          </cell>
          <cell r="E37">
            <v>13.460658647674402</v>
          </cell>
          <cell r="F37">
            <v>14.147307523828715</v>
          </cell>
          <cell r="G37">
            <v>14.868963991608782</v>
          </cell>
          <cell r="H37">
            <v>15.627433361167956</v>
          </cell>
          <cell r="I37">
            <v>16.424591324769125</v>
          </cell>
          <cell r="J37">
            <v>17.262411710134231</v>
          </cell>
          <cell r="K37">
            <v>18.142970225685545</v>
          </cell>
          <cell r="L37">
            <v>19.068447383813812</v>
          </cell>
          <cell r="M37">
            <v>20.041143424348085</v>
          </cell>
        </row>
        <row r="38">
          <cell r="B38">
            <v>2.8396236857719668</v>
          </cell>
          <cell r="C38">
            <v>3.2944550725739599</v>
          </cell>
          <cell r="D38">
            <v>6.7409207172650021</v>
          </cell>
          <cell r="E38">
            <v>7.7939917402622712</v>
          </cell>
          <cell r="F38">
            <v>24.712980513430871</v>
          </cell>
          <cell r="G38">
            <v>26.122042275639355</v>
          </cell>
          <cell r="H38">
            <v>27.454534981221936</v>
          </cell>
          <cell r="I38">
            <v>28.854993544103994</v>
          </cell>
          <cell r="J38">
            <v>30.326889011475654</v>
          </cell>
          <cell r="K38">
            <v>31.873866272027552</v>
          </cell>
          <cell r="L38">
            <v>33.499755606364026</v>
          </cell>
          <cell r="M38">
            <v>35.208587490876461</v>
          </cell>
        </row>
        <row r="39">
          <cell r="B39">
            <v>1.9190275337410936</v>
          </cell>
          <cell r="C39">
            <v>1.1896527392021219</v>
          </cell>
          <cell r="D39">
            <v>0.15247945666717422</v>
          </cell>
          <cell r="E39">
            <v>1.1555398171625644</v>
          </cell>
          <cell r="F39">
            <v>0.73266691990018817</v>
          </cell>
          <cell r="G39">
            <v>1.8574308618673816</v>
          </cell>
          <cell r="H39">
            <v>1.9421490172169931</v>
          </cell>
          <cell r="I39">
            <v>1.9437931028035635</v>
          </cell>
          <cell r="J39">
            <v>1.9440932224986809</v>
          </cell>
          <cell r="K39">
            <v>1.6314180663351276</v>
          </cell>
          <cell r="L39">
            <v>1.9467307671651968</v>
          </cell>
          <cell r="M39">
            <v>1.9512258085470569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1.4849489011387102E-2</v>
          </cell>
          <cell r="H40">
            <v>0.75555093687038433</v>
          </cell>
          <cell r="I40">
            <v>0.75772797267306546</v>
          </cell>
          <cell r="J40">
            <v>0.75915382071281501</v>
          </cell>
          <cell r="K40">
            <v>0.63759943008822062</v>
          </cell>
          <cell r="L40">
            <v>0.76055372353785777</v>
          </cell>
          <cell r="M40">
            <v>0.76314737372944363</v>
          </cell>
        </row>
        <row r="41">
          <cell r="B41">
            <v>0.29426996345114609</v>
          </cell>
          <cell r="C41">
            <v>0.69528427492506284</v>
          </cell>
          <cell r="D41">
            <v>3.551689129254848E-2</v>
          </cell>
          <cell r="E41">
            <v>0.64918781220503841</v>
          </cell>
          <cell r="F41">
            <v>0.64996531495627519</v>
          </cell>
          <cell r="G41">
            <v>0</v>
          </cell>
          <cell r="H41">
            <v>0</v>
          </cell>
          <cell r="I41">
            <v>0</v>
          </cell>
          <cell r="J41">
            <v>0.44897366211044981</v>
          </cell>
          <cell r="K41">
            <v>0.44910569685273377</v>
          </cell>
          <cell r="L41">
            <v>0.64930463568092389</v>
          </cell>
          <cell r="M41">
            <v>0.64931862716929223</v>
          </cell>
        </row>
        <row r="42">
          <cell r="B42">
            <v>0.87289450043293959</v>
          </cell>
          <cell r="C42">
            <v>1.0914958871179621</v>
          </cell>
          <cell r="D42">
            <v>4.538716880724218</v>
          </cell>
          <cell r="E42">
            <v>5.2368116269241813</v>
          </cell>
          <cell r="F42">
            <v>5.5764003998031031</v>
          </cell>
          <cell r="G42">
            <v>1.8488239548299845</v>
          </cell>
          <cell r="H42">
            <v>0.52525690574411976</v>
          </cell>
          <cell r="I42">
            <v>3.1134094228747987E-3</v>
          </cell>
          <cell r="J42">
            <v>2.7491077249713674E-3</v>
          </cell>
          <cell r="K42">
            <v>4.1029113867674287E-3</v>
          </cell>
          <cell r="L42">
            <v>2.7891943896020252E-3</v>
          </cell>
          <cell r="M42">
            <v>4.9999037178433637E-3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7.5832344807027683</v>
          </cell>
          <cell r="H43">
            <v>10.736977813934301</v>
          </cell>
          <cell r="I43">
            <v>12.446618936583501</v>
          </cell>
          <cell r="J43">
            <v>12.346563808230497</v>
          </cell>
          <cell r="K43">
            <v>12.45374722168847</v>
          </cell>
          <cell r="L43">
            <v>12.419935665613615</v>
          </cell>
          <cell r="M43">
            <v>12.453922004424413</v>
          </cell>
        </row>
        <row r="44">
          <cell r="B44">
            <v>3.7119618842111843</v>
          </cell>
          <cell r="C44">
            <v>3.713849022583521</v>
          </cell>
          <cell r="D44">
            <v>5.4331378616611117</v>
          </cell>
          <cell r="E44">
            <v>5.3724585837033789</v>
          </cell>
          <cell r="F44">
            <v>5.3117829959641769</v>
          </cell>
          <cell r="G44">
            <v>4.4620083756251203</v>
          </cell>
          <cell r="H44">
            <v>2.5622762352785679E-3</v>
          </cell>
          <cell r="I44">
            <v>1.0355676760460224E-3</v>
          </cell>
          <cell r="J44">
            <v>1.655648438395953E-3</v>
          </cell>
          <cell r="K44">
            <v>2.877912183044954E-3</v>
          </cell>
          <cell r="L44">
            <v>1.7903797190042827E-3</v>
          </cell>
          <cell r="M44">
            <v>6.5510185519685404E-4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0.82300517809655016</v>
          </cell>
          <cell r="H45">
            <v>10.677148735027448</v>
          </cell>
          <cell r="I45">
            <v>10.629811231789253</v>
          </cell>
          <cell r="J45">
            <v>10.628891099667991</v>
          </cell>
          <cell r="K45">
            <v>10.62645216028581</v>
          </cell>
          <cell r="L45">
            <v>10.628802021122544</v>
          </cell>
          <cell r="M45">
            <v>10.630540126624293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1.4415756785018869E-2</v>
          </cell>
          <cell r="F46">
            <v>1.443154789835934</v>
          </cell>
          <cell r="G46">
            <v>5.357252772229347</v>
          </cell>
          <cell r="H46">
            <v>7.0084529131213893</v>
          </cell>
          <cell r="I46">
            <v>6.7164359442682571</v>
          </cell>
          <cell r="J46">
            <v>6.7164372101322387</v>
          </cell>
          <cell r="K46">
            <v>6.7164348860480585</v>
          </cell>
          <cell r="L46">
            <v>6.7164361232472176</v>
          </cell>
          <cell r="M46">
            <v>6.7164397088303893</v>
          </cell>
        </row>
        <row r="47">
          <cell r="B47">
            <v>0</v>
          </cell>
        </row>
        <row r="48">
          <cell r="B48">
            <v>6.3013684609733916E-2</v>
          </cell>
          <cell r="C48">
            <v>9.08385284618843E-3</v>
          </cell>
          <cell r="D48">
            <v>3.048580455223179E-2</v>
          </cell>
          <cell r="E48">
            <v>2.2491468902816312E-2</v>
          </cell>
          <cell r="F48">
            <v>2.1776441039441475E-2</v>
          </cell>
          <cell r="G48">
            <v>1.019743198323967E-2</v>
          </cell>
          <cell r="H48">
            <v>0</v>
          </cell>
          <cell r="I48">
            <v>0</v>
          </cell>
          <cell r="J48">
            <v>8.1643534725389672E-3</v>
          </cell>
          <cell r="K48">
            <v>1.0138426955566817E-2</v>
          </cell>
          <cell r="L48">
            <v>1.3723228210955511E-2</v>
          </cell>
          <cell r="M48">
            <v>1.6976420973371091E-2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2.016462115669655E-3</v>
          </cell>
          <cell r="K49">
            <v>3.3762172515658419E-3</v>
          </cell>
          <cell r="L49">
            <v>3.3799455202001092E-3</v>
          </cell>
          <cell r="M49">
            <v>6.5124353328083386E-3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3.1454451122548167E-3</v>
          </cell>
          <cell r="F50">
            <v>4.9468217041491232E-3</v>
          </cell>
          <cell r="G50">
            <v>1.7320249429474043E-2</v>
          </cell>
          <cell r="H50">
            <v>2.0379951131945025E-2</v>
          </cell>
          <cell r="I50">
            <v>2.5043796958114792E-2</v>
          </cell>
          <cell r="J50">
            <v>1.345418314097041E-2</v>
          </cell>
          <cell r="K50">
            <v>1.4908324128229013E-2</v>
          </cell>
          <cell r="L50">
            <v>1.3046237653787329E-2</v>
          </cell>
          <cell r="M50">
            <v>1.9878543764482594E-2</v>
          </cell>
        </row>
        <row r="51">
          <cell r="B51">
            <v>0.1085267656701269</v>
          </cell>
          <cell r="C51">
            <v>0.10107324859138783</v>
          </cell>
          <cell r="D51">
            <v>0.4105676249541394</v>
          </cell>
          <cell r="E51">
            <v>0.40227048006329436</v>
          </cell>
          <cell r="F51">
            <v>0.39999992561917802</v>
          </cell>
          <cell r="G51">
            <v>0.17019080099303632</v>
          </cell>
          <cell r="H51">
            <v>0</v>
          </cell>
          <cell r="I51">
            <v>0</v>
          </cell>
          <cell r="J51">
            <v>6.1484056588241654E-3</v>
          </cell>
          <cell r="K51">
            <v>1.4621921281432696E-2</v>
          </cell>
          <cell r="L51">
            <v>1.127619361826274E-2</v>
          </cell>
          <cell r="M51">
            <v>2.9204974509120879E-2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4.1132608915359983E-3</v>
          </cell>
          <cell r="K52">
            <v>7.8457738118113372E-3</v>
          </cell>
          <cell r="L52">
            <v>6.0697366756380135E-3</v>
          </cell>
          <cell r="M52">
            <v>1.3094559896281629E-2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3.9880793621466654E-3</v>
          </cell>
          <cell r="F53">
            <v>6.3290967067652134E-3</v>
          </cell>
          <cell r="G53">
            <v>0.58432944473969461</v>
          </cell>
          <cell r="H53">
            <v>0.70787459884021497</v>
          </cell>
          <cell r="I53">
            <v>0.67817921150002947</v>
          </cell>
          <cell r="J53">
            <v>0.67447143751952887</v>
          </cell>
          <cell r="K53">
            <v>0.67133482860004023</v>
          </cell>
          <cell r="L53">
            <v>0.66825804108762377</v>
          </cell>
          <cell r="M53">
            <v>0.65220875419151891</v>
          </cell>
        </row>
        <row r="54">
          <cell r="B54">
            <v>2.6453944236376388</v>
          </cell>
          <cell r="C54">
            <v>3.0461424503921415</v>
          </cell>
          <cell r="D54">
            <v>3.0420171438536161</v>
          </cell>
          <cell r="E54">
            <v>3.0330304671996147</v>
          </cell>
          <cell r="F54">
            <v>3.9113170208035397</v>
          </cell>
          <cell r="G54">
            <v>3.8606101027444351</v>
          </cell>
          <cell r="H54">
            <v>8.4256465878093607</v>
          </cell>
          <cell r="I54">
            <v>8.9061769432008653</v>
          </cell>
          <cell r="J54">
            <v>10.726005067987467</v>
          </cell>
          <cell r="K54">
            <v>13.81286991156006</v>
          </cell>
          <cell r="L54">
            <v>14.292896053090837</v>
          </cell>
          <cell r="M54">
            <v>14.293198810647256</v>
          </cell>
        </row>
        <row r="55">
          <cell r="B55">
            <v>1.6608819450374395</v>
          </cell>
          <cell r="C55">
            <v>1.7385714724638721</v>
          </cell>
          <cell r="D55">
            <v>3.2949725577792806</v>
          </cell>
          <cell r="E55">
            <v>3.6116195647170217</v>
          </cell>
          <cell r="F55">
            <v>3.4933369976964856</v>
          </cell>
          <cell r="G55">
            <v>2.1368327364331572</v>
          </cell>
          <cell r="H55">
            <v>0</v>
          </cell>
          <cell r="I55">
            <v>0</v>
          </cell>
          <cell r="J55">
            <v>5.4374122285755578E-3</v>
          </cell>
          <cell r="K55">
            <v>5.3214360263466069E-3</v>
          </cell>
          <cell r="L55">
            <v>4.1013905882235809E-3</v>
          </cell>
          <cell r="M55">
            <v>9.511545148723561E-3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2.3266638862761923E-3</v>
          </cell>
          <cell r="F56">
            <v>2.6407282321630138E-3</v>
          </cell>
          <cell r="G56">
            <v>1.8111636587367166E-2</v>
          </cell>
          <cell r="H56">
            <v>1.4827242318085493E-2</v>
          </cell>
          <cell r="I56">
            <v>6.732041046315666E-3</v>
          </cell>
          <cell r="J56">
            <v>8.5745714835559258E-3</v>
          </cell>
          <cell r="K56">
            <v>7.0559193668678884E-3</v>
          </cell>
          <cell r="L56">
            <v>5.2195595634621349E-3</v>
          </cell>
          <cell r="M56">
            <v>1.0715127355826743E-2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2.4588999901731219E-3</v>
          </cell>
          <cell r="F57">
            <v>5.8810883573282378E-3</v>
          </cell>
          <cell r="G57">
            <v>2.8477171305068667E-2</v>
          </cell>
          <cell r="H57">
            <v>0.10828034913865899</v>
          </cell>
          <cell r="I57">
            <v>0.15743346865699681</v>
          </cell>
          <cell r="J57">
            <v>0.12937448363558726</v>
          </cell>
          <cell r="K57">
            <v>4.9873467017792474E-2</v>
          </cell>
          <cell r="L57">
            <v>1.6435654685097386E-2</v>
          </cell>
          <cell r="M57">
            <v>4.318367377499735E-2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1.4142374798593069E-3</v>
          </cell>
          <cell r="K58">
            <v>2.4490761032970104E-3</v>
          </cell>
          <cell r="L58">
            <v>1.8309484124997475E-3</v>
          </cell>
          <cell r="M58">
            <v>4.1154500900446702E-3</v>
          </cell>
        </row>
        <row r="63">
          <cell r="B63">
            <v>0.1350347468469251</v>
          </cell>
          <cell r="C63">
            <v>1.1822883679859994E-2</v>
          </cell>
          <cell r="D63">
            <v>0.1311488360899945</v>
          </cell>
          <cell r="E63">
            <v>6.4363939651619365E-2</v>
          </cell>
          <cell r="F63">
            <v>4.8738313727479422E-2</v>
          </cell>
          <cell r="G63">
            <v>4.063673653770359E-2</v>
          </cell>
          <cell r="H63">
            <v>4.6189110969144756E-2</v>
          </cell>
          <cell r="I63">
            <v>0.1349618763909346</v>
          </cell>
          <cell r="J63">
            <v>0.13498773916733817</v>
          </cell>
          <cell r="K63">
            <v>0.13498745028858139</v>
          </cell>
          <cell r="L63">
            <v>0.134988667959378</v>
          </cell>
          <cell r="M63">
            <v>0.13499251734568385</v>
          </cell>
        </row>
        <row r="64">
          <cell r="B64">
            <v>2.9910528310956672E-3</v>
          </cell>
          <cell r="C64">
            <v>2.4012986732612511E-3</v>
          </cell>
          <cell r="D64">
            <v>2.9527096495960549E-3</v>
          </cell>
          <cell r="E64">
            <v>2.9611613890300555E-3</v>
          </cell>
          <cell r="F64">
            <v>0.86994349562722717</v>
          </cell>
          <cell r="G64">
            <v>1.1403738872834799</v>
          </cell>
          <cell r="H64">
            <v>1.1699419703938352</v>
          </cell>
          <cell r="I64">
            <v>1.9250008109953061</v>
          </cell>
          <cell r="J64">
            <v>2.2613590221650153</v>
          </cell>
          <cell r="K64">
            <v>2.3588818843195067</v>
          </cell>
          <cell r="L64">
            <v>2.3592538699539389</v>
          </cell>
          <cell r="M64">
            <v>2.531586089703898</v>
          </cell>
        </row>
        <row r="65">
          <cell r="B65">
            <v>2.6374271116148817E-3</v>
          </cell>
          <cell r="C65">
            <v>2.1254312600487066E-3</v>
          </cell>
          <cell r="D65">
            <v>2.5873572838620378E-3</v>
          </cell>
          <cell r="E65">
            <v>2.702301196575867E-3</v>
          </cell>
          <cell r="F65">
            <v>3.3231647715184442E-2</v>
          </cell>
          <cell r="G65">
            <v>6.9443802039764441E-2</v>
          </cell>
          <cell r="H65">
            <v>1.1809258797595399</v>
          </cell>
          <cell r="I65">
            <v>2.2885972176724234</v>
          </cell>
          <cell r="J65">
            <v>2.6878902532957687</v>
          </cell>
          <cell r="K65">
            <v>1.9782470423086553</v>
          </cell>
          <cell r="L65">
            <v>2.2950631701592701</v>
          </cell>
          <cell r="M65">
            <v>2.4748070051498035</v>
          </cell>
        </row>
        <row r="66">
          <cell r="B66">
            <v>8.4131085372658938E-4</v>
          </cell>
          <cell r="C66">
            <v>8.4100598987940417E-4</v>
          </cell>
          <cell r="D66">
            <v>8.4363354162474548E-4</v>
          </cell>
          <cell r="E66">
            <v>5.0617924624708599E-2</v>
          </cell>
          <cell r="F66">
            <v>0.15034817819100763</v>
          </cell>
          <cell r="G66">
            <v>0.24345214692513695</v>
          </cell>
          <cell r="H66">
            <v>0.28743093365239708</v>
          </cell>
          <cell r="I66">
            <v>0.3301575484384951</v>
          </cell>
          <cell r="J66">
            <v>0.34833370966845334</v>
          </cell>
          <cell r="K66">
            <v>0.36384057088650845</v>
          </cell>
          <cell r="L66">
            <v>0.45115484409351619</v>
          </cell>
          <cell r="M66">
            <v>0.38177357036522419</v>
          </cell>
        </row>
        <row r="67">
          <cell r="B67">
            <v>1.689811727059367E-3</v>
          </cell>
          <cell r="C67">
            <v>1.6891299610291527E-3</v>
          </cell>
          <cell r="D67">
            <v>1.6948303124453609E-3</v>
          </cell>
          <cell r="E67">
            <v>5.5070886584070874E-2</v>
          </cell>
          <cell r="F67">
            <v>8.7588357722232252E-2</v>
          </cell>
          <cell r="G67">
            <v>7.2941259237853107E-2</v>
          </cell>
          <cell r="H67">
            <v>9.8126891797087445E-2</v>
          </cell>
          <cell r="I67">
            <v>0.12419941592861694</v>
          </cell>
          <cell r="J67">
            <v>0.10548256101971512</v>
          </cell>
          <cell r="K67">
            <v>0.16069928094939467</v>
          </cell>
          <cell r="L67">
            <v>0.14507282784254244</v>
          </cell>
          <cell r="M67">
            <v>0.18718977222142677</v>
          </cell>
        </row>
        <row r="68">
          <cell r="B68">
            <v>1.688569261149193E-3</v>
          </cell>
          <cell r="C68">
            <v>1.6878804275435621E-3</v>
          </cell>
          <cell r="D68">
            <v>1.6932985273944371E-3</v>
          </cell>
          <cell r="E68">
            <v>6.6738153444437315E-2</v>
          </cell>
          <cell r="F68">
            <v>0.14787341710928675</v>
          </cell>
          <cell r="G68">
            <v>0.11703298893228825</v>
          </cell>
          <cell r="H68">
            <v>9.9986391568560956E-2</v>
          </cell>
          <cell r="I68">
            <v>0.15688890274791134</v>
          </cell>
          <cell r="J68">
            <v>0.17877793819581311</v>
          </cell>
          <cell r="K68">
            <v>0.16385630997772338</v>
          </cell>
          <cell r="L68">
            <v>0.14474336924036657</v>
          </cell>
          <cell r="M68">
            <v>0.18756434196021005</v>
          </cell>
        </row>
        <row r="69">
          <cell r="B69">
            <v>8.4451722871266603E-4</v>
          </cell>
          <cell r="C69">
            <v>8.4421607192970585E-4</v>
          </cell>
          <cell r="D69">
            <v>8.4670709161790026E-4</v>
          </cell>
          <cell r="E69">
            <v>4.3500229744792104E-2</v>
          </cell>
          <cell r="F69">
            <v>0.12070501756770058</v>
          </cell>
          <cell r="G69">
            <v>8.7812434749413956E-2</v>
          </cell>
          <cell r="H69">
            <v>6.4233658980745928E-2</v>
          </cell>
          <cell r="I69">
            <v>0.10656267996683642</v>
          </cell>
          <cell r="J69">
            <v>0.12571343549994449</v>
          </cell>
          <cell r="K69">
            <v>0.10927499736028488</v>
          </cell>
          <cell r="L69">
            <v>9.6728815246615973E-2</v>
          </cell>
          <cell r="M69">
            <v>0.12554742231271387</v>
          </cell>
        </row>
        <row r="90">
          <cell r="B90">
            <v>2.0280764115733412</v>
          </cell>
          <cell r="C90">
            <v>1.8574085608909772</v>
          </cell>
          <cell r="D90">
            <v>1.8503550366733292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>
            <v>1.1839515550993776</v>
          </cell>
          <cell r="C91">
            <v>1.1839499127826767</v>
          </cell>
          <cell r="D91">
            <v>1.1839505371010577</v>
          </cell>
          <cell r="E91">
            <v>1.1839510255630241</v>
          </cell>
          <cell r="F91">
            <v>1.183998921855336</v>
          </cell>
          <cell r="G91">
            <v>1.1840001454141909</v>
          </cell>
          <cell r="H91">
            <v>1.1839978363904267</v>
          </cell>
          <cell r="I91">
            <v>1.1840022083720279</v>
          </cell>
          <cell r="J91">
            <v>1.1839987156826359</v>
          </cell>
          <cell r="K91">
            <v>2.8800563946312221</v>
          </cell>
          <cell r="L91">
            <v>6.9877372424741253</v>
          </cell>
          <cell r="M91">
            <v>10.598702559348206</v>
          </cell>
        </row>
        <row r="92">
          <cell r="B92">
            <v>1.4500075317723111</v>
          </cell>
          <cell r="C92">
            <v>3.8018381739436022</v>
          </cell>
          <cell r="D92">
            <v>3.8014288378245666</v>
          </cell>
          <cell r="E92">
            <v>1.1502465353496012</v>
          </cell>
          <cell r="F92">
            <v>0.85616026892172625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0.21541976878335978</v>
          </cell>
          <cell r="C93">
            <v>0.21750850602010718</v>
          </cell>
          <cell r="D93">
            <v>6.1651021664595546E-2</v>
          </cell>
          <cell r="E93">
            <v>6.2183020749642021E-2</v>
          </cell>
          <cell r="F93">
            <v>6.8425958394993419E-4</v>
          </cell>
          <cell r="G93">
            <v>6.5518887911367158E-5</v>
          </cell>
          <cell r="H93">
            <v>3.5461401792518364E-4</v>
          </cell>
          <cell r="I93">
            <v>5.4432274883911311E-5</v>
          </cell>
          <cell r="J93">
            <v>1.7917453504995126E-6</v>
          </cell>
          <cell r="K93">
            <v>1.7925762904887362E-7</v>
          </cell>
          <cell r="L93">
            <v>1.1120315475679304E-6</v>
          </cell>
          <cell r="M93">
            <v>5.7732439679227581E-7</v>
          </cell>
        </row>
        <row r="94">
          <cell r="B94">
            <v>2.9085258194969907</v>
          </cell>
          <cell r="C94">
            <v>2.6249442617439391</v>
          </cell>
          <cell r="D94">
            <v>2.2505791473624037</v>
          </cell>
          <cell r="E94">
            <v>5.1509708297199071</v>
          </cell>
          <cell r="F94">
            <v>4.8416294944194762</v>
          </cell>
          <cell r="G94">
            <v>3.746360906219746</v>
          </cell>
          <cell r="H94">
            <v>2.8988641159474047</v>
          </cell>
          <cell r="I94">
            <v>2.2430942057640593</v>
          </cell>
          <cell r="J94">
            <v>1.7356551986614683</v>
          </cell>
          <cell r="K94">
            <v>1.3430210157436544</v>
          </cell>
          <cell r="L94">
            <v>1.039203743522668</v>
          </cell>
          <cell r="M94">
            <v>0.8041732567608515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7.5636353389587266E-5</v>
          </cell>
          <cell r="F95">
            <v>1.2039280193120556E-4</v>
          </cell>
          <cell r="G95">
            <v>1.2168478937498039E-4</v>
          </cell>
          <cell r="H95">
            <v>1.2379029296732846E-4</v>
          </cell>
          <cell r="I95">
            <v>1.3119494309285059E-4</v>
          </cell>
          <cell r="J95">
            <v>1.3190780773362083E-4</v>
          </cell>
          <cell r="K95">
            <v>1.3669480027803056E-4</v>
          </cell>
          <cell r="L95">
            <v>1.4214843542617069E-4</v>
          </cell>
          <cell r="M95">
            <v>2.8012776627756432E-4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3.6613207049875286E-4</v>
          </cell>
          <cell r="H96">
            <v>3.670798785142354E-4</v>
          </cell>
          <cell r="I96">
            <v>3.6861142053385256E-4</v>
          </cell>
          <cell r="J96">
            <v>3.6925083636965388E-4</v>
          </cell>
          <cell r="K96">
            <v>3.7117052089108708E-4</v>
          </cell>
          <cell r="L96">
            <v>3.7574859258492977E-4</v>
          </cell>
          <cell r="M96">
            <v>6.3722698682211129E-4</v>
          </cell>
        </row>
        <row r="97">
          <cell r="B97">
            <v>0</v>
          </cell>
          <cell r="C97">
            <v>1.2858996387023727</v>
          </cell>
          <cell r="D97">
            <v>1.3248640399215541</v>
          </cell>
          <cell r="E97">
            <v>1.4779644403968568</v>
          </cell>
          <cell r="F97">
            <v>1.8906347283669502</v>
          </cell>
          <cell r="G97">
            <v>1.9870764657612883</v>
          </cell>
          <cell r="H97">
            <v>2.088437888136613</v>
          </cell>
          <cell r="I97">
            <v>2.1956733803597062</v>
          </cell>
          <cell r="J97">
            <v>2.3076748567084668</v>
          </cell>
          <cell r="K97">
            <v>2.4254346679811016</v>
          </cell>
          <cell r="L97">
            <v>2.5491585405947519</v>
          </cell>
          <cell r="M97">
            <v>2.6797300474352155</v>
          </cell>
        </row>
      </sheetData>
      <sheetData sheetId="60">
        <row r="14">
          <cell r="B14">
            <v>3.0935587096182062</v>
          </cell>
          <cell r="C14">
            <v>3.0935584447569151</v>
          </cell>
          <cell r="D14">
            <v>2.8348956648613637</v>
          </cell>
          <cell r="E14">
            <v>2.757751698272735</v>
          </cell>
          <cell r="F14">
            <v>2.3632543932806547</v>
          </cell>
          <cell r="G14">
            <v>1.3534855482640165</v>
          </cell>
          <cell r="H14">
            <v>0.120558721922211</v>
          </cell>
          <cell r="I14">
            <v>0.120558721922211</v>
          </cell>
          <cell r="J14">
            <v>0.94744619220176163</v>
          </cell>
          <cell r="K14">
            <v>1.8944785255793866</v>
          </cell>
          <cell r="L14">
            <v>1.898679288174135</v>
          </cell>
          <cell r="M14">
            <v>1.8997600555838181</v>
          </cell>
        </row>
        <row r="15">
          <cell r="B15">
            <v>7.3394300010600002</v>
          </cell>
          <cell r="C15">
            <v>7.3409032196603032</v>
          </cell>
          <cell r="D15">
            <v>7.3456089411222436</v>
          </cell>
          <cell r="E15">
            <v>7.4152225742839484</v>
          </cell>
          <cell r="F15">
            <v>7.4355466003912829</v>
          </cell>
          <cell r="G15">
            <v>7.4523025537744667</v>
          </cell>
          <cell r="H15">
            <v>7.6010331145294234</v>
          </cell>
          <cell r="I15">
            <v>7.6884360835427623</v>
          </cell>
          <cell r="J15">
            <v>7.6884362792532839</v>
          </cell>
          <cell r="K15">
            <v>7.6884368404547887</v>
          </cell>
          <cell r="L15">
            <v>7.6884377509556474</v>
          </cell>
          <cell r="M15">
            <v>7.6884411267737063</v>
          </cell>
        </row>
        <row r="16">
          <cell r="B16">
            <v>4.7247299999999992</v>
          </cell>
          <cell r="C16">
            <v>4.8073858223661983</v>
          </cell>
          <cell r="D16">
            <v>4.8591293517446914</v>
          </cell>
          <cell r="E16">
            <v>4.8804731132661976</v>
          </cell>
          <cell r="F16">
            <v>4.8878960264494591</v>
          </cell>
          <cell r="G16">
            <v>4.8878969452224874</v>
          </cell>
          <cell r="H16">
            <v>4.8878980782678498</v>
          </cell>
          <cell r="I16">
            <v>4.8878986606931711</v>
          </cell>
          <cell r="J16">
            <v>4.8878988840740476</v>
          </cell>
          <cell r="K16">
            <v>4.8878997085839604</v>
          </cell>
          <cell r="L16">
            <v>4.8879007221184452</v>
          </cell>
          <cell r="M16">
            <v>4.8879759860969969</v>
          </cell>
        </row>
        <row r="17">
          <cell r="B17">
            <v>3.3394499999999998</v>
          </cell>
          <cell r="C17">
            <v>3.9711964051065309</v>
          </cell>
          <cell r="D17">
            <v>4.3596174589854808</v>
          </cell>
          <cell r="E17">
            <v>4.3596174589854808</v>
          </cell>
          <cell r="F17">
            <v>4.35961837609395</v>
          </cell>
          <cell r="G17">
            <v>4.3596190174497718</v>
          </cell>
          <cell r="H17">
            <v>4.359629188704778</v>
          </cell>
          <cell r="I17">
            <v>4.3596815629968031</v>
          </cell>
          <cell r="J17">
            <v>4.3596818509553588</v>
          </cell>
          <cell r="K17">
            <v>4.3597523675069603</v>
          </cell>
          <cell r="L17">
            <v>4.3597531903576243</v>
          </cell>
          <cell r="M17">
            <v>4.3600441630944413</v>
          </cell>
        </row>
        <row r="18">
          <cell r="B18">
            <v>2.1237588949518202E-2</v>
          </cell>
          <cell r="C18">
            <v>2.1063652176879659E-2</v>
          </cell>
          <cell r="D18">
            <v>1.3076404681556176E-2</v>
          </cell>
          <cell r="E18">
            <v>6.6412872640111614E-2</v>
          </cell>
          <cell r="F18">
            <v>7.3405891581676735E-2</v>
          </cell>
          <cell r="G18">
            <v>7.9521843178579174E-2</v>
          </cell>
          <cell r="H18">
            <v>7.9998526669327996E-2</v>
          </cell>
          <cell r="I18">
            <v>1.9825121353447106E-2</v>
          </cell>
          <cell r="J18">
            <v>1.9672736319382007E-2</v>
          </cell>
          <cell r="K18">
            <v>1.2712033151542413E-2</v>
          </cell>
          <cell r="L18">
            <v>6.1271386772130806E-3</v>
          </cell>
          <cell r="M18">
            <v>1.1583543358124008E-2</v>
          </cell>
        </row>
        <row r="19">
          <cell r="B19">
            <v>0.27650474436312844</v>
          </cell>
          <cell r="C19">
            <v>0.27650332094338725</v>
          </cell>
          <cell r="D19">
            <v>0.27650373785216409</v>
          </cell>
          <cell r="E19">
            <v>0.27599238131911802</v>
          </cell>
          <cell r="F19">
            <v>0.34899561321781958</v>
          </cell>
          <cell r="G19">
            <v>0.35067355323879484</v>
          </cell>
          <cell r="H19">
            <v>0.27936090943685449</v>
          </cell>
          <cell r="I19">
            <v>0.26795643193203167</v>
          </cell>
          <cell r="J19">
            <v>0.24514578772358256</v>
          </cell>
          <cell r="K19">
            <v>0.19589357260366644</v>
          </cell>
          <cell r="L19">
            <v>0.18328995236814691</v>
          </cell>
          <cell r="M19">
            <v>0.18343046428638471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9.36468770241832E-2</v>
          </cell>
          <cell r="H20">
            <v>0.22213503688644629</v>
          </cell>
          <cell r="I20">
            <v>0.22213524013272778</v>
          </cell>
          <cell r="J20">
            <v>0.1894390482796787</v>
          </cell>
          <cell r="K20">
            <v>0.17271714244520378</v>
          </cell>
          <cell r="L20">
            <v>0.16579289010131221</v>
          </cell>
          <cell r="M20">
            <v>0.16579146354826124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1.78934721914871E-6</v>
          </cell>
          <cell r="H21">
            <v>2.3227301898214694E-6</v>
          </cell>
          <cell r="I21">
            <v>5.00381610158098E-6</v>
          </cell>
          <cell r="J21">
            <v>2.6098393613124696E-4</v>
          </cell>
          <cell r="K21">
            <v>3.6059311601963724E-4</v>
          </cell>
          <cell r="L21">
            <v>4.5319677136677872E-4</v>
          </cell>
          <cell r="M21">
            <v>5.5157607662108222E-4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1.24707768231093E-4</v>
          </cell>
          <cell r="G22">
            <v>5.1955281595336884E-4</v>
          </cell>
          <cell r="H22">
            <v>1.6083401589828614E-2</v>
          </cell>
          <cell r="I22">
            <v>3.2840437229114977E-2</v>
          </cell>
          <cell r="J22">
            <v>3.2867091084070696E-2</v>
          </cell>
          <cell r="K22">
            <v>3.2747224289286642E-2</v>
          </cell>
          <cell r="L22">
            <v>3.2429034944915544E-2</v>
          </cell>
          <cell r="M22">
            <v>2.1989124648278274E-2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1.8921119094625799E-6</v>
          </cell>
          <cell r="I23">
            <v>3.9297094927572203E-6</v>
          </cell>
          <cell r="J23">
            <v>2.5908526203598718E-3</v>
          </cell>
          <cell r="K23">
            <v>4.7045487768996369E-3</v>
          </cell>
          <cell r="L23">
            <v>4.7047174319551858E-3</v>
          </cell>
          <cell r="M23">
            <v>4.70359783820314E-3</v>
          </cell>
        </row>
        <row r="24">
          <cell r="B24">
            <v>4.5947630979376292E-2</v>
          </cell>
          <cell r="C24">
            <v>7.023102522457636E-5</v>
          </cell>
          <cell r="D24">
            <v>7.0172318442376924E-5</v>
          </cell>
          <cell r="E24">
            <v>-5.6757347211000564E-8</v>
          </cell>
          <cell r="F24">
            <v>-5.0425768863878589E-8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2.8668198411831991E-3</v>
          </cell>
          <cell r="C25">
            <v>4.4878986714513847E-5</v>
          </cell>
          <cell r="D25">
            <v>4.2641330371263886E-4</v>
          </cell>
          <cell r="E25">
            <v>1.5836190986539753E-4</v>
          </cell>
          <cell r="F25">
            <v>2.475288625333142E-4</v>
          </cell>
          <cell r="G25">
            <v>6.0760594501631404E-2</v>
          </cell>
          <cell r="H25">
            <v>6.0633560448074171E-2</v>
          </cell>
          <cell r="I25">
            <v>5.9424744000120842E-2</v>
          </cell>
          <cell r="J25">
            <v>5.1555299822402686E-2</v>
          </cell>
          <cell r="K25">
            <v>5.1580365222872078E-2</v>
          </cell>
          <cell r="L25">
            <v>5.6616060539880934E-2</v>
          </cell>
          <cell r="M25">
            <v>5.6612187814916594E-2</v>
          </cell>
        </row>
        <row r="26">
          <cell r="B26">
            <v>7.8399999999999997E-2</v>
          </cell>
          <cell r="C26">
            <v>7.2061485608924447E-2</v>
          </cell>
          <cell r="D26">
            <v>7.2060939975550201E-2</v>
          </cell>
          <cell r="E26">
            <v>7.0489757766497949E-2</v>
          </cell>
          <cell r="F26">
            <v>7.2025128388927606E-2</v>
          </cell>
          <cell r="G26">
            <v>5.3251714489008034E-2</v>
          </cell>
          <cell r="H26">
            <v>4.7333816795593064E-2</v>
          </cell>
          <cell r="I26">
            <v>4.2043878288318695E-2</v>
          </cell>
          <cell r="J26">
            <v>4.2044374814766E-2</v>
          </cell>
          <cell r="K26">
            <v>4.204398518127888E-2</v>
          </cell>
          <cell r="L26">
            <v>3.5654131841722995E-2</v>
          </cell>
          <cell r="M26">
            <v>3.4255526539832742E-2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1.7852751803264798E-2</v>
          </cell>
          <cell r="H27">
            <v>3.85900835249176E-2</v>
          </cell>
          <cell r="I27">
            <v>3.927597175114439E-2</v>
          </cell>
          <cell r="J27">
            <v>3.8939097809211759E-2</v>
          </cell>
          <cell r="K27">
            <v>3.8939566409815086E-2</v>
          </cell>
          <cell r="L27">
            <v>3.8887437430348393E-2</v>
          </cell>
          <cell r="M27">
            <v>3.8888949953128069E-2</v>
          </cell>
        </row>
        <row r="28">
          <cell r="B28">
            <v>1.8106638901258902E-3</v>
          </cell>
          <cell r="C28">
            <v>5.597480846353687E-4</v>
          </cell>
          <cell r="D28">
            <v>5.0857198806788899E-4</v>
          </cell>
          <cell r="E28">
            <v>3.8177250324249005E-4</v>
          </cell>
          <cell r="F28">
            <v>3.6019335027516041E-4</v>
          </cell>
          <cell r="G28">
            <v>2.0270582611189516E-4</v>
          </cell>
          <cell r="H28">
            <v>1.4422149494728583E-4</v>
          </cell>
          <cell r="I28">
            <v>1.4749189144437199E-4</v>
          </cell>
          <cell r="J28">
            <v>1.3884283132518913E-4</v>
          </cell>
          <cell r="K28">
            <v>1.7218283170574155E-4</v>
          </cell>
          <cell r="L28">
            <v>1.4407115525009957E-4</v>
          </cell>
          <cell r="M28">
            <v>2.6097789423300965E-4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1.7351588725671E-2</v>
          </cell>
          <cell r="H30">
            <v>6.2828996738268431E-2</v>
          </cell>
          <cell r="I30">
            <v>7.373423906157392E-2</v>
          </cell>
          <cell r="J30">
            <v>7.1434107808118041E-2</v>
          </cell>
          <cell r="K30">
            <v>7.1576484328499806E-2</v>
          </cell>
          <cell r="L30">
            <v>7.6385220750591856E-2</v>
          </cell>
          <cell r="M30">
            <v>7.5085630956315749E-2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3.83867622867026E-5</v>
          </cell>
          <cell r="H31">
            <v>7.92160402756714E-3</v>
          </cell>
          <cell r="I31">
            <v>1.6345029249418101E-2</v>
          </cell>
          <cell r="J31">
            <v>2.2092820155500435E-2</v>
          </cell>
          <cell r="K31">
            <v>2.2104529436336222E-2</v>
          </cell>
          <cell r="L31">
            <v>2.538532772140685E-2</v>
          </cell>
          <cell r="M31">
            <v>2.3741322012751226E-2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7.2018476542008605E-4</v>
          </cell>
          <cell r="I32">
            <v>7.2049846432071249E-4</v>
          </cell>
          <cell r="J32">
            <v>7.2051422106700726E-4</v>
          </cell>
          <cell r="K32">
            <v>7.2047073721075573E-4</v>
          </cell>
          <cell r="L32">
            <v>7.2064730713947817E-4</v>
          </cell>
          <cell r="M32">
            <v>7.217120715703935E-4</v>
          </cell>
        </row>
        <row r="33">
          <cell r="B33">
            <v>8.7120000000000003E-2</v>
          </cell>
          <cell r="C33">
            <v>9.0660005351510184E-2</v>
          </cell>
          <cell r="D33">
            <v>8.3655922845439185E-2</v>
          </cell>
          <cell r="E33">
            <v>0.16457069615552131</v>
          </cell>
          <cell r="F33">
            <v>0.18058941544968882</v>
          </cell>
          <cell r="G33">
            <v>0.18061006933648224</v>
          </cell>
          <cell r="H33">
            <v>0.203043866666515</v>
          </cell>
          <cell r="I33">
            <v>0.203046552779621</v>
          </cell>
          <cell r="J33">
            <v>0.20306624947615701</v>
          </cell>
          <cell r="K33">
            <v>0.20309254196558599</v>
          </cell>
          <cell r="L33">
            <v>0.20309327395761301</v>
          </cell>
          <cell r="M33">
            <v>0.20309613904873999</v>
          </cell>
        </row>
        <row r="34">
          <cell r="B34">
            <v>0</v>
          </cell>
          <cell r="C34">
            <v>0</v>
          </cell>
          <cell r="D34">
            <v>4.49248641432596E-2</v>
          </cell>
          <cell r="E34">
            <v>9.443933877258541E-2</v>
          </cell>
          <cell r="F34">
            <v>0.42379759325935756</v>
          </cell>
          <cell r="G34">
            <v>0.59463521806387643</v>
          </cell>
          <cell r="H34">
            <v>1.3227032090800039</v>
          </cell>
          <cell r="I34">
            <v>1.9635056995040621</v>
          </cell>
          <cell r="J34">
            <v>1.7561450490732355</v>
          </cell>
          <cell r="K34">
            <v>1.4142493236383018</v>
          </cell>
          <cell r="L34">
            <v>0.72275506703202763</v>
          </cell>
          <cell r="M34">
            <v>6.312603701736183E-3</v>
          </cell>
        </row>
        <row r="35">
          <cell r="B35">
            <v>1.1186210000000001</v>
          </cell>
          <cell r="C35">
            <v>1.6529270268866281</v>
          </cell>
          <cell r="D35">
            <v>3.5611849461881002</v>
          </cell>
          <cell r="E35">
            <v>3.4922860642235598</v>
          </cell>
          <cell r="F35">
            <v>4.8944839173701098</v>
          </cell>
          <cell r="G35">
            <v>5.1441526041199603</v>
          </cell>
          <cell r="H35">
            <v>5.40655636863554</v>
          </cell>
          <cell r="I35">
            <v>5.6823452597410498</v>
          </cell>
          <cell r="J35">
            <v>5.9722021172258897</v>
          </cell>
          <cell r="K35">
            <v>6.2768446160710001</v>
          </cell>
          <cell r="L35">
            <v>6.5970270697914497</v>
          </cell>
          <cell r="M35">
            <v>6.9335420864676802</v>
          </cell>
        </row>
        <row r="36">
          <cell r="B36">
            <v>0.67885700000000004</v>
          </cell>
          <cell r="C36">
            <v>1.1559029694888778</v>
          </cell>
          <cell r="D36">
            <v>1.2893770127003623</v>
          </cell>
          <cell r="E36">
            <v>4.6800003038045075</v>
          </cell>
          <cell r="F36">
            <v>4.9187306245144304</v>
          </cell>
          <cell r="G36">
            <v>5.1696356857427377</v>
          </cell>
          <cell r="H36">
            <v>5.4333394718425705</v>
          </cell>
          <cell r="I36">
            <v>5.7104950191746875</v>
          </cell>
          <cell r="J36">
            <v>6.001788090696869</v>
          </cell>
          <cell r="K36">
            <v>6.3079404232469347</v>
          </cell>
          <cell r="L36">
            <v>6.6297101899860307</v>
          </cell>
          <cell r="M36">
            <v>6.9679322217796864</v>
          </cell>
        </row>
        <row r="37">
          <cell r="B37">
            <v>0.27424799999999999</v>
          </cell>
          <cell r="C37">
            <v>0.4389485481872219</v>
          </cell>
          <cell r="D37">
            <v>1.6892157675413029</v>
          </cell>
          <cell r="E37">
            <v>3.330000322040652</v>
          </cell>
          <cell r="F37">
            <v>3.499868584439612</v>
          </cell>
          <cell r="G37">
            <v>3.6783975883590241</v>
          </cell>
          <cell r="H37">
            <v>3.8660334548644899</v>
          </cell>
          <cell r="I37">
            <v>4.06324047911012</v>
          </cell>
          <cell r="J37">
            <v>4.2705069282619998</v>
          </cell>
          <cell r="K37">
            <v>4.4883462253830295</v>
          </cell>
          <cell r="L37">
            <v>4.7172979646964599</v>
          </cell>
          <cell r="M37">
            <v>4.9579311765121705</v>
          </cell>
        </row>
        <row r="38">
          <cell r="B38">
            <v>0.90292899999999998</v>
          </cell>
          <cell r="C38">
            <v>1.1231012734484578</v>
          </cell>
          <cell r="D38">
            <v>2.012703685820584</v>
          </cell>
          <cell r="E38">
            <v>1.928137022117538</v>
          </cell>
          <cell r="F38">
            <v>6.113685132450339</v>
          </cell>
          <cell r="G38">
            <v>6.4622696050263118</v>
          </cell>
          <cell r="H38">
            <v>6.7919117569846499</v>
          </cell>
          <cell r="I38">
            <v>7.1383678528706502</v>
          </cell>
          <cell r="J38">
            <v>7.5024965816988498</v>
          </cell>
          <cell r="K38">
            <v>7.8851996518455003</v>
          </cell>
          <cell r="L38">
            <v>8.2874246019179907</v>
          </cell>
          <cell r="M38">
            <v>8.7101685767832304</v>
          </cell>
        </row>
        <row r="39">
          <cell r="B39">
            <v>2.7085020896106406E-2</v>
          </cell>
          <cell r="C39">
            <v>2.0032512769356775E-2</v>
          </cell>
          <cell r="D39">
            <v>1.2744883093550249E-2</v>
          </cell>
          <cell r="E39">
            <v>1.7867325646491697E-2</v>
          </cell>
          <cell r="F39">
            <v>4.837425030467455E-2</v>
          </cell>
          <cell r="G39">
            <v>6.8574120427645935E-2</v>
          </cell>
          <cell r="H39">
            <v>6.4133796980773677E-2</v>
          </cell>
          <cell r="I39">
            <v>5.9335940133184481E-2</v>
          </cell>
          <cell r="J39">
            <v>5.4727541145037431E-2</v>
          </cell>
          <cell r="K39">
            <v>4.3563042354965956E-2</v>
          </cell>
          <cell r="L39">
            <v>5.7223719312280936E-2</v>
          </cell>
          <cell r="M39">
            <v>5.2763383287784002E-2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6.0194286883080304E-4</v>
          </cell>
          <cell r="H40">
            <v>1.4386800937020152E-2</v>
          </cell>
          <cell r="I40">
            <v>1.8357923352777954E-2</v>
          </cell>
          <cell r="J40">
            <v>1.8279524427028012E-2</v>
          </cell>
          <cell r="K40">
            <v>1.7764431017730693E-2</v>
          </cell>
          <cell r="L40">
            <v>1.7762104150109891E-2</v>
          </cell>
          <cell r="M40">
            <v>1.7887100060015898E-2</v>
          </cell>
        </row>
        <row r="41">
          <cell r="B41">
            <v>8.3051478676723408E-3</v>
          </cell>
          <cell r="C41">
            <v>2.2278160119364381E-2</v>
          </cell>
          <cell r="D41">
            <v>2.2277718007000756E-2</v>
          </cell>
          <cell r="E41">
            <v>2.2277497051486551E-2</v>
          </cell>
          <cell r="F41">
            <v>1.0943858777574944E-2</v>
          </cell>
          <cell r="G41">
            <v>0</v>
          </cell>
          <cell r="H41">
            <v>0</v>
          </cell>
          <cell r="I41">
            <v>0</v>
          </cell>
          <cell r="J41">
            <v>1.8724755417411601E-2</v>
          </cell>
          <cell r="K41">
            <v>1.881904049584085E-2</v>
          </cell>
          <cell r="L41">
            <v>2.4672804339035046E-2</v>
          </cell>
          <cell r="M41">
            <v>2.0184099444229386E-2</v>
          </cell>
        </row>
        <row r="42">
          <cell r="B42">
            <v>6.4974499353829505E-3</v>
          </cell>
          <cell r="C42">
            <v>9.113193583693207E-3</v>
          </cell>
          <cell r="D42">
            <v>4.1869916770632662E-2</v>
          </cell>
          <cell r="E42">
            <v>5.6895696329667352E-2</v>
          </cell>
          <cell r="F42">
            <v>7.1597514247324759E-2</v>
          </cell>
          <cell r="G42">
            <v>3.9034203024341026E-2</v>
          </cell>
          <cell r="H42">
            <v>1.4130723215575279E-2</v>
          </cell>
          <cell r="I42">
            <v>7.8399327178285501E-5</v>
          </cell>
          <cell r="J42">
            <v>6.9056317107033243E-5</v>
          </cell>
          <cell r="K42">
            <v>8.2940314181588977E-5</v>
          </cell>
          <cell r="L42">
            <v>6.8022498495022096E-5</v>
          </cell>
          <cell r="M42">
            <v>9.512712216171263E-5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9.40458163736448E-2</v>
          </cell>
          <cell r="H43">
            <v>0.152113227381904</v>
          </cell>
          <cell r="I43">
            <v>0.186143844196028</v>
          </cell>
          <cell r="J43">
            <v>0.17787794105688801</v>
          </cell>
          <cell r="K43">
            <v>0.181673557370928</v>
          </cell>
          <cell r="L43">
            <v>0.17838923650740099</v>
          </cell>
          <cell r="M43">
            <v>0.18009919351409001</v>
          </cell>
        </row>
        <row r="44">
          <cell r="B44">
            <v>4.851081700837212E-2</v>
          </cell>
          <cell r="C44">
            <v>1.3699510033327304E-2</v>
          </cell>
          <cell r="D44">
            <v>1.3699987438269529E-2</v>
          </cell>
          <cell r="E44">
            <v>1.3545834156071326E-2</v>
          </cell>
          <cell r="F44">
            <v>1.3392772491277212E-2</v>
          </cell>
          <cell r="G44">
            <v>1.2588242068242316E-2</v>
          </cell>
          <cell r="H44">
            <v>6.2870619658070975E-5</v>
          </cell>
          <cell r="I44">
            <v>6.1280282995500659E-5</v>
          </cell>
          <cell r="J44">
            <v>6.0593170458569413E-5</v>
          </cell>
          <cell r="K44">
            <v>6.1721814863970395E-5</v>
          </cell>
          <cell r="L44">
            <v>3.8358662904405035E-5</v>
          </cell>
          <cell r="M44">
            <v>3.8332220160347708E-5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2.8171955370456499E-3</v>
          </cell>
          <cell r="H45">
            <v>3.3383819141018865E-2</v>
          </cell>
          <cell r="I45">
            <v>3.6859422727153354E-2</v>
          </cell>
          <cell r="J45">
            <v>3.6859484344931338E-2</v>
          </cell>
          <cell r="K45">
            <v>3.6859718063175576E-2</v>
          </cell>
          <cell r="L45">
            <v>3.6419599489582878E-2</v>
          </cell>
          <cell r="M45">
            <v>3.6374869711264239E-2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2.7157492886493902E-4</v>
          </cell>
          <cell r="F46">
            <v>4.0440971438074264E-2</v>
          </cell>
          <cell r="G46">
            <v>0.10992220440280295</v>
          </cell>
          <cell r="H46">
            <v>0.16154970888675185</v>
          </cell>
          <cell r="I46">
            <v>0.1647637083690979</v>
          </cell>
          <cell r="J46">
            <v>0.1503372410913256</v>
          </cell>
          <cell r="K46">
            <v>0.15033985619336543</v>
          </cell>
          <cell r="L46">
            <v>0.15034117963259763</v>
          </cell>
          <cell r="M46">
            <v>0.15036771070867261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5.6063492314925902E-5</v>
          </cell>
          <cell r="F47">
            <v>1.0735229736871912E-4</v>
          </cell>
          <cell r="G47">
            <v>2.3992335288243471E-4</v>
          </cell>
          <cell r="H47">
            <v>1.971364421955758E-4</v>
          </cell>
          <cell r="I47">
            <v>2.2243985335070762E-4</v>
          </cell>
          <cell r="J47">
            <v>1.5309578975871696E-4</v>
          </cell>
          <cell r="K47">
            <v>2.8314714136390911E-4</v>
          </cell>
          <cell r="L47">
            <v>2.0773452753834732E-4</v>
          </cell>
          <cell r="M47">
            <v>1.873801554703373E-4</v>
          </cell>
        </row>
        <row r="48">
          <cell r="B48">
            <v>4.1404081145209812E-3</v>
          </cell>
          <cell r="C48">
            <v>6.6679460428708376E-4</v>
          </cell>
          <cell r="D48">
            <v>6.6547482462503491E-4</v>
          </cell>
          <cell r="E48">
            <v>6.5229578140322294E-4</v>
          </cell>
          <cell r="F48">
            <v>5.1300095811905588E-4</v>
          </cell>
          <cell r="G48">
            <v>2.2349743413862004E-4</v>
          </cell>
          <cell r="H48">
            <v>0</v>
          </cell>
          <cell r="I48">
            <v>0</v>
          </cell>
          <cell r="J48">
            <v>2.0498116186372459E-4</v>
          </cell>
          <cell r="K48">
            <v>2.480056073954333E-4</v>
          </cell>
          <cell r="L48">
            <v>3.646032398391742E-4</v>
          </cell>
          <cell r="M48">
            <v>4.3645358615975848E-4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8.0802946596188102E-5</v>
          </cell>
          <cell r="K49">
            <v>1.3543415348693755E-4</v>
          </cell>
          <cell r="L49">
            <v>1.3593953665342099E-4</v>
          </cell>
          <cell r="M49">
            <v>2.6164369585301289E-4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4.9076636273978603E-5</v>
          </cell>
          <cell r="F50">
            <v>8.2604017923132878E-5</v>
          </cell>
          <cell r="G50">
            <v>3.5930104389318219E-4</v>
          </cell>
          <cell r="H50">
            <v>4.5418760302540868E-4</v>
          </cell>
          <cell r="I50">
            <v>5.7893296610163239E-4</v>
          </cell>
          <cell r="J50">
            <v>3.140819047450996E-4</v>
          </cell>
          <cell r="K50">
            <v>3.0149866135979959E-4</v>
          </cell>
          <cell r="L50">
            <v>2.933490775521742E-4</v>
          </cell>
          <cell r="M50">
            <v>3.9670693878484482E-4</v>
          </cell>
        </row>
        <row r="51">
          <cell r="B51">
            <v>8.4148050271922806E-3</v>
          </cell>
          <cell r="C51">
            <v>8.9136971748168484E-3</v>
          </cell>
          <cell r="D51">
            <v>8.9134088125713464E-3</v>
          </cell>
          <cell r="E51">
            <v>8.9130984735471264E-3</v>
          </cell>
          <cell r="F51">
            <v>8.9095010605447864E-3</v>
          </cell>
          <cell r="G51">
            <v>3.8074108929199478E-3</v>
          </cell>
          <cell r="H51">
            <v>0</v>
          </cell>
          <cell r="I51">
            <v>0</v>
          </cell>
          <cell r="J51">
            <v>2.149660054881525E-4</v>
          </cell>
          <cell r="K51">
            <v>4.2605445906803563E-4</v>
          </cell>
          <cell r="L51">
            <v>4.2751477959380714E-4</v>
          </cell>
          <cell r="M51">
            <v>8.7057920551824859E-4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2.056970522227811E-4</v>
          </cell>
          <cell r="K52">
            <v>3.5570350397947411E-4</v>
          </cell>
          <cell r="L52">
            <v>3.5667666737332706E-4</v>
          </cell>
          <cell r="M52">
            <v>6.6824620046727142E-4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6.5094290595688297E-5</v>
          </cell>
          <cell r="F53">
            <v>1.4527960002659211E-4</v>
          </cell>
          <cell r="G53">
            <v>1.1829729129904038E-2</v>
          </cell>
          <cell r="H53">
            <v>1.4671221867270058E-2</v>
          </cell>
          <cell r="I53">
            <v>1.4809242393817553E-2</v>
          </cell>
          <cell r="J53">
            <v>1.4282951679614415E-2</v>
          </cell>
          <cell r="K53">
            <v>1.4149817004320017E-2</v>
          </cell>
          <cell r="L53">
            <v>1.4203298457796127E-2</v>
          </cell>
          <cell r="M53">
            <v>1.3781200648624691E-2</v>
          </cell>
        </row>
        <row r="54">
          <cell r="B54">
            <v>7.35127E-2</v>
          </cell>
          <cell r="C54">
            <v>8.4745494065710872E-2</v>
          </cell>
          <cell r="D54">
            <v>8.4751212044905724E-2</v>
          </cell>
          <cell r="E54">
            <v>8.4751482864389646E-2</v>
          </cell>
          <cell r="F54">
            <v>0.11059428251176302</v>
          </cell>
          <cell r="G54">
            <v>0.11059911782327116</v>
          </cell>
          <cell r="H54">
            <v>0.24506738346018958</v>
          </cell>
          <cell r="I54">
            <v>0.26282805931353803</v>
          </cell>
          <cell r="J54">
            <v>0.31579210953945352</v>
          </cell>
          <cell r="K54">
            <v>0.40590808065155259</v>
          </cell>
          <cell r="L54">
            <v>0.42009117744120877</v>
          </cell>
          <cell r="M54">
            <v>0.42013354363214062</v>
          </cell>
        </row>
        <row r="55">
          <cell r="B55">
            <v>6.5199902692747697E-2</v>
          </cell>
          <cell r="C55">
            <v>9.9680962464130107E-2</v>
          </cell>
          <cell r="D55">
            <v>9.9678999941113566E-2</v>
          </cell>
          <cell r="E55">
            <v>9.8023126121923945E-2</v>
          </cell>
          <cell r="F55">
            <v>8.9060391396280636E-2</v>
          </cell>
          <cell r="G55">
            <v>5.3490663729847579E-2</v>
          </cell>
          <cell r="H55">
            <v>0</v>
          </cell>
          <cell r="I55">
            <v>0</v>
          </cell>
          <cell r="J55">
            <v>2.0924694858414801E-4</v>
          </cell>
          <cell r="K55">
            <v>2.1489209996033843E-4</v>
          </cell>
          <cell r="L55">
            <v>2.1530370364058449E-4</v>
          </cell>
          <cell r="M55">
            <v>4.0599114296522838E-4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6.1479892251427106E-5</v>
          </cell>
          <cell r="F56">
            <v>1.0197640613028296E-4</v>
          </cell>
          <cell r="G56">
            <v>4.1875896787529974E-4</v>
          </cell>
          <cell r="H56">
            <v>3.7032398350776062E-4</v>
          </cell>
          <cell r="I56">
            <v>2.9975650001735498E-4</v>
          </cell>
          <cell r="J56">
            <v>2.3484000796104645E-4</v>
          </cell>
          <cell r="K56">
            <v>2.245558064952859E-4</v>
          </cell>
          <cell r="L56">
            <v>1.7950859432045173E-4</v>
          </cell>
          <cell r="M56">
            <v>3.4923852022484403E-4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7.1316887963260097E-5</v>
          </cell>
          <cell r="F57">
            <v>1.7545773927797638E-4</v>
          </cell>
          <cell r="G57">
            <v>9.023841830151858E-4</v>
          </cell>
          <cell r="H57">
            <v>3.5471625091089047E-3</v>
          </cell>
          <cell r="I57">
            <v>6.6509842509859494E-3</v>
          </cell>
          <cell r="J57">
            <v>5.6647263232751819E-3</v>
          </cell>
          <cell r="K57">
            <v>3.2072296728074485E-3</v>
          </cell>
          <cell r="L57">
            <v>6.6270712605056886E-4</v>
          </cell>
          <cell r="M57">
            <v>1.7534844362862908E-3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1.1436808658798501E-4</v>
          </cell>
          <cell r="K58">
            <v>1.9972562581380525E-4</v>
          </cell>
          <cell r="L58">
            <v>1.6631785538582315E-4</v>
          </cell>
          <cell r="M58">
            <v>3.4460665540120468E-4</v>
          </cell>
        </row>
        <row r="63">
          <cell r="B63">
            <v>0.1</v>
          </cell>
          <cell r="C63">
            <v>9.9997763051769994E-2</v>
          </cell>
          <cell r="D63">
            <v>9.9997808560226012E-2</v>
          </cell>
          <cell r="E63">
            <v>9.9997927622236304E-2</v>
          </cell>
          <cell r="F63">
            <v>9.9998511100420656E-2</v>
          </cell>
          <cell r="G63">
            <v>9.9998836897014762E-2</v>
          </cell>
          <cell r="H63">
            <v>9.9998891670768419E-2</v>
          </cell>
          <cell r="I63">
            <v>9.9998535490837287E-2</v>
          </cell>
          <cell r="J63">
            <v>9.9998170414428503E-2</v>
          </cell>
          <cell r="K63">
            <v>9.999772967771757E-2</v>
          </cell>
          <cell r="L63">
            <v>9.9997494517732793E-2</v>
          </cell>
          <cell r="M63">
            <v>9.9997523207667013E-2</v>
          </cell>
        </row>
        <row r="64">
          <cell r="B64">
            <v>4.4382352698327102E-4</v>
          </cell>
          <cell r="C64">
            <v>4.4438992246752154E-4</v>
          </cell>
          <cell r="D64">
            <v>4.4638493304656831E-4</v>
          </cell>
          <cell r="E64">
            <v>4.3839567367524147E-4</v>
          </cell>
          <cell r="F64">
            <v>0.28981709508803194</v>
          </cell>
          <cell r="G64">
            <v>0.51122285330678663</v>
          </cell>
          <cell r="H64">
            <v>0.51125049588290672</v>
          </cell>
          <cell r="I64">
            <v>0.5112575176697326</v>
          </cell>
          <cell r="J64">
            <v>0.51125936665562266</v>
          </cell>
          <cell r="K64">
            <v>0.51126698389624048</v>
          </cell>
          <cell r="L64">
            <v>0.51127271065761404</v>
          </cell>
          <cell r="M64">
            <v>0.51136834845654655</v>
          </cell>
        </row>
        <row r="65">
          <cell r="B65">
            <v>3.2700650880345197E-4</v>
          </cell>
          <cell r="C65">
            <v>3.2743891217520006E-4</v>
          </cell>
          <cell r="D65">
            <v>3.2901576567956629E-4</v>
          </cell>
          <cell r="E65">
            <v>3.3350544972962068E-4</v>
          </cell>
          <cell r="F65">
            <v>4.9048666038228744E-3</v>
          </cell>
          <cell r="G65">
            <v>1.7208606478118425E-2</v>
          </cell>
          <cell r="H65">
            <v>0.32489218937443265</v>
          </cell>
          <cell r="I65">
            <v>0.49246310272472299</v>
          </cell>
          <cell r="J65">
            <v>0.51523700514347437</v>
          </cell>
          <cell r="K65">
            <v>0.36139123427856162</v>
          </cell>
          <cell r="L65">
            <v>0.38869324390520704</v>
          </cell>
          <cell r="M65">
            <v>0.43013217712214213</v>
          </cell>
        </row>
        <row r="66">
          <cell r="B66">
            <v>3.1149645650111222E-4</v>
          </cell>
          <cell r="C66">
            <v>3.1184219838218167E-4</v>
          </cell>
          <cell r="D66">
            <v>3.1286661865783809E-4</v>
          </cell>
          <cell r="E66">
            <v>3.6829051045515662E-2</v>
          </cell>
          <cell r="F66">
            <v>7.5403086298384048E-2</v>
          </cell>
          <cell r="G66">
            <v>0.11697471427540891</v>
          </cell>
          <cell r="H66">
            <v>0.13468455993667525</v>
          </cell>
          <cell r="I66">
            <v>0.12385235857149247</v>
          </cell>
          <cell r="J66">
            <v>0.12913400348946602</v>
          </cell>
          <cell r="K66">
            <v>0.13477190848578247</v>
          </cell>
          <cell r="L66">
            <v>0.16711112419033891</v>
          </cell>
          <cell r="M66">
            <v>0.14140738654820736</v>
          </cell>
        </row>
        <row r="67">
          <cell r="B67">
            <v>6.2560152925770877E-4</v>
          </cell>
          <cell r="C67">
            <v>6.2628912355617542E-4</v>
          </cell>
          <cell r="D67">
            <v>6.2847745217804675E-4</v>
          </cell>
          <cell r="E67">
            <v>3.5651035266733085E-2</v>
          </cell>
          <cell r="F67">
            <v>3.6479262743329542E-2</v>
          </cell>
          <cell r="G67">
            <v>3.1326871614930682E-2</v>
          </cell>
          <cell r="H67">
            <v>4.2872529951263685E-2</v>
          </cell>
          <cell r="I67">
            <v>4.6059700208553767E-2</v>
          </cell>
          <cell r="J67">
            <v>3.9082722109743687E-2</v>
          </cell>
          <cell r="K67">
            <v>5.9525776082560308E-2</v>
          </cell>
          <cell r="L67">
            <v>5.3737419866298333E-2</v>
          </cell>
          <cell r="M67">
            <v>6.9341445242819183E-2</v>
          </cell>
        </row>
        <row r="68">
          <cell r="B68">
            <v>6.2513997368883532E-4</v>
          </cell>
          <cell r="C68">
            <v>6.2582497882396923E-4</v>
          </cell>
          <cell r="D68">
            <v>6.2800377662059728E-4</v>
          </cell>
          <cell r="E68">
            <v>4.526305564047782E-2</v>
          </cell>
          <cell r="F68">
            <v>5.7107807884387296E-2</v>
          </cell>
          <cell r="G68">
            <v>4.7294292558497243E-2</v>
          </cell>
          <cell r="H68">
            <v>4.3564308896723539E-2</v>
          </cell>
          <cell r="I68">
            <v>5.8180627340737326E-2</v>
          </cell>
          <cell r="J68">
            <v>6.6232862506465623E-2</v>
          </cell>
          <cell r="K68">
            <v>6.0695089796765134E-2</v>
          </cell>
          <cell r="L68">
            <v>5.3615357100894566E-2</v>
          </cell>
          <cell r="M68">
            <v>6.9480161920926001E-2</v>
          </cell>
        </row>
        <row r="69">
          <cell r="B69">
            <v>3.1266854021912307E-4</v>
          </cell>
          <cell r="C69">
            <v>3.1301360768668754E-4</v>
          </cell>
          <cell r="D69">
            <v>3.1403796467868191E-4</v>
          </cell>
          <cell r="E69">
            <v>2.6674357702079207E-2</v>
          </cell>
          <cell r="F69">
            <v>4.5129400079313826E-2</v>
          </cell>
          <cell r="G69">
            <v>3.53447832956661E-2</v>
          </cell>
          <cell r="H69">
            <v>2.7373045333994896E-2</v>
          </cell>
          <cell r="I69">
            <v>3.9493341485001603E-2</v>
          </cell>
          <cell r="J69">
            <v>4.6569250043718875E-2</v>
          </cell>
          <cell r="K69">
            <v>4.0475136918184614E-2</v>
          </cell>
          <cell r="L69">
            <v>3.5828358163597043E-2</v>
          </cell>
          <cell r="M69">
            <v>4.6503802835493095E-2</v>
          </cell>
        </row>
      </sheetData>
      <sheetData sheetId="61">
        <row r="14">
          <cell r="B14">
            <v>0</v>
          </cell>
          <cell r="C14">
            <v>1.2329269168969399</v>
          </cell>
          <cell r="D14">
            <v>1.00976889545327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0.60889257762651383</v>
          </cell>
          <cell r="J14">
            <v>1.2855859479528722</v>
          </cell>
          <cell r="K14">
            <v>3.7022615679598242E-3</v>
          </cell>
          <cell r="L14">
            <v>1.5792684364734023E-3</v>
          </cell>
          <cell r="M14">
            <v>0</v>
          </cell>
        </row>
        <row r="15">
          <cell r="B15">
            <v>0</v>
          </cell>
          <cell r="C15">
            <v>1.473218600302728E-3</v>
          </cell>
          <cell r="D15">
            <v>1.9714528779918271E-2</v>
          </cell>
          <cell r="E15">
            <v>9.1684610209738504E-2</v>
          </cell>
          <cell r="F15">
            <v>0.16773107126263698</v>
          </cell>
          <cell r="G15">
            <v>6.8402600282156709E-2</v>
          </cell>
          <cell r="H15">
            <v>2.4499164448857512E-7</v>
          </cell>
          <cell r="I15">
            <v>4.4384539829930283E-7</v>
          </cell>
          <cell r="J15">
            <v>3.9792349801492529E-7</v>
          </cell>
          <cell r="K15">
            <v>3.274226595525262E-6</v>
          </cell>
          <cell r="L15">
            <v>6.2114126259926103E-7</v>
          </cell>
          <cell r="M15">
            <v>1.14450553316777E-7</v>
          </cell>
        </row>
        <row r="16">
          <cell r="B16">
            <v>0</v>
          </cell>
          <cell r="C16">
            <v>3.2125636171755648E-4</v>
          </cell>
          <cell r="D16">
            <v>2.5124665132696056E-2</v>
          </cell>
          <cell r="E16">
            <v>5.8687504173164022E-4</v>
          </cell>
          <cell r="F16">
            <v>1.3364582991630607E-5</v>
          </cell>
          <cell r="G16">
            <v>8.8333258330886295E-7</v>
          </cell>
          <cell r="H16">
            <v>1.0883266875931564E-6</v>
          </cell>
          <cell r="I16">
            <v>5.8873223966709713E-7</v>
          </cell>
          <cell r="J16">
            <v>2.5769037765401777E-7</v>
          </cell>
          <cell r="K16">
            <v>9.9124445043344393E-7</v>
          </cell>
          <cell r="L16">
            <v>1.592704770022801E-6</v>
          </cell>
          <cell r="M16">
            <v>7.4422946752317521E-5</v>
          </cell>
        </row>
        <row r="17">
          <cell r="B17">
            <v>0</v>
          </cell>
          <cell r="C17">
            <v>1.67458985481132E-4</v>
          </cell>
          <cell r="D17">
            <v>7.1366591913953997E-7</v>
          </cell>
          <cell r="E17">
            <v>8.4479837173282004E-7</v>
          </cell>
          <cell r="F17">
            <v>5.6991669180793203E-7</v>
          </cell>
          <cell r="G17">
            <v>6.1975630339479196E-5</v>
          </cell>
          <cell r="H17">
            <v>3.4023742308811599E-7</v>
          </cell>
          <cell r="I17">
            <v>7.02032587522913E-5</v>
          </cell>
          <cell r="J17">
            <v>1.08386464625345E-6</v>
          </cell>
          <cell r="K17">
            <v>2.9097273681657999E-4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3.2501113688510099E-6</v>
          </cell>
          <cell r="D18">
            <v>1.2735752896365299E-3</v>
          </cell>
          <cell r="E18">
            <v>5.8138045857385898E-2</v>
          </cell>
          <cell r="F18">
            <v>6.994740264624E-3</v>
          </cell>
          <cell r="G18">
            <v>6.1185432639097696E-3</v>
          </cell>
          <cell r="H18">
            <v>6.2385951109996804E-3</v>
          </cell>
          <cell r="I18">
            <v>1.2778690587103501E-5</v>
          </cell>
          <cell r="J18">
            <v>3.1470420927380598E-4</v>
          </cell>
          <cell r="K18">
            <v>3.6218333779203899E-5</v>
          </cell>
          <cell r="L18">
            <v>5.0949381884985399E-4</v>
          </cell>
          <cell r="M18">
            <v>1.0718445468817299E-2</v>
          </cell>
        </row>
        <row r="19">
          <cell r="B19">
            <v>0</v>
          </cell>
          <cell r="C19">
            <v>1.60347155245054E-7</v>
          </cell>
          <cell r="D19">
            <v>9.9254876266867098E-7</v>
          </cell>
          <cell r="E19">
            <v>6.7314470426035805E-2</v>
          </cell>
          <cell r="F19">
            <v>0.1607810841516</v>
          </cell>
          <cell r="G19">
            <v>2.5629228408288102E-2</v>
          </cell>
          <cell r="H19">
            <v>2.7091473330537798E-5</v>
          </cell>
          <cell r="I19">
            <v>9.4561013168995706E-3</v>
          </cell>
          <cell r="J19">
            <v>2.6538763525844798E-7</v>
          </cell>
          <cell r="K19">
            <v>1.12139478151765E-6</v>
          </cell>
          <cell r="L19">
            <v>0.123711746842859</v>
          </cell>
          <cell r="M19">
            <v>5.0235136193656403E-2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9.36468770241832E-2</v>
          </cell>
          <cell r="H20">
            <v>0.128488182477248</v>
          </cell>
          <cell r="I20">
            <v>2.65871803486119E-7</v>
          </cell>
          <cell r="J20">
            <v>6.5794721507276804E-8</v>
          </cell>
          <cell r="K20">
            <v>2.5018517840071501E-7</v>
          </cell>
          <cell r="L20">
            <v>4.0850085292120599E-7</v>
          </cell>
          <cell r="M20">
            <v>3.7303582939271003E-2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4.6446404150950601E-6</v>
          </cell>
          <cell r="H21">
            <v>5.0535471915400798E-6</v>
          </cell>
          <cell r="I21">
            <v>1.3411763417222101E-4</v>
          </cell>
          <cell r="J21">
            <v>2.2253190546457901E-4</v>
          </cell>
          <cell r="K21">
            <v>2.5703899785862699E-6</v>
          </cell>
          <cell r="L21">
            <v>1.9443311660334299E-4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5.1785096002158505E-4</v>
          </cell>
          <cell r="G22">
            <v>5.6480280533947402E-6</v>
          </cell>
          <cell r="H22">
            <v>3.2319536813564198E-2</v>
          </cell>
          <cell r="I22">
            <v>1.99928594174961E-5</v>
          </cell>
          <cell r="J22">
            <v>1.7244227591901999E-5</v>
          </cell>
          <cell r="K22">
            <v>1.0962418188584299E-5</v>
          </cell>
          <cell r="L22">
            <v>1.4060904381396901E-4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3.9297094927572203E-6</v>
          </cell>
          <cell r="I23">
            <v>0</v>
          </cell>
          <cell r="J23">
            <v>4.7020925266111104E-3</v>
          </cell>
          <cell r="K23">
            <v>8.1112107671710102E-7</v>
          </cell>
          <cell r="L23">
            <v>1.60016408023792E-6</v>
          </cell>
          <cell r="M23">
            <v>0</v>
          </cell>
        </row>
        <row r="24">
          <cell r="B24">
            <v>0</v>
          </cell>
          <cell r="C24">
            <v>1.93904257886529E-7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</v>
          </cell>
          <cell r="C25">
            <v>1.1538085741276901E-7</v>
          </cell>
          <cell r="D25">
            <v>3.8175175982212801E-4</v>
          </cell>
          <cell r="E25">
            <v>3.6227739245733601E-7</v>
          </cell>
          <cell r="F25">
            <v>8.9737579189105596E-5</v>
          </cell>
          <cell r="G25">
            <v>6.0513886239900297E-2</v>
          </cell>
          <cell r="H25">
            <v>2.5222404448722101E-6</v>
          </cell>
          <cell r="I25">
            <v>1.9729007764819499E-6</v>
          </cell>
          <cell r="J25">
            <v>5.5107238252026204E-6</v>
          </cell>
          <cell r="K25">
            <v>5.1571539191437997E-2</v>
          </cell>
          <cell r="L25">
            <v>5.0379892946383602E-3</v>
          </cell>
          <cell r="M25">
            <v>1.34771279558033E-6</v>
          </cell>
        </row>
        <row r="26">
          <cell r="B26">
            <v>0</v>
          </cell>
          <cell r="C26">
            <v>1.13601319071765E-7</v>
          </cell>
          <cell r="D26">
            <v>1.5789019612454801E-7</v>
          </cell>
          <cell r="E26">
            <v>2.43208215904833E-7</v>
          </cell>
          <cell r="F26">
            <v>7.7592089119674296E-3</v>
          </cell>
          <cell r="G26">
            <v>3.0100101356127599E-5</v>
          </cell>
          <cell r="H26">
            <v>5.9473659860588297E-7</v>
          </cell>
          <cell r="I26">
            <v>3.4254046435431298E-2</v>
          </cell>
          <cell r="J26">
            <v>7.6154694676025598E-7</v>
          </cell>
          <cell r="K26">
            <v>3.6698300630915201E-7</v>
          </cell>
          <cell r="L26">
            <v>3.8041473476206101E-7</v>
          </cell>
          <cell r="M26">
            <v>4.6961487708000299E-7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1.7852751803264798E-2</v>
          </cell>
          <cell r="H27">
            <v>2.0737357845688299E-2</v>
          </cell>
          <cell r="I27">
            <v>6.8593121145552505E-4</v>
          </cell>
          <cell r="J27">
            <v>1.9392412223498899E-7</v>
          </cell>
          <cell r="K27">
            <v>7.1700525853414595E-7</v>
          </cell>
          <cell r="L27">
            <v>2.6902551083482699E-3</v>
          </cell>
          <cell r="M27">
            <v>1.4775575462692699E-2</v>
          </cell>
        </row>
        <row r="28">
          <cell r="B28">
            <v>0</v>
          </cell>
          <cell r="C28">
            <v>1.2040674626284201E-6</v>
          </cell>
          <cell r="D28">
            <v>1.1985993598912601E-6</v>
          </cell>
          <cell r="E28">
            <v>1.4513369617515301E-6</v>
          </cell>
          <cell r="F28">
            <v>6.88464743404936E-6</v>
          </cell>
          <cell r="G28">
            <v>6.5417718478971305E-5</v>
          </cell>
          <cell r="H28">
            <v>7.2113305277628594E-5</v>
          </cell>
          <cell r="I28">
            <v>5.39364395860969E-6</v>
          </cell>
          <cell r="J28">
            <v>6.0337507261416501E-6</v>
          </cell>
          <cell r="K28">
            <v>9.1894951368309095E-5</v>
          </cell>
          <cell r="L28">
            <v>4.3740260189972898E-5</v>
          </cell>
          <cell r="M28">
            <v>1.24276173906069E-4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1.7351588725671E-2</v>
          </cell>
          <cell r="H30">
            <v>4.5477463396398098E-2</v>
          </cell>
          <cell r="I30">
            <v>1.0905453499551399E-2</v>
          </cell>
          <cell r="J30">
            <v>7.5714940048663204E-7</v>
          </cell>
          <cell r="K30">
            <v>1.5194026211492901E-2</v>
          </cell>
          <cell r="L30">
            <v>5.0285924160174203E-2</v>
          </cell>
          <cell r="M30">
            <v>9.6057842550970104E-3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9.9641201893889401E-5</v>
          </cell>
          <cell r="H31">
            <v>1.6245508654445299E-2</v>
          </cell>
          <cell r="I31">
            <v>5.7333271100106602E-3</v>
          </cell>
          <cell r="J31">
            <v>2.63725033027647E-5</v>
          </cell>
          <cell r="K31">
            <v>3.6169142080928002E-7</v>
          </cell>
          <cell r="L31">
            <v>7.0186744754224097E-3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7.2012943723302205E-4</v>
          </cell>
          <cell r="H32">
            <v>4.1972187268823001E-7</v>
          </cell>
          <cell r="I32">
            <v>1.2979241315168599E-7</v>
          </cell>
          <cell r="J32">
            <v>1.5251756180353001E-7</v>
          </cell>
          <cell r="K32">
            <v>1.66268505704481E-7</v>
          </cell>
          <cell r="L32">
            <v>1.45242041094207E-6</v>
          </cell>
          <cell r="M32">
            <v>0</v>
          </cell>
        </row>
        <row r="33">
          <cell r="B33">
            <v>0</v>
          </cell>
          <cell r="C33">
            <v>7.1321173149029799E-3</v>
          </cell>
          <cell r="D33">
            <v>0.145867462679903</v>
          </cell>
          <cell r="E33">
            <v>8.1126662807576803E-3</v>
          </cell>
          <cell r="F33">
            <v>2.1988173628112399E-2</v>
          </cell>
          <cell r="G33">
            <v>1.08833727014738E-6</v>
          </cell>
          <cell r="H33">
            <v>0.17294462453348</v>
          </cell>
          <cell r="I33">
            <v>1.02469556333821E-4</v>
          </cell>
          <cell r="J33">
            <v>3.0044359538501399E-2</v>
          </cell>
          <cell r="K33">
            <v>1.6310686288786301E-6</v>
          </cell>
          <cell r="L33">
            <v>0.17294767888527601</v>
          </cell>
          <cell r="M33">
            <v>0</v>
          </cell>
        </row>
        <row r="34">
          <cell r="B34">
            <v>0</v>
          </cell>
          <cell r="C34">
            <v>0</v>
          </cell>
          <cell r="D34">
            <v>4.49248641432596E-2</v>
          </cell>
          <cell r="E34">
            <v>0.18450902022639168</v>
          </cell>
          <cell r="F34">
            <v>0.1943802926847987</v>
          </cell>
          <cell r="G34">
            <v>0.25804304530130573</v>
          </cell>
          <cell r="H34">
            <v>0.67781899263382817</v>
          </cell>
          <cell r="I34">
            <v>0.64876703443340111</v>
          </cell>
          <cell r="J34">
            <v>3.9001083501420738E-6</v>
          </cell>
          <cell r="K34">
            <v>5.6498108135800802E-6</v>
          </cell>
          <cell r="L34">
            <v>5.7420912747869752E-4</v>
          </cell>
          <cell r="M34">
            <v>5.6788791723395458E-3</v>
          </cell>
        </row>
        <row r="35">
          <cell r="B35">
            <v>0</v>
          </cell>
          <cell r="C35">
            <v>1.2299577941021799E-8</v>
          </cell>
          <cell r="D35">
            <v>1.76796393388853</v>
          </cell>
          <cell r="E35">
            <v>1.70148395654468E-5</v>
          </cell>
          <cell r="F35">
            <v>1.91458109928288</v>
          </cell>
          <cell r="G35">
            <v>0.86938992394196801</v>
          </cell>
          <cell r="H35">
            <v>2.3094285522816702</v>
          </cell>
          <cell r="I35">
            <v>0.58894568423453697</v>
          </cell>
          <cell r="J35">
            <v>1.73843696035979</v>
          </cell>
          <cell r="K35">
            <v>1.6400334191949999</v>
          </cell>
          <cell r="L35">
            <v>2.6296110060021198</v>
          </cell>
          <cell r="M35">
            <v>0.92546070091076504</v>
          </cell>
        </row>
        <row r="36">
          <cell r="B36">
            <v>0</v>
          </cell>
          <cell r="C36">
            <v>3.0518107278087028E-6</v>
          </cell>
          <cell r="D36">
            <v>2.169608896344575E-4</v>
          </cell>
          <cell r="E36">
            <v>3.4275061260477671</v>
          </cell>
          <cell r="F36">
            <v>0.46161299658763788</v>
          </cell>
          <cell r="G36">
            <v>0.75118008792218482</v>
          </cell>
          <cell r="H36">
            <v>1.8795681984507844</v>
          </cell>
          <cell r="I36">
            <v>2.6181337362140775</v>
          </cell>
          <cell r="J36">
            <v>0.71230652583361809</v>
          </cell>
          <cell r="K36">
            <v>1.0979319627484503</v>
          </cell>
          <cell r="L36">
            <v>2.2013379651898797</v>
          </cell>
          <cell r="M36">
            <v>2.9563557680077324</v>
          </cell>
        </row>
        <row r="37">
          <cell r="B37">
            <v>0</v>
          </cell>
          <cell r="C37">
            <v>3.2307108088643688E-6</v>
          </cell>
          <cell r="D37">
            <v>1.2060645368304939</v>
          </cell>
          <cell r="E37">
            <v>1.652509342239872</v>
          </cell>
          <cell r="F37">
            <v>0.2583155420816769</v>
          </cell>
          <cell r="G37">
            <v>0.37419510315762428</v>
          </cell>
          <cell r="H37">
            <v>1.8912610819567068</v>
          </cell>
          <cell r="I37">
            <v>1.5394687519141059</v>
          </cell>
          <cell r="J37">
            <v>0.43674673785659501</v>
          </cell>
          <cell r="K37">
            <v>0.62086965365561797</v>
          </cell>
          <cell r="L37">
            <v>2.1202128212701457</v>
          </cell>
          <cell r="M37">
            <v>1.7801019637298139</v>
          </cell>
        </row>
        <row r="38">
          <cell r="B38">
            <v>0</v>
          </cell>
          <cell r="C38">
            <v>1.18804476541489E-8</v>
          </cell>
          <cell r="D38">
            <v>0.83747467394013597</v>
          </cell>
          <cell r="E38">
            <v>3.15805627398674E-6</v>
          </cell>
          <cell r="F38">
            <v>4.6523764677089403</v>
          </cell>
          <cell r="G38">
            <v>0.71587309009113498</v>
          </cell>
          <cell r="H38">
            <v>1.2753249173446699</v>
          </cell>
          <cell r="I38">
            <v>0.49479337772591497</v>
          </cell>
          <cell r="J38">
            <v>3.6990774031871898</v>
          </cell>
          <cell r="K38">
            <v>2.41600395358773</v>
          </cell>
          <cell r="L38">
            <v>1.6775498674171601</v>
          </cell>
          <cell r="M38">
            <v>0.91753735259115199</v>
          </cell>
        </row>
        <row r="39">
          <cell r="B39">
            <v>0</v>
          </cell>
          <cell r="C39">
            <v>4.8382476227362305E-7</v>
          </cell>
          <cell r="D39">
            <v>2.6179959703700202E-6</v>
          </cell>
          <cell r="E39">
            <v>1.3996669963660601E-2</v>
          </cell>
          <cell r="F39">
            <v>3.4375302427807203E-2</v>
          </cell>
          <cell r="G39">
            <v>2.0200898836181199E-2</v>
          </cell>
          <cell r="H39">
            <v>3.2950737023848542E-6</v>
          </cell>
          <cell r="I39">
            <v>4.7582232896782812E-3</v>
          </cell>
          <cell r="J39">
            <v>2.2008600459293301E-2</v>
          </cell>
          <cell r="K39">
            <v>1.6795039668144E-2</v>
          </cell>
          <cell r="L39">
            <v>1.3663907213140699E-2</v>
          </cell>
          <cell r="M39">
            <v>2.9868131884727873E-4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6.0194286883080304E-4</v>
          </cell>
          <cell r="H40">
            <v>1.37849779527239E-2</v>
          </cell>
          <cell r="I40">
            <v>3.9715075637064999E-3</v>
          </cell>
          <cell r="J40">
            <v>1.79364770293697E-6</v>
          </cell>
          <cell r="K40">
            <v>8.4664222421755704E-6</v>
          </cell>
          <cell r="L40">
            <v>1.37815079010821E-2</v>
          </cell>
          <cell r="M40">
            <v>4.0967390035122099E-3</v>
          </cell>
        </row>
        <row r="41">
          <cell r="B41">
            <v>0</v>
          </cell>
          <cell r="C41">
            <v>2.1345741812565301E-2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1.8724755417411601E-2</v>
          </cell>
          <cell r="K41">
            <v>9.4578827393827905E-5</v>
          </cell>
          <cell r="L41">
            <v>1.1790382236056701E-2</v>
          </cell>
          <cell r="M41">
            <v>8.3002418365411001E-3</v>
          </cell>
        </row>
        <row r="42">
          <cell r="B42">
            <v>0</v>
          </cell>
          <cell r="C42">
            <v>7.4342480416919104E-3</v>
          </cell>
          <cell r="D42">
            <v>3.27569081420723E-2</v>
          </cell>
          <cell r="E42">
            <v>1.5026905351894699E-2</v>
          </cell>
          <cell r="F42">
            <v>1.9991196784717401E-2</v>
          </cell>
          <cell r="G42">
            <v>1.02662494469147E-6</v>
          </cell>
          <cell r="H42">
            <v>8.1983006638075696E-7</v>
          </cell>
          <cell r="I42">
            <v>7.6748138801895194E-5</v>
          </cell>
          <cell r="J42">
            <v>3.4756212551089899E-7</v>
          </cell>
          <cell r="K42">
            <v>1.43777029290856E-5</v>
          </cell>
          <cell r="L42">
            <v>4.1669621499120103E-5</v>
          </cell>
          <cell r="M42">
            <v>3.9625317693715899E-5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9.40458163736448E-2</v>
          </cell>
          <cell r="H43">
            <v>5.8067411008259601E-2</v>
          </cell>
          <cell r="I43">
            <v>3.4030616814123803E-2</v>
          </cell>
          <cell r="J43">
            <v>7.9023056542946502E-2</v>
          </cell>
          <cell r="K43">
            <v>6.8619884013858101E-2</v>
          </cell>
          <cell r="L43">
            <v>4.97701184276782E-2</v>
          </cell>
          <cell r="M43">
            <v>6.1709191072553897E-2</v>
          </cell>
        </row>
        <row r="44">
          <cell r="B44">
            <v>0</v>
          </cell>
          <cell r="C44">
            <v>2.4881149510157099E-7</v>
          </cell>
          <cell r="D44">
            <v>8.8885563833061897E-7</v>
          </cell>
          <cell r="E44">
            <v>1.5496552131633E-3</v>
          </cell>
          <cell r="F44">
            <v>5.0003510649696903E-3</v>
          </cell>
          <cell r="G44">
            <v>1.2564119076525899E-7</v>
          </cell>
          <cell r="H44">
            <v>1.2552983694371699E-7</v>
          </cell>
          <cell r="I44">
            <v>1.72944626214194E-7</v>
          </cell>
          <cell r="J44">
            <v>1.7317490706362699E-7</v>
          </cell>
          <cell r="K44">
            <v>1.4579682507042301E-6</v>
          </cell>
          <cell r="L44">
            <v>2.6127062038925801E-5</v>
          </cell>
          <cell r="M44">
            <v>1.0660765666670001E-5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2.8171955370456499E-3</v>
          </cell>
          <cell r="H45">
            <v>3.0566652171149199E-2</v>
          </cell>
          <cell r="I45">
            <v>3.4756290447650498E-3</v>
          </cell>
          <cell r="J45">
            <v>1.64974227623824E-7</v>
          </cell>
          <cell r="K45">
            <v>5.3356323076336101E-7</v>
          </cell>
          <cell r="L45">
            <v>1.1850479089037101E-6</v>
          </cell>
          <cell r="M45">
            <v>2.33144541494738E-3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2.7157492886493902E-4</v>
          </cell>
          <cell r="F46">
            <v>4.0169444093280299E-2</v>
          </cell>
          <cell r="G46">
            <v>6.9533051532172402E-2</v>
          </cell>
          <cell r="H46">
            <v>5.1847411895309198E-2</v>
          </cell>
          <cell r="I46">
            <v>4.3383593889183003E-2</v>
          </cell>
          <cell r="J46">
            <v>5.1292115693461197E-2</v>
          </cell>
          <cell r="K46">
            <v>5.5664554968432103E-2</v>
          </cell>
          <cell r="L46">
            <v>5.1961161677637202E-2</v>
          </cell>
          <cell r="M46">
            <v>4.2742463436335601E-2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5.6063492314925902E-5</v>
          </cell>
          <cell r="F47">
            <v>5.1321508370240197E-5</v>
          </cell>
          <cell r="G47">
            <v>1.4334262078944399E-4</v>
          </cell>
          <cell r="H47">
            <v>2.6188707691261501E-6</v>
          </cell>
          <cell r="I47">
            <v>7.6705494369522795E-5</v>
          </cell>
          <cell r="J47">
            <v>5.2349260180913601E-5</v>
          </cell>
          <cell r="K47">
            <v>1.5434998715653601E-4</v>
          </cell>
          <cell r="L47">
            <v>4.4122870801853696E-6</v>
          </cell>
          <cell r="M47">
            <v>2.8953846735618201E-5</v>
          </cell>
        </row>
        <row r="48">
          <cell r="B48">
            <v>0</v>
          </cell>
          <cell r="C48">
            <v>1.2747806310043388E-4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2.0498116186372459E-4</v>
          </cell>
          <cell r="K48">
            <v>4.3055969739856599E-5</v>
          </cell>
          <cell r="L48">
            <v>1.1667939217283244E-4</v>
          </cell>
          <cell r="M48">
            <v>7.2083596585557818E-5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8.0802946596188102E-5</v>
          </cell>
          <cell r="K49">
            <v>5.4674607069764702E-5</v>
          </cell>
          <cell r="L49">
            <v>6.19108536708926E-7</v>
          </cell>
          <cell r="M49">
            <v>1.2600782097927461E-4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4.9076636273978603E-5</v>
          </cell>
          <cell r="F50">
            <v>3.3551345279044903E-5</v>
          </cell>
          <cell r="G50">
            <v>2.8616671513336097E-4</v>
          </cell>
          <cell r="H50">
            <v>1.3461230034426835E-4</v>
          </cell>
          <cell r="I50">
            <v>1.5829566509116408E-4</v>
          </cell>
          <cell r="J50">
            <v>1.446479304501569E-5</v>
          </cell>
          <cell r="K50">
            <v>1.2906248236547012E-4</v>
          </cell>
          <cell r="L50">
            <v>1.2666386601678769E-4</v>
          </cell>
          <cell r="M50">
            <v>1.4118977456685418E-4</v>
          </cell>
        </row>
        <row r="51">
          <cell r="B51">
            <v>0</v>
          </cell>
          <cell r="C51">
            <v>5.5881603947865858E-4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2.149660054881525E-4</v>
          </cell>
          <cell r="K51">
            <v>2.112465399380364E-4</v>
          </cell>
          <cell r="L51">
            <v>2.1389970469720849E-6</v>
          </cell>
          <cell r="M51">
            <v>4.4423425629516906E-4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2.056970522227811E-4</v>
          </cell>
          <cell r="K52">
            <v>1.5015029411759499E-4</v>
          </cell>
          <cell r="L52">
            <v>1.546963354613323E-6</v>
          </cell>
          <cell r="M52">
            <v>3.12734190513151E-4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6.5094290595688297E-5</v>
          </cell>
          <cell r="F53">
            <v>8.0265334163476395E-5</v>
          </cell>
          <cell r="G53">
            <v>1.1697042728127469E-2</v>
          </cell>
          <cell r="H53">
            <v>2.8941178878893921E-3</v>
          </cell>
          <cell r="I53">
            <v>2.3277339055158397E-4</v>
          </cell>
          <cell r="J53">
            <v>9.7450595174388057E-3</v>
          </cell>
          <cell r="K53">
            <v>4.172349730833652E-3</v>
          </cell>
          <cell r="L53">
            <v>3.3642718667698124E-3</v>
          </cell>
          <cell r="M53">
            <v>6.245190942794486E-3</v>
          </cell>
        </row>
        <row r="54">
          <cell r="B54">
            <v>0</v>
          </cell>
          <cell r="C54">
            <v>2.6188592158301299E-2</v>
          </cell>
          <cell r="D54">
            <v>6.5725405701520002E-3</v>
          </cell>
          <cell r="E54">
            <v>1.2221888909850801E-2</v>
          </cell>
          <cell r="F54">
            <v>6.99256404088128E-2</v>
          </cell>
          <cell r="G54">
            <v>2.9396950111364201E-2</v>
          </cell>
          <cell r="H54">
            <v>0.145745022130848</v>
          </cell>
          <cell r="I54">
            <v>8.7686470510707201E-2</v>
          </cell>
          <cell r="J54">
            <v>9.7154653937200394E-2</v>
          </cell>
          <cell r="K54">
            <v>0.22106735842538999</v>
          </cell>
          <cell r="L54">
            <v>0.11713786545593401</v>
          </cell>
          <cell r="M54">
            <v>8.1928795267510096E-2</v>
          </cell>
        </row>
        <row r="55">
          <cell r="B55">
            <v>0</v>
          </cell>
          <cell r="C55">
            <v>8.7012172443826502E-2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2.0924694858414801E-4</v>
          </cell>
          <cell r="K55">
            <v>5.7756110137941504E-6</v>
          </cell>
          <cell r="L55">
            <v>8.3787883735041102E-7</v>
          </cell>
          <cell r="M55">
            <v>1.9154020321254201E-4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6.1479892251427106E-5</v>
          </cell>
          <cell r="F56">
            <v>4.0562738374161803E-5</v>
          </cell>
          <cell r="G56">
            <v>3.2857925523864301E-4</v>
          </cell>
          <cell r="H56">
            <v>1.2998451244468201E-6</v>
          </cell>
          <cell r="I56">
            <v>1.0856049020355801E-6</v>
          </cell>
          <cell r="J56">
            <v>1.8717612706024299E-4</v>
          </cell>
          <cell r="K56">
            <v>3.6543412615514902E-5</v>
          </cell>
          <cell r="L56">
            <v>1.5339839866773499E-5</v>
          </cell>
          <cell r="M56">
            <v>2.97730764336134E-4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7.1316887963260097E-5</v>
          </cell>
          <cell r="F57">
            <v>1.0416295337203201E-4</v>
          </cell>
          <cell r="G57">
            <v>7.4057929893704298E-4</v>
          </cell>
          <cell r="H57">
            <v>2.7024813657501499E-3</v>
          </cell>
          <cell r="I57">
            <v>3.20804740876469E-3</v>
          </cell>
          <cell r="J57">
            <v>1.71639719958351E-7</v>
          </cell>
          <cell r="K57">
            <v>7.0296119984841303E-7</v>
          </cell>
          <cell r="L57">
            <v>9.4202458314536798E-5</v>
          </cell>
          <cell r="M57">
            <v>1.65888865170593E-3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1.1436808658798501E-4</v>
          </cell>
          <cell r="K58">
            <v>8.5428052908057393E-5</v>
          </cell>
          <cell r="L58">
            <v>2.9888192533523398E-6</v>
          </cell>
          <cell r="M58">
            <v>2.5647223679631898E-4</v>
          </cell>
        </row>
        <row r="63">
          <cell r="B63">
            <v>0</v>
          </cell>
          <cell r="C63">
            <v>6.2757053248862204E-7</v>
          </cell>
          <cell r="D63">
            <v>6.6051880484353999E-7</v>
          </cell>
          <cell r="E63">
            <v>6.9942388504180601E-7</v>
          </cell>
          <cell r="F63">
            <v>1.0262242577954099E-6</v>
          </cell>
          <cell r="G63">
            <v>9.5065920998242704E-7</v>
          </cell>
          <cell r="H63">
            <v>8.8097707533257104E-7</v>
          </cell>
          <cell r="I63">
            <v>7.9890038677383502E-7</v>
          </cell>
          <cell r="J63">
            <v>7.5234542525025198E-7</v>
          </cell>
          <cell r="K63">
            <v>8.9872952800643802E-7</v>
          </cell>
          <cell r="L63">
            <v>1.1064236532621E-6</v>
          </cell>
          <cell r="M63">
            <v>1.44046075696868E-6</v>
          </cell>
        </row>
        <row r="64">
          <cell r="B64">
            <v>4.4382352698327102E-4</v>
          </cell>
          <cell r="C64">
            <v>6.8546851105774897E-7</v>
          </cell>
          <cell r="D64">
            <v>2.3012048970670401E-6</v>
          </cell>
          <cell r="E64">
            <v>1.1154682368312401E-4</v>
          </cell>
          <cell r="F64">
            <v>0.28970493825642601</v>
          </cell>
          <cell r="G64">
            <v>0.221495136407757</v>
          </cell>
          <cell r="H64">
            <v>0.13954089227852001</v>
          </cell>
          <cell r="I64">
            <v>0.29605615704231197</v>
          </cell>
          <cell r="J64">
            <v>0.152437243325139</v>
          </cell>
          <cell r="K64">
            <v>0.20714909610561</v>
          </cell>
          <cell r="L64">
            <v>0.27712504638531299</v>
          </cell>
          <cell r="M64">
            <v>9.4448861772789799E-2</v>
          </cell>
        </row>
        <row r="65">
          <cell r="B65">
            <v>3.2700650880345197E-4</v>
          </cell>
          <cell r="C65">
            <v>5.2016723522159701E-7</v>
          </cell>
          <cell r="D65">
            <v>1.7962800786850999E-6</v>
          </cell>
          <cell r="E65">
            <v>9.2540320309146494E-5</v>
          </cell>
          <cell r="F65">
            <v>4.8118306952467001E-3</v>
          </cell>
          <cell r="G65">
            <v>1.23778315635248E-2</v>
          </cell>
          <cell r="H65">
            <v>0.310019920377132</v>
          </cell>
          <cell r="I65">
            <v>0.17821630913278799</v>
          </cell>
          <cell r="J65">
            <v>0.19757136415441701</v>
          </cell>
          <cell r="K65">
            <v>7.2513521478080101E-2</v>
          </cell>
          <cell r="L65">
            <v>0.28118673304939901</v>
          </cell>
          <cell r="M65">
            <v>0.100011238324569</v>
          </cell>
        </row>
        <row r="66">
          <cell r="B66">
            <v>3.0939249892992799E-4</v>
          </cell>
          <cell r="C66">
            <v>4.9015051332667005E-7</v>
          </cell>
          <cell r="D66">
            <v>1.3247677604426901E-6</v>
          </cell>
          <cell r="E66">
            <v>3.6601376165737103E-2</v>
          </cell>
          <cell r="F66">
            <v>3.8801293342953999E-2</v>
          </cell>
          <cell r="G66">
            <v>7.0487524603597501E-2</v>
          </cell>
          <cell r="H66">
            <v>4.40784536903664E-2</v>
          </cell>
          <cell r="I66">
            <v>5.5696230940072901E-2</v>
          </cell>
          <cell r="J66">
            <v>5.3611232742527402E-2</v>
          </cell>
          <cell r="K66">
            <v>5.2625828528951799E-2</v>
          </cell>
          <cell r="L66">
            <v>0.104990188143618</v>
          </cell>
          <cell r="M66">
            <v>9.0312611035053695E-4</v>
          </cell>
        </row>
        <row r="67">
          <cell r="B67">
            <v>6.2015498896694906E-4</v>
          </cell>
          <cell r="C67">
            <v>9.8314906106839002E-7</v>
          </cell>
          <cell r="D67">
            <v>2.8063753518742299E-6</v>
          </cell>
          <cell r="E67">
            <v>3.5194530604962304E-2</v>
          </cell>
          <cell r="F67">
            <v>1.283817260206636E-3</v>
          </cell>
          <cell r="G67">
            <v>2.2652897759669902E-2</v>
          </cell>
          <cell r="H67">
            <v>1.9554590192803759E-2</v>
          </cell>
          <cell r="I67">
            <v>1.8768249499829831E-2</v>
          </cell>
          <cell r="J67">
            <v>1.1519451757665101E-2</v>
          </cell>
          <cell r="K67">
            <v>3.8392067851974999E-2</v>
          </cell>
          <cell r="L67">
            <v>1.330622773525655E-2</v>
          </cell>
          <cell r="M67">
            <v>3.0128117942395803E-2</v>
          </cell>
        </row>
        <row r="68">
          <cell r="B68">
            <v>6.1969348489853294E-4</v>
          </cell>
          <cell r="C68">
            <v>9.8139883778479588E-7</v>
          </cell>
          <cell r="D68">
            <v>2.7887741340986E-6</v>
          </cell>
          <cell r="E68">
            <v>4.4806905878205502E-2</v>
          </cell>
          <cell r="F68">
            <v>1.2299994993313929E-2</v>
          </cell>
          <cell r="G68">
            <v>2.5585570636973601E-2</v>
          </cell>
          <cell r="H68">
            <v>1.160168825100521E-2</v>
          </cell>
          <cell r="I68">
            <v>3.7840285683651095E-2</v>
          </cell>
          <cell r="J68">
            <v>2.3174857236227499E-2</v>
          </cell>
          <cell r="K68">
            <v>1.8134537078056838E-2</v>
          </cell>
          <cell r="L68">
            <v>3.1377269229898801E-2</v>
          </cell>
          <cell r="M68">
            <v>2.58668480440594E-2</v>
          </cell>
        </row>
        <row r="69">
          <cell r="B69">
            <v>3.10306531239125E-4</v>
          </cell>
          <cell r="C69">
            <v>4.9096113756956602E-7</v>
          </cell>
          <cell r="D69">
            <v>1.32721536247115E-6</v>
          </cell>
          <cell r="E69">
            <v>2.64460105759044E-2</v>
          </cell>
          <cell r="F69">
            <v>1.8682971505944199E-2</v>
          </cell>
          <cell r="G69">
            <v>1.11085110943268E-2</v>
          </cell>
          <cell r="H69">
            <v>6.5775239885834799E-3</v>
          </cell>
          <cell r="I69">
            <v>2.9121849743177899E-2</v>
          </cell>
          <cell r="J69">
            <v>1.44891798327726E-2</v>
          </cell>
          <cell r="K69">
            <v>1.10663288545301E-2</v>
          </cell>
          <cell r="L69">
            <v>2.2196287714559601E-2</v>
          </cell>
          <cell r="M69">
            <v>1.6840402664912799E-2</v>
          </cell>
        </row>
      </sheetData>
      <sheetData sheetId="62"/>
      <sheetData sheetId="63"/>
      <sheetData sheetId="64"/>
      <sheetData sheetId="65"/>
      <sheetData sheetId="66"/>
      <sheetData sheetId="67"/>
      <sheetData sheetId="68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2.825550792526166E-4</v>
          </cell>
          <cell r="J157">
            <v>2.8251044287486588E-4</v>
          </cell>
          <cell r="K157">
            <v>3.2735572269917252E-4</v>
          </cell>
          <cell r="L157">
            <v>3.6845763186019707E-4</v>
          </cell>
          <cell r="M157">
            <v>6.4824152888563952E-4</v>
          </cell>
        </row>
      </sheetData>
      <sheetData sheetId="69">
        <row r="5">
          <cell r="B5">
            <v>0.73065900851462517</v>
          </cell>
          <cell r="C5">
            <v>0.6372593897881712</v>
          </cell>
          <cell r="D5">
            <v>0.47838955303427022</v>
          </cell>
          <cell r="E5">
            <v>1.7457827820223056E-4</v>
          </cell>
          <cell r="F5">
            <v>3.5814279291313715E-4</v>
          </cell>
          <cell r="G5">
            <v>2.9774699136136029E-4</v>
          </cell>
          <cell r="H5">
            <v>2.3620969687954084E-4</v>
          </cell>
          <cell r="I5">
            <v>3.3816825262591053</v>
          </cell>
          <cell r="J5">
            <v>3.8503988497028745</v>
          </cell>
          <cell r="K5">
            <v>3.3824774147748156</v>
          </cell>
          <cell r="L5">
            <v>3.867586559199987</v>
          </cell>
          <cell r="M5">
            <v>3.9511503077307588</v>
          </cell>
        </row>
        <row r="12">
          <cell r="B12">
            <v>0.18493621871160124</v>
          </cell>
          <cell r="C12">
            <v>4.3678010492048783E-5</v>
          </cell>
          <cell r="D12">
            <v>0.18491693710423157</v>
          </cell>
          <cell r="E12">
            <v>6.3938889707867299E-5</v>
          </cell>
          <cell r="F12">
            <v>9.108826986515608E-5</v>
          </cell>
          <cell r="G12">
            <v>1.4056132615971993E-4</v>
          </cell>
          <cell r="H12">
            <v>1.0530995792089827E-4</v>
          </cell>
          <cell r="I12">
            <v>1.1013075193642354E-4</v>
          </cell>
          <cell r="J12">
            <v>1.0927019733401622E-4</v>
          </cell>
          <cell r="K12">
            <v>8.5667496318308828E-4</v>
          </cell>
          <cell r="L12">
            <v>1.6853360074089259E-4</v>
          </cell>
          <cell r="M12">
            <v>6.7898289447880056E-4</v>
          </cell>
        </row>
        <row r="19">
          <cell r="B19">
            <v>1.3280005973506992</v>
          </cell>
          <cell r="C19">
            <v>3.469984017133751</v>
          </cell>
          <cell r="D19">
            <v>4.3844484850327863</v>
          </cell>
          <cell r="E19">
            <v>4.3847642249329288</v>
          </cell>
          <cell r="F19">
            <v>4.3847647061384656</v>
          </cell>
          <cell r="G19">
            <v>4.3856598106089875</v>
          </cell>
          <cell r="H19">
            <v>4.4053874736422545</v>
          </cell>
          <cell r="I19">
            <v>6.5779434603686022</v>
          </cell>
          <cell r="J19">
            <v>6.5779437120087678</v>
          </cell>
          <cell r="K19">
            <v>6.5779490714342721</v>
          </cell>
          <cell r="L19">
            <v>6.5779527405519458</v>
          </cell>
          <cell r="M19">
            <v>6.5784624117467132</v>
          </cell>
        </row>
        <row r="20">
          <cell r="B20">
            <v>5.6294121258262972</v>
          </cell>
          <cell r="C20">
            <v>6.1674525147375281</v>
          </cell>
          <cell r="D20">
            <v>5.9582789104812717</v>
          </cell>
          <cell r="E20">
            <v>6.1479828859888528</v>
          </cell>
          <cell r="F20">
            <v>6.1358150876731514</v>
          </cell>
          <cell r="G20">
            <v>5.8331907730746035</v>
          </cell>
          <cell r="H20">
            <v>9.2177845370372964</v>
          </cell>
          <cell r="I20">
            <v>9.8480021312057033</v>
          </cell>
          <cell r="J20">
            <v>10.308464493421891</v>
          </cell>
          <cell r="K20">
            <v>10.308505937632082</v>
          </cell>
          <cell r="L20">
            <v>10.308911611217578</v>
          </cell>
          <cell r="M20">
            <v>10.309633184685715</v>
          </cell>
        </row>
        <row r="21">
          <cell r="B21">
            <v>0</v>
          </cell>
          <cell r="C21">
            <v>4.4151173286083397E-5</v>
          </cell>
          <cell r="D21">
            <v>8.2321452414604748E-5</v>
          </cell>
          <cell r="E21">
            <v>1.2041468739238681E-3</v>
          </cell>
          <cell r="F21">
            <v>1.2113976748755328E-3</v>
          </cell>
          <cell r="G21">
            <v>1.2157196873720407E-3</v>
          </cell>
          <cell r="H21">
            <v>1.2182928409891168E-3</v>
          </cell>
          <cell r="I21">
            <v>1.222773820968782E-3</v>
          </cell>
          <cell r="J21">
            <v>1.2235890762390344E-3</v>
          </cell>
          <cell r="K21">
            <v>1.2734603900439367E-3</v>
          </cell>
          <cell r="L21">
            <v>1.2753397676198688E-3</v>
          </cell>
          <cell r="M21">
            <v>2.4539923026564367E-3</v>
          </cell>
        </row>
        <row r="28">
          <cell r="B28">
            <v>3.3967007847175708E-3</v>
          </cell>
          <cell r="C28">
            <v>5.0374665960960822E-3</v>
          </cell>
          <cell r="D28">
            <v>5.0563391603492382E-3</v>
          </cell>
          <cell r="E28">
            <v>4.1633429442901215E-2</v>
          </cell>
          <cell r="F28">
            <v>11.644546522080137</v>
          </cell>
          <cell r="G28">
            <v>11.644549567249738</v>
          </cell>
          <cell r="H28">
            <v>11.644554633816178</v>
          </cell>
          <cell r="I28">
            <v>13.365070928529772</v>
          </cell>
          <cell r="J28">
            <v>17.731114222406408</v>
          </cell>
          <cell r="K28">
            <v>19.068444022599078</v>
          </cell>
          <cell r="L28">
            <v>19.207527839522516</v>
          </cell>
          <cell r="M28">
            <v>19.249206375216357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7.3444749133003931E-5</v>
          </cell>
          <cell r="J29">
            <v>6.9032723129057189E-5</v>
          </cell>
          <cell r="K29">
            <v>1.0866025091135477E-4</v>
          </cell>
          <cell r="L29">
            <v>9.6196480656016452E-5</v>
          </cell>
          <cell r="M29">
            <v>2.1953831819473664E-4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1.2828290349776235E-4</v>
          </cell>
          <cell r="J30">
            <v>1.3225775958490809E-4</v>
          </cell>
          <cell r="K30">
            <v>1.2722337875606716E-4</v>
          </cell>
          <cell r="L30">
            <v>1.6689948749320507E-4</v>
          </cell>
          <cell r="M30">
            <v>2.4796897130692204E-4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6.0669600254747991E-5</v>
          </cell>
          <cell r="J31">
            <v>5.8346111456053507E-5</v>
          </cell>
          <cell r="K31">
            <v>2.0013066180180061E-4</v>
          </cell>
          <cell r="L31">
            <v>8.4317218237650593E-5</v>
          </cell>
          <cell r="M31">
            <v>4.5911614733551431E-4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4.8251443471667015</v>
          </cell>
          <cell r="J32">
            <v>4.8292836025681751</v>
          </cell>
          <cell r="K32">
            <v>5.3522526378292419</v>
          </cell>
          <cell r="L32">
            <v>5.3523588748445592</v>
          </cell>
          <cell r="M32">
            <v>5.3518537131093193</v>
          </cell>
        </row>
        <row r="38">
          <cell r="B38">
            <v>1.2890707490810853</v>
          </cell>
          <cell r="C38">
            <v>3.8346011709692207</v>
          </cell>
          <cell r="D38">
            <v>2.8326138841269048</v>
          </cell>
          <cell r="E38">
            <v>2.8322682609217367</v>
          </cell>
          <cell r="F38">
            <v>2.8323729826187565</v>
          </cell>
          <cell r="G38">
            <v>3.0850088217199931</v>
          </cell>
          <cell r="H38">
            <v>3.0830856288799549</v>
          </cell>
          <cell r="I38">
            <v>5.7486096716621118</v>
          </cell>
          <cell r="J38">
            <v>9.4672331421442877</v>
          </cell>
          <cell r="K38">
            <v>9.4673605059828194</v>
          </cell>
          <cell r="L38">
            <v>9.4675876228079758</v>
          </cell>
          <cell r="M38">
            <v>9.4689363573814571</v>
          </cell>
        </row>
        <row r="39">
          <cell r="B39">
            <v>1.1764711264867993</v>
          </cell>
          <cell r="C39">
            <v>3.4996508628045753</v>
          </cell>
          <cell r="D39">
            <v>2.5851866156582113</v>
          </cell>
          <cell r="E39">
            <v>2.5848711824503621</v>
          </cell>
          <cell r="F39">
            <v>2.5849667567646168</v>
          </cell>
          <cell r="G39">
            <v>2.8155349939465038</v>
          </cell>
          <cell r="H39">
            <v>2.8137797909457514</v>
          </cell>
          <cell r="I39">
            <v>5.24647177121527</v>
          </cell>
          <cell r="J39">
            <v>8.640275522031148</v>
          </cell>
          <cell r="K39">
            <v>8.640391760708253</v>
          </cell>
          <cell r="L39">
            <v>8.6405990390033516</v>
          </cell>
          <cell r="M39">
            <v>8.6418299623519168</v>
          </cell>
        </row>
      </sheetData>
      <sheetData sheetId="70">
        <row r="3">
          <cell r="B3">
            <v>48.063397652170998</v>
          </cell>
          <cell r="C3">
            <v>50.716969735076702</v>
          </cell>
          <cell r="D3">
            <v>52.366724923933191</v>
          </cell>
          <cell r="E3">
            <v>53.836874162625605</v>
          </cell>
          <cell r="F3">
            <v>54.805008969696196</v>
          </cell>
          <cell r="G3">
            <v>55.348853081514562</v>
          </cell>
          <cell r="H3">
            <v>56.040902790578038</v>
          </cell>
          <cell r="I3">
            <v>56.732967407544805</v>
          </cell>
          <cell r="J3">
            <v>57.427779829613527</v>
          </cell>
          <cell r="K3">
            <v>58.992555774991068</v>
          </cell>
          <cell r="L3">
            <v>57.520135687577948</v>
          </cell>
          <cell r="M3">
            <v>57.640498926270077</v>
          </cell>
        </row>
        <row r="6">
          <cell r="B6">
            <v>0</v>
          </cell>
          <cell r="C6">
            <v>4.8941917656343339</v>
          </cell>
          <cell r="D6">
            <v>4.8941970700642576</v>
          </cell>
          <cell r="E6">
            <v>5.5828975245990753</v>
          </cell>
          <cell r="F6">
            <v>7.7813667827339241</v>
          </cell>
          <cell r="G6">
            <v>7.8774167577667384</v>
          </cell>
          <cell r="H6">
            <v>7.9510021817411154</v>
          </cell>
          <cell r="I6">
            <v>7.9511021397407937</v>
          </cell>
          <cell r="J6">
            <v>7.9510088395617817</v>
          </cell>
          <cell r="K6">
            <v>7.9511128559057589</v>
          </cell>
          <cell r="L6">
            <v>7.9510177140312583</v>
          </cell>
          <cell r="M6">
            <v>7.9511236623424582</v>
          </cell>
        </row>
        <row r="11">
          <cell r="B11">
            <v>60.070009317984265</v>
          </cell>
          <cell r="C11">
            <v>62.576416144283669</v>
          </cell>
          <cell r="D11">
            <v>64.915790127256031</v>
          </cell>
          <cell r="E11">
            <v>68.385311121110746</v>
          </cell>
          <cell r="F11">
            <v>69.120604512424975</v>
          </cell>
          <cell r="G11">
            <v>69.503022718838679</v>
          </cell>
          <cell r="H11">
            <v>72.992103641481904</v>
          </cell>
          <cell r="I11">
            <v>74.274314257166481</v>
          </cell>
          <cell r="J11">
            <v>75.013789509794918</v>
          </cell>
          <cell r="K11">
            <v>76.744727061829295</v>
          </cell>
          <cell r="L11">
            <v>75.294552780225175</v>
          </cell>
          <cell r="M11">
            <v>75.471557524251239</v>
          </cell>
        </row>
        <row r="18">
          <cell r="B18">
            <v>3.5600028325641038</v>
          </cell>
          <cell r="C18">
            <v>3.4647171086466249</v>
          </cell>
          <cell r="D18">
            <v>0.54004899139227924</v>
          </cell>
          <cell r="E18">
            <v>2.6735405715085325E-4</v>
          </cell>
          <cell r="F18">
            <v>1.6295852648125556E-4</v>
          </cell>
          <cell r="G18">
            <v>1.0140654488555371E-3</v>
          </cell>
          <cell r="H18">
            <v>6.2856077447267849E-4</v>
          </cell>
          <cell r="I18">
            <v>3.7613076015022593E-4</v>
          </cell>
          <cell r="J18">
            <v>2.8935843068367116E-4</v>
          </cell>
          <cell r="K18">
            <v>6.2114297043794483E-4</v>
          </cell>
          <cell r="L18">
            <v>3.275712252769094E-4</v>
          </cell>
          <cell r="M18">
            <v>1.3090628940185694E-4</v>
          </cell>
        </row>
        <row r="19">
          <cell r="B19">
            <v>12.728646246329831</v>
          </cell>
          <cell r="C19">
            <v>13.638427426482071</v>
          </cell>
          <cell r="D19">
            <v>13.376433130448511</v>
          </cell>
          <cell r="E19">
            <v>15.469380666082223</v>
          </cell>
          <cell r="F19">
            <v>14.972138668788279</v>
          </cell>
          <cell r="G19">
            <v>17.972654650258633</v>
          </cell>
          <cell r="H19">
            <v>22.420766484932997</v>
          </cell>
          <cell r="I19">
            <v>21.763145623741821</v>
          </cell>
          <cell r="J19">
            <v>23.396331902795172</v>
          </cell>
          <cell r="K19">
            <v>22.7625432849186</v>
          </cell>
          <cell r="L19">
            <v>22.202556485557473</v>
          </cell>
          <cell r="M19">
            <v>22.17840428062166</v>
          </cell>
        </row>
        <row r="21">
          <cell r="B21">
            <v>7.7980417748089961</v>
          </cell>
          <cell r="C21">
            <v>8.08014674040618</v>
          </cell>
          <cell r="D21">
            <v>5.6082667903510144</v>
          </cell>
          <cell r="E21">
            <v>5.5456294751597977</v>
          </cell>
          <cell r="F21">
            <v>5.48300093078835</v>
          </cell>
          <cell r="G21">
            <v>5.4553180242622492</v>
          </cell>
          <cell r="H21">
            <v>6.1307245514918554E-3</v>
          </cell>
          <cell r="I21">
            <v>5.1253909176746614E-4</v>
          </cell>
          <cell r="J21">
            <v>7.8162035431057568E-4</v>
          </cell>
          <cell r="K21">
            <v>2.0287094040718381E-3</v>
          </cell>
          <cell r="L21">
            <v>7.511806436125535E-4</v>
          </cell>
          <cell r="M21">
            <v>1.589391740367427E-4</v>
          </cell>
        </row>
        <row r="22">
          <cell r="B22">
            <v>6.7631876321587028E-2</v>
          </cell>
          <cell r="C22">
            <v>8.5490310982655707E-2</v>
          </cell>
          <cell r="D22">
            <v>8.4131742236063761E-2</v>
          </cell>
          <cell r="E22">
            <v>8.5802905691877776E-2</v>
          </cell>
          <cell r="F22">
            <v>8.5792429311437823E-2</v>
          </cell>
          <cell r="G22">
            <v>5.9139034626635438E-2</v>
          </cell>
          <cell r="H22">
            <v>5.9870474676014675E-2</v>
          </cell>
          <cell r="I22">
            <v>5.658712858573163E-2</v>
          </cell>
          <cell r="J22">
            <v>5.298908523133216E-2</v>
          </cell>
          <cell r="K22">
            <v>5.0125400229749609E-2</v>
          </cell>
          <cell r="L22">
            <v>9.5066754204313625E-3</v>
          </cell>
          <cell r="M22">
            <v>1.0185431668041319E-3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5.8185574277451926E-2</v>
          </cell>
          <cell r="F23">
            <v>10.473011689844128</v>
          </cell>
          <cell r="G23">
            <v>10.416111705201072</v>
          </cell>
          <cell r="H23">
            <v>10.3282901535067</v>
          </cell>
          <cell r="I23">
            <v>16.396814928394644</v>
          </cell>
          <cell r="J23">
            <v>16.318913816836947</v>
          </cell>
          <cell r="K23">
            <v>16.320699299021179</v>
          </cell>
          <cell r="L23">
            <v>16.304561260457348</v>
          </cell>
          <cell r="M23">
            <v>16.296808290542913</v>
          </cell>
        </row>
        <row r="24">
          <cell r="B24">
            <v>0.74847055005299556</v>
          </cell>
          <cell r="C24">
            <v>0.94972880216746713</v>
          </cell>
          <cell r="D24">
            <v>2.4547352200962114</v>
          </cell>
          <cell r="E24">
            <v>4.0898053970848682</v>
          </cell>
          <cell r="F24">
            <v>5.6707814624846788</v>
          </cell>
          <cell r="G24">
            <v>6.6915350044896931</v>
          </cell>
          <cell r="H24">
            <v>8.7014542344548822</v>
          </cell>
          <cell r="I24">
            <v>9.3859658503096899</v>
          </cell>
          <cell r="J24">
            <v>9.3859653634743729</v>
          </cell>
          <cell r="K24">
            <v>9.3859705120112</v>
          </cell>
          <cell r="L24">
            <v>9.3859713477012328</v>
          </cell>
          <cell r="M24">
            <v>9.3859766437673215</v>
          </cell>
        </row>
        <row r="33">
          <cell r="B33">
            <v>12.006611665813269</v>
          </cell>
          <cell r="C33">
            <v>12.710040327063192</v>
          </cell>
          <cell r="D33">
            <v>13.399660030546531</v>
          </cell>
          <cell r="E33">
            <v>15.519092443964563</v>
          </cell>
          <cell r="F33">
            <v>16.148708757523153</v>
          </cell>
          <cell r="G33">
            <v>16.084518120643843</v>
          </cell>
          <cell r="H33">
            <v>16.829810902394204</v>
          </cell>
          <cell r="I33">
            <v>17.414705377516427</v>
          </cell>
          <cell r="J33">
            <v>17.414704631364351</v>
          </cell>
          <cell r="K33">
            <v>17.517072692889208</v>
          </cell>
          <cell r="L33">
            <v>17.517074881879893</v>
          </cell>
          <cell r="M33">
            <v>17.517083942324287</v>
          </cell>
        </row>
        <row r="34">
          <cell r="B34">
            <v>8.8978048232386175</v>
          </cell>
          <cell r="C34">
            <v>8.1047220407543765</v>
          </cell>
          <cell r="D34">
            <v>8.0013455836518439</v>
          </cell>
          <cell r="E34">
            <v>5.174582940540561</v>
          </cell>
          <cell r="F34">
            <v>3.5859437085166603</v>
          </cell>
          <cell r="G34">
            <v>2.1352954137479085</v>
          </cell>
          <cell r="H34">
            <v>0.36277606990250605</v>
          </cell>
          <cell r="I34">
            <v>0</v>
          </cell>
          <cell r="J34">
            <v>1.0805188365775747E-4</v>
          </cell>
          <cell r="K34">
            <v>1.8727602683834779E-4</v>
          </cell>
          <cell r="L34">
            <v>7.7156050951459812E-5</v>
          </cell>
          <cell r="M34">
            <v>3.2189114621997962E-5</v>
          </cell>
        </row>
        <row r="35">
          <cell r="B35">
            <v>2.7300013801630145</v>
          </cell>
          <cell r="C35">
            <v>2.4803987159444341</v>
          </cell>
          <cell r="D35">
            <v>2.3766191058577375E-3</v>
          </cell>
          <cell r="E35">
            <v>3.4116292137588775E-4</v>
          </cell>
          <cell r="F35">
            <v>2.263153207833083E-4</v>
          </cell>
          <cell r="G35">
            <v>1.218742690364144E-3</v>
          </cell>
          <cell r="H35">
            <v>8.5387571433848835E-4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>
            <v>0</v>
          </cell>
          <cell r="C36">
            <v>0</v>
          </cell>
          <cell r="D36">
            <v>5.6978950884111212E-5</v>
          </cell>
          <cell r="E36">
            <v>1.2932735996082332</v>
          </cell>
          <cell r="F36">
            <v>1.2546187647797726</v>
          </cell>
          <cell r="G36">
            <v>1.4230802601185295</v>
          </cell>
          <cell r="H36">
            <v>1.4230784491011963</v>
          </cell>
          <cell r="I36">
            <v>1.4230790513395635</v>
          </cell>
          <cell r="J36">
            <v>0.97415999753818316</v>
          </cell>
          <cell r="K36">
            <v>0.97406483348489425</v>
          </cell>
          <cell r="L36">
            <v>0.77384480430087277</v>
          </cell>
          <cell r="M36">
            <v>0.77379722525014627</v>
          </cell>
        </row>
        <row r="37">
          <cell r="B37">
            <v>35.24346850097745</v>
          </cell>
          <cell r="C37">
            <v>29.885364528964534</v>
          </cell>
          <cell r="D37">
            <v>32.043761661515056</v>
          </cell>
          <cell r="E37">
            <v>22.995595313513579</v>
          </cell>
          <cell r="F37">
            <v>10.388436027189602</v>
          </cell>
          <cell r="G37">
            <v>9.4688669430227552</v>
          </cell>
          <cell r="H37">
            <v>7.4277690013267517</v>
          </cell>
          <cell r="I37">
            <v>1.3964196620949103</v>
          </cell>
          <cell r="J37">
            <v>2.1884944035908954E-4</v>
          </cell>
          <cell r="K37">
            <v>2.6297083244807717E-4</v>
          </cell>
          <cell r="L37">
            <v>8.1604020624882702E-5</v>
          </cell>
          <cell r="M37">
            <v>3.3338675093991592E-5</v>
          </cell>
        </row>
        <row r="38">
          <cell r="B38">
            <v>0.30889297354070877</v>
          </cell>
          <cell r="C38">
            <v>4.7602110810317806E-5</v>
          </cell>
          <cell r="D38">
            <v>2.1879762778850651</v>
          </cell>
          <cell r="E38">
            <v>2.4599055382526616</v>
          </cell>
          <cell r="F38">
            <v>2.3655571982769859</v>
          </cell>
          <cell r="G38">
            <v>2.1613270651624878</v>
          </cell>
          <cell r="H38">
            <v>2.0838195070431009</v>
          </cell>
          <cell r="I38">
            <v>1.5155113088042265</v>
          </cell>
          <cell r="J38">
            <v>0.61003062520684748</v>
          </cell>
          <cell r="K38">
            <v>0.91108945093851101</v>
          </cell>
          <cell r="L38">
            <v>0.60743236365011777</v>
          </cell>
          <cell r="M38">
            <v>0.60428290969816223</v>
          </cell>
        </row>
        <row r="39">
          <cell r="B39">
            <v>0.43672636444825019</v>
          </cell>
          <cell r="C39">
            <v>0.55206537324846738</v>
          </cell>
          <cell r="D39">
            <v>2.8956670014089534</v>
          </cell>
          <cell r="E39">
            <v>6.3347646795463506</v>
          </cell>
          <cell r="F39">
            <v>6.3347804753735115</v>
          </cell>
          <cell r="G39">
            <v>6.3347816822059366</v>
          </cell>
          <cell r="H39">
            <v>6.3347825780289613</v>
          </cell>
          <cell r="I39">
            <v>6.3347844294410445</v>
          </cell>
          <cell r="J39">
            <v>6.3347861514491237</v>
          </cell>
          <cell r="K39">
            <v>6.3347944420729023</v>
          </cell>
          <cell r="L39">
            <v>6.3348005298375467</v>
          </cell>
          <cell r="M39">
            <v>6.3348300350030797</v>
          </cell>
        </row>
        <row r="55">
          <cell r="B55">
            <v>9.8138909682746931</v>
          </cell>
          <cell r="C55">
            <v>10.335082919654059</v>
          </cell>
          <cell r="D55">
            <v>10.34014119991831</v>
          </cell>
          <cell r="E55">
            <v>11.543914638978208</v>
          </cell>
          <cell r="F55">
            <v>11.543915130762308</v>
          </cell>
          <cell r="G55">
            <v>11.543915500329513</v>
          </cell>
          <cell r="H55">
            <v>11.543915981655257</v>
          </cell>
          <cell r="I55">
            <v>11.54391825734435</v>
          </cell>
          <cell r="J55">
            <v>11.543916627059719</v>
          </cell>
          <cell r="K55">
            <v>11.630855604061143</v>
          </cell>
          <cell r="L55">
            <v>11.630855281229858</v>
          </cell>
          <cell r="M55">
            <v>11.63085941987581</v>
          </cell>
        </row>
        <row r="56">
          <cell r="B56">
            <v>1.1081426682387892</v>
          </cell>
          <cell r="C56">
            <v>1.4007912089678018</v>
          </cell>
          <cell r="D56">
            <v>3.5962188347658617</v>
          </cell>
          <cell r="E56">
            <v>5.9437278968099578</v>
          </cell>
          <cell r="F56">
            <v>8.1723489073609379</v>
          </cell>
          <cell r="G56">
            <v>8.1723505660364886</v>
          </cell>
          <cell r="H56">
            <v>10.909005817938997</v>
          </cell>
          <cell r="I56">
            <v>13.185938691479668</v>
          </cell>
          <cell r="J56">
            <v>13.185942738819769</v>
          </cell>
          <cell r="K56">
            <v>13.185959838013634</v>
          </cell>
          <cell r="L56">
            <v>13.185968699699993</v>
          </cell>
          <cell r="M56">
            <v>13.185983143974461</v>
          </cell>
        </row>
        <row r="57">
          <cell r="B57">
            <v>6.9177063101627905</v>
          </cell>
          <cell r="C57">
            <v>6.311308220795798</v>
          </cell>
          <cell r="D57">
            <v>6.2459469755692965</v>
          </cell>
          <cell r="E57">
            <v>5.0691883797043964</v>
          </cell>
          <cell r="F57">
            <v>3.8090157762693408</v>
          </cell>
          <cell r="G57">
            <v>2.8112579299533262</v>
          </cell>
          <cell r="H57">
            <v>1.4165113197633099</v>
          </cell>
          <cell r="I57">
            <v>1.1332383114564986</v>
          </cell>
          <cell r="J57">
            <v>0.7758373494385572</v>
          </cell>
          <cell r="K57">
            <v>0.77582465603491391</v>
          </cell>
          <cell r="L57">
            <v>0.61629606220584554</v>
          </cell>
          <cell r="M57">
            <v>0.61622236520496276</v>
          </cell>
        </row>
        <row r="58">
          <cell r="B58">
            <v>1.8458221831627193</v>
          </cell>
          <cell r="C58">
            <v>1.684314748062067</v>
          </cell>
          <cell r="D58">
            <v>1.6242706201596493E-3</v>
          </cell>
          <cell r="E58">
            <v>2.3565828794039454E-4</v>
          </cell>
          <cell r="F58">
            <v>1.5798223861429811E-4</v>
          </cell>
          <cell r="G58">
            <v>8.5967062521560779E-4</v>
          </cell>
          <cell r="H58">
            <v>6.0854654816261118E-4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28.619769415270046</v>
          </cell>
          <cell r="C59">
            <v>24.078914289127404</v>
          </cell>
          <cell r="D59">
            <v>27.614281875639495</v>
          </cell>
          <cell r="E59">
            <v>20.608000827473884</v>
          </cell>
          <cell r="F59">
            <v>10.652547506243597</v>
          </cell>
          <cell r="G59">
            <v>8.9401693289456325</v>
          </cell>
          <cell r="H59">
            <v>7.1814070718089127</v>
          </cell>
          <cell r="I59">
            <v>2.4306087839067412</v>
          </cell>
          <cell r="J59">
            <v>0.4956937854590624</v>
          </cell>
          <cell r="K59">
            <v>0.74848762533510815</v>
          </cell>
          <cell r="L59">
            <v>0.49330119554144192</v>
          </cell>
          <cell r="M59">
            <v>0.49011862795643263</v>
          </cell>
        </row>
        <row r="60">
          <cell r="B60">
            <v>0</v>
          </cell>
          <cell r="C60">
            <v>0</v>
          </cell>
          <cell r="D60">
            <v>6.2689043609235467E-3</v>
          </cell>
          <cell r="E60">
            <v>2.7277377165026003E-3</v>
          </cell>
          <cell r="F60">
            <v>2.7095575615424415E-3</v>
          </cell>
          <cell r="G60">
            <v>1.9557596157615909</v>
          </cell>
          <cell r="H60">
            <v>1.9926682632229369</v>
          </cell>
          <cell r="I60">
            <v>4.4058477129228675E-2</v>
          </cell>
          <cell r="J60">
            <v>4.405197421414455E-2</v>
          </cell>
          <cell r="K60">
            <v>4.4038442466272136E-2</v>
          </cell>
          <cell r="L60">
            <v>4.4027883770833963E-2</v>
          </cell>
          <cell r="M60">
            <v>4.4018285261402383E-2</v>
          </cell>
        </row>
        <row r="61">
          <cell r="B61">
            <v>2.3674018836551256</v>
          </cell>
          <cell r="C61">
            <v>2.307501594358655</v>
          </cell>
          <cell r="D61">
            <v>0.36048270175434666</v>
          </cell>
          <cell r="E61">
            <v>1.791272182910718E-4</v>
          </cell>
          <cell r="F61">
            <v>1.0958960905864447E-4</v>
          </cell>
          <cell r="G61">
            <v>6.8449417797748736E-4</v>
          </cell>
          <cell r="H61">
            <v>4.258499247052392E-4</v>
          </cell>
          <cell r="I61">
            <v>2.5576891690215335E-4</v>
          </cell>
          <cell r="J61">
            <v>1.9676373286489664E-4</v>
          </cell>
          <cell r="K61">
            <v>4.2237721989780243E-4</v>
          </cell>
          <cell r="L61">
            <v>2.2274843318829853E-4</v>
          </cell>
          <cell r="M61">
            <v>8.9016276793262792E-5</v>
          </cell>
        </row>
        <row r="62">
          <cell r="B62">
            <v>5.1850568343212844</v>
          </cell>
          <cell r="C62">
            <v>5.5675589791082221</v>
          </cell>
          <cell r="D62">
            <v>5.6974180022359118</v>
          </cell>
          <cell r="E62">
            <v>7.1973662453274585</v>
          </cell>
          <cell r="F62">
            <v>6.5504218699944037</v>
          </cell>
          <cell r="G62">
            <v>10.240588131610693</v>
          </cell>
          <cell r="H62">
            <v>12.881212441095022</v>
          </cell>
          <cell r="I62">
            <v>13.225334372778903</v>
          </cell>
          <cell r="J62">
            <v>13.388553002412044</v>
          </cell>
          <cell r="K62">
            <v>13.34136696338035</v>
          </cell>
          <cell r="L62">
            <v>13.53567630767548</v>
          </cell>
          <cell r="M62">
            <v>13.533368662048108</v>
          </cell>
        </row>
        <row r="63">
          <cell r="B63">
            <v>6.5822744724615605</v>
          </cell>
          <cell r="C63">
            <v>7.0678489068576793</v>
          </cell>
          <cell r="D63">
            <v>6.7349936490311553</v>
          </cell>
          <cell r="E63">
            <v>7.2568637135753855</v>
          </cell>
          <cell r="F63">
            <v>7.5133126123995879</v>
          </cell>
          <cell r="G63">
            <v>6.7315181264145538</v>
          </cell>
          <cell r="H63">
            <v>7.5479146019083494</v>
          </cell>
          <cell r="I63">
            <v>6.9320888255946729</v>
          </cell>
          <cell r="J63">
            <v>8.1340725981703663</v>
          </cell>
          <cell r="K63">
            <v>7.5997789889559826</v>
          </cell>
          <cell r="L63">
            <v>6.8396982647267146</v>
          </cell>
          <cell r="M63">
            <v>6.8187589009122718</v>
          </cell>
        </row>
        <row r="64">
          <cell r="B64">
            <v>5.3111194963427604</v>
          </cell>
          <cell r="C64">
            <v>6.2669391770577469</v>
          </cell>
          <cell r="D64">
            <v>5.830283142305805</v>
          </cell>
          <cell r="E64">
            <v>6.814405087684472</v>
          </cell>
          <cell r="F64">
            <v>7.3062254652160581</v>
          </cell>
          <cell r="G64">
            <v>5.841709454903742</v>
          </cell>
          <cell r="H64">
            <v>5.8684405287553574</v>
          </cell>
          <cell r="I64">
            <v>5.8929888869503593</v>
          </cell>
          <cell r="J64">
            <v>5.8398415540427093</v>
          </cell>
          <cell r="K64">
            <v>6.2759493713888057</v>
          </cell>
          <cell r="L64">
            <v>5.8071700637482699</v>
          </cell>
          <cell r="M64">
            <v>5.7877197279163033</v>
          </cell>
        </row>
        <row r="65">
          <cell r="B65">
            <v>0.46151863680100241</v>
          </cell>
          <cell r="C65">
            <v>0.54457513533472446</v>
          </cell>
          <cell r="D65">
            <v>0.54457592959851875</v>
          </cell>
          <cell r="E65">
            <v>0.5445818646999675</v>
          </cell>
          <cell r="F65">
            <v>0.54458716362674131</v>
          </cell>
          <cell r="G65">
            <v>0.54459164471045551</v>
          </cell>
          <cell r="H65">
            <v>0.54459914469367321</v>
          </cell>
          <cell r="I65">
            <v>0.54461776517907656</v>
          </cell>
          <cell r="J65">
            <v>0.54462033104686169</v>
          </cell>
          <cell r="K65">
            <v>0.54463126152717889</v>
          </cell>
          <cell r="L65">
            <v>0.54463660498682842</v>
          </cell>
          <cell r="M65">
            <v>0.54464922521259895</v>
          </cell>
        </row>
        <row r="66">
          <cell r="B66">
            <v>4.1173660570991517</v>
          </cell>
          <cell r="C66">
            <v>4.2663174789344653</v>
          </cell>
          <cell r="D66">
            <v>2.9611648653053373</v>
          </cell>
          <cell r="E66">
            <v>2.9280923628843771</v>
          </cell>
          <cell r="F66">
            <v>2.8950244914562431</v>
          </cell>
          <cell r="G66">
            <v>2.8804079168104648</v>
          </cell>
          <cell r="H66">
            <v>3.2860683595996357E-3</v>
          </cell>
          <cell r="I66">
            <v>2.7882126592150157E-4</v>
          </cell>
          <cell r="J66">
            <v>4.2520147274495326E-4</v>
          </cell>
          <cell r="K66">
            <v>1.103617915815081E-3</v>
          </cell>
          <cell r="L66">
            <v>4.0864227012522901E-4</v>
          </cell>
          <cell r="M66">
            <v>8.646291067598807E-5</v>
          </cell>
        </row>
        <row r="67">
          <cell r="B67">
            <v>6.7631876321587028E-2</v>
          </cell>
          <cell r="C67">
            <v>8.5490310982655707E-2</v>
          </cell>
          <cell r="D67">
            <v>8.4131742236063761E-2</v>
          </cell>
          <cell r="E67">
            <v>8.5802905691877776E-2</v>
          </cell>
          <cell r="F67">
            <v>8.5792429311437823E-2</v>
          </cell>
          <cell r="G67">
            <v>5.9139034626635438E-2</v>
          </cell>
          <cell r="H67">
            <v>5.9870474676014675E-2</v>
          </cell>
          <cell r="I67">
            <v>5.658712858573163E-2</v>
          </cell>
          <cell r="J67">
            <v>5.298908523133216E-2</v>
          </cell>
          <cell r="K67">
            <v>5.0125400229749609E-2</v>
          </cell>
          <cell r="L67">
            <v>9.5066754204313625E-3</v>
          </cell>
          <cell r="M67">
            <v>1.0185431668041319E-3</v>
          </cell>
        </row>
        <row r="68">
          <cell r="B68">
            <v>0.31051244512270615</v>
          </cell>
          <cell r="C68">
            <v>0.3925184803796602</v>
          </cell>
          <cell r="D68">
            <v>2.0588192380017634</v>
          </cell>
          <cell r="E68">
            <v>4.5040176871574573</v>
          </cell>
          <cell r="F68">
            <v>4.5040289179905661</v>
          </cell>
          <cell r="G68">
            <v>4.5040297760484265</v>
          </cell>
          <cell r="H68">
            <v>4.5325369345797144</v>
          </cell>
          <cell r="I68">
            <v>4.5610447891975525</v>
          </cell>
          <cell r="J68">
            <v>4.561046029043367</v>
          </cell>
          <cell r="K68">
            <v>4.5610519982924886</v>
          </cell>
          <cell r="L68">
            <v>4.5610563814830334</v>
          </cell>
          <cell r="M68">
            <v>4.5610776252022198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1.9257883563951819E-2</v>
          </cell>
          <cell r="F69">
            <v>8.1313858659819065</v>
          </cell>
          <cell r="G69">
            <v>8.1313861725434577</v>
          </cell>
          <cell r="H69">
            <v>8.1313943851956161</v>
          </cell>
          <cell r="I69">
            <v>13.242262563695194</v>
          </cell>
          <cell r="J69">
            <v>13.242225333884775</v>
          </cell>
          <cell r="K69">
            <v>13.242226982308695</v>
          </cell>
          <cell r="L69">
            <v>13.242211170727185</v>
          </cell>
          <cell r="M69">
            <v>13.242219061100952</v>
          </cell>
        </row>
        <row r="70">
          <cell r="B70">
            <v>0</v>
          </cell>
          <cell r="C70">
            <v>4.0435976004148806</v>
          </cell>
          <cell r="D70">
            <v>4.0436019829526186</v>
          </cell>
          <cell r="E70">
            <v>4.6123096818402427</v>
          </cell>
          <cell r="F70">
            <v>5.9485716529682842</v>
          </cell>
          <cell r="G70">
            <v>5.9485863313510459</v>
          </cell>
          <cell r="H70">
            <v>5.9486378401170166</v>
          </cell>
          <cell r="I70">
            <v>5.9733812679699207</v>
          </cell>
          <cell r="J70">
            <v>6.0178020597257387</v>
          </cell>
          <cell r="K70">
            <v>6.0810603517061095</v>
          </cell>
          <cell r="L70">
            <v>6.0809835032612254</v>
          </cell>
          <cell r="M70">
            <v>6.0810695434129265</v>
          </cell>
        </row>
        <row r="71">
          <cell r="B71">
            <v>72.708213247234227</v>
          </cell>
          <cell r="C71">
            <v>74.352759050035814</v>
          </cell>
          <cell r="D71">
            <v>76.119953314295572</v>
          </cell>
          <cell r="E71">
            <v>77.130671698614364</v>
          </cell>
          <cell r="F71">
            <v>77.660154918990642</v>
          </cell>
          <cell r="G71">
            <v>78.306953694849227</v>
          </cell>
          <cell r="H71">
            <v>78.562435270242645</v>
          </cell>
          <cell r="I71">
            <v>78.766602711450744</v>
          </cell>
          <cell r="J71">
            <v>77.827214433754051</v>
          </cell>
          <cell r="K71">
            <v>78.082883478836166</v>
          </cell>
          <cell r="L71">
            <v>76.592019485180444</v>
          </cell>
          <cell r="M71">
            <v>76.537258610432715</v>
          </cell>
        </row>
      </sheetData>
      <sheetData sheetId="71">
        <row r="3">
          <cell r="B3">
            <v>56.994774574912441</v>
          </cell>
          <cell r="C3">
            <v>58.701894619166218</v>
          </cell>
          <cell r="D3">
            <v>61.538282567912361</v>
          </cell>
          <cell r="E3">
            <v>62.070183817808115</v>
          </cell>
          <cell r="F3">
            <v>62.292786143779502</v>
          </cell>
          <cell r="G3">
            <v>62.658407604694389</v>
          </cell>
          <cell r="H3">
            <v>62.135829913244855</v>
          </cell>
          <cell r="I3">
            <v>61.61333265858385</v>
          </cell>
          <cell r="J3">
            <v>62.660972409345355</v>
          </cell>
          <cell r="K3">
            <v>63.515969173684347</v>
          </cell>
          <cell r="L3">
            <v>64.326042343130084</v>
          </cell>
          <cell r="M3">
            <v>65.100427423574843</v>
          </cell>
        </row>
        <row r="6">
          <cell r="B6">
            <v>0</v>
          </cell>
          <cell r="C6">
            <v>6.9642754136004363</v>
          </cell>
          <cell r="D6">
            <v>6.9635004540328769</v>
          </cell>
          <cell r="E6">
            <v>12.416180253245079</v>
          </cell>
          <cell r="F6">
            <v>12.416503568032752</v>
          </cell>
          <cell r="G6">
            <v>12.416533195838145</v>
          </cell>
          <cell r="H6">
            <v>13.586130724577448</v>
          </cell>
          <cell r="I6">
            <v>21.071575455674871</v>
          </cell>
          <cell r="J6">
            <v>21.071454781257231</v>
          </cell>
          <cell r="K6">
            <v>21.071305466564436</v>
          </cell>
          <cell r="L6">
            <v>21.071242362702616</v>
          </cell>
          <cell r="M6">
            <v>21.070753250377795</v>
          </cell>
        </row>
        <row r="11">
          <cell r="B11">
            <v>60.950003041393884</v>
          </cell>
          <cell r="C11">
            <v>60.436476494389481</v>
          </cell>
          <cell r="D11">
            <v>65.489683878023087</v>
          </cell>
          <cell r="E11">
            <v>65.586231650057655</v>
          </cell>
          <cell r="F11">
            <v>65.44330500169076</v>
          </cell>
          <cell r="G11">
            <v>65.499888641007686</v>
          </cell>
          <cell r="H11">
            <v>64.622173951659789</v>
          </cell>
          <cell r="I11">
            <v>66.013977296303878</v>
          </cell>
          <cell r="J11">
            <v>67.072753008551942</v>
          </cell>
          <cell r="K11">
            <v>66.974115298865044</v>
          </cell>
          <cell r="L11">
            <v>67.772362980051042</v>
          </cell>
          <cell r="M11">
            <v>68.639525482896673</v>
          </cell>
        </row>
        <row r="12">
          <cell r="B12">
            <v>30.256635198941776</v>
          </cell>
          <cell r="C12">
            <v>26.638734396174886</v>
          </cell>
          <cell r="D12">
            <v>24.906268620279967</v>
          </cell>
          <cell r="E12">
            <v>19.517505618593578</v>
          </cell>
          <cell r="F12">
            <v>14.891355469511218</v>
          </cell>
          <cell r="G12">
            <v>10.568441424612674</v>
          </cell>
          <cell r="H12">
            <v>6.1988309100460226</v>
          </cell>
          <cell r="I12">
            <v>0</v>
          </cell>
          <cell r="J12">
            <v>2.1770644570755782E-4</v>
          </cell>
          <cell r="K12">
            <v>3.8514660039444234E-4</v>
          </cell>
          <cell r="L12">
            <v>2.4674642119598754E-4</v>
          </cell>
          <cell r="M12">
            <v>4.6824608502221595E-4</v>
          </cell>
        </row>
        <row r="13">
          <cell r="B13">
            <v>0</v>
          </cell>
          <cell r="C13">
            <v>0</v>
          </cell>
          <cell r="D13">
            <v>4.7633468146184852E-5</v>
          </cell>
          <cell r="E13">
            <v>3.3663446884094766E-4</v>
          </cell>
          <cell r="F13">
            <v>5.1254971282974136E-4</v>
          </cell>
          <cell r="G13">
            <v>2.0444715619086107E-4</v>
          </cell>
          <cell r="H13">
            <v>7.4369162063266179E-4</v>
          </cell>
          <cell r="I13">
            <v>3.5820540594420662</v>
          </cell>
          <cell r="J13">
            <v>0.86359266500176701</v>
          </cell>
          <cell r="K13">
            <v>0.86943701410968011</v>
          </cell>
          <cell r="L13">
            <v>0.86980780092492671</v>
          </cell>
          <cell r="M13">
            <v>0.86970009909058776</v>
          </cell>
        </row>
        <row r="14">
          <cell r="B14">
            <v>25.261967997955228</v>
          </cell>
          <cell r="C14">
            <v>23.494661403519281</v>
          </cell>
          <cell r="D14">
            <v>25.954820512052613</v>
          </cell>
          <cell r="E14">
            <v>24.774917269378019</v>
          </cell>
          <cell r="F14">
            <v>24.883596386786529</v>
          </cell>
          <cell r="G14">
            <v>25.220032800083789</v>
          </cell>
          <cell r="H14">
            <v>22.592947643225134</v>
          </cell>
          <cell r="I14">
            <v>7.0455701555178374</v>
          </cell>
          <cell r="J14">
            <v>3.0728216321821176</v>
          </cell>
          <cell r="K14">
            <v>1.5264922673885846</v>
          </cell>
          <cell r="L14">
            <v>0.91789637649320466</v>
          </cell>
          <cell r="M14">
            <v>0.47565664385936313</v>
          </cell>
        </row>
        <row r="15">
          <cell r="B15">
            <v>0.28671975007599826</v>
          </cell>
          <cell r="C15">
            <v>3.2551195553978025</v>
          </cell>
          <cell r="D15">
            <v>6.8965106282499649E-3</v>
          </cell>
          <cell r="E15">
            <v>1.8021231663600728E-4</v>
          </cell>
          <cell r="F15">
            <v>2.5450733799563024E-4</v>
          </cell>
          <cell r="G15">
            <v>0.10859487907835515</v>
          </cell>
          <cell r="H15">
            <v>0.11601562028890777</v>
          </cell>
          <cell r="I15">
            <v>0.98766197807412326</v>
          </cell>
          <cell r="J15">
            <v>1.7421072447820074</v>
          </cell>
          <cell r="K15">
            <v>1.7635192466271807</v>
          </cell>
          <cell r="L15">
            <v>1.7730099409245461</v>
          </cell>
          <cell r="M15">
            <v>1.7687400873603283</v>
          </cell>
        </row>
        <row r="16">
          <cell r="B16">
            <v>1.4022779080444845</v>
          </cell>
          <cell r="C16">
            <v>1.5372237340662529</v>
          </cell>
          <cell r="D16">
            <v>1.5557039850245158</v>
          </cell>
          <cell r="E16">
            <v>1.5165883202232455</v>
          </cell>
          <cell r="F16">
            <v>2.1885930646609815</v>
          </cell>
          <cell r="G16">
            <v>3.9831432673161147</v>
          </cell>
          <cell r="H16">
            <v>6.2006623687031688</v>
          </cell>
          <cell r="I16">
            <v>10.818001980145663</v>
          </cell>
          <cell r="J16">
            <v>13.02849270757833</v>
          </cell>
          <cell r="K16">
            <v>16.777983932259815</v>
          </cell>
          <cell r="L16">
            <v>17.361063357223262</v>
          </cell>
          <cell r="M16">
            <v>17.361337277813949</v>
          </cell>
        </row>
        <row r="17">
          <cell r="B17">
            <v>7.7268867560382599</v>
          </cell>
          <cell r="C17">
            <v>8.3696938600863131</v>
          </cell>
          <cell r="D17">
            <v>8.9432238992458668</v>
          </cell>
          <cell r="E17">
            <v>8.9433859990499016</v>
          </cell>
          <cell r="F17">
            <v>8.9483374198228063</v>
          </cell>
          <cell r="G17">
            <v>8.1251193078685784</v>
          </cell>
          <cell r="H17">
            <v>8.4747531062388006</v>
          </cell>
          <cell r="I17">
            <v>8.4326900005434133</v>
          </cell>
          <cell r="J17">
            <v>10.727763512886021</v>
          </cell>
          <cell r="K17">
            <v>10.887215306559805</v>
          </cell>
          <cell r="L17">
            <v>10.646876811997769</v>
          </cell>
          <cell r="M17">
            <v>10.3499069728003</v>
          </cell>
        </row>
        <row r="19">
          <cell r="B19">
            <v>0.62699361478553695</v>
          </cell>
          <cell r="C19">
            <v>0.68733289994314706</v>
          </cell>
          <cell r="D19">
            <v>0.68717486743997847</v>
          </cell>
          <cell r="E19">
            <v>0.68900975959858834</v>
          </cell>
          <cell r="F19">
            <v>1.6300243658904436</v>
          </cell>
          <cell r="G19">
            <v>3.3921776885754378</v>
          </cell>
          <cell r="H19">
            <v>3.3190895531668203</v>
          </cell>
          <cell r="I19">
            <v>3.5213229136869031</v>
          </cell>
          <cell r="J19">
            <v>3.522438862058177</v>
          </cell>
          <cell r="K19">
            <v>3.521762167482823</v>
          </cell>
          <cell r="L19">
            <v>3.5220911965856851</v>
          </cell>
          <cell r="M19">
            <v>3.3755399211540009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1.7480722127834441E-3</v>
          </cell>
          <cell r="F20">
            <v>0.13623792831963652</v>
          </cell>
          <cell r="G20">
            <v>0.86660071713820996</v>
          </cell>
          <cell r="H20">
            <v>2.15875827791149</v>
          </cell>
          <cell r="I20">
            <v>1.9573503910809933</v>
          </cell>
          <cell r="J20">
            <v>1.8326100512420647</v>
          </cell>
          <cell r="K20">
            <v>0.51792498078689719</v>
          </cell>
          <cell r="L20">
            <v>0.23587543420056845</v>
          </cell>
          <cell r="M20">
            <v>0.13281585470374827</v>
          </cell>
        </row>
        <row r="21">
          <cell r="B21">
            <v>2.9295804692247334</v>
          </cell>
          <cell r="C21">
            <v>3.1924491728095821</v>
          </cell>
          <cell r="D21">
            <v>3.365057604170818</v>
          </cell>
          <cell r="E21">
            <v>3.6715264550654356</v>
          </cell>
          <cell r="F21">
            <v>3.9258285234828016</v>
          </cell>
          <cell r="G21">
            <v>4.2050218241343069</v>
          </cell>
          <cell r="H21">
            <v>4.5109291363993957</v>
          </cell>
          <cell r="I21">
            <v>8.1569491078250884</v>
          </cell>
          <cell r="J21">
            <v>8.6465154710440508</v>
          </cell>
          <cell r="K21">
            <v>9.173924193157287</v>
          </cell>
          <cell r="L21">
            <v>9.7420858070173431</v>
          </cell>
          <cell r="M21">
            <v>10.415999356859954</v>
          </cell>
        </row>
        <row r="28">
          <cell r="B28">
            <v>3.9552284664814445</v>
          </cell>
          <cell r="C28">
            <v>1.7345818752232618</v>
          </cell>
          <cell r="D28">
            <v>3.9514013101107244</v>
          </cell>
          <cell r="E28">
            <v>3.5160478322495372</v>
          </cell>
          <cell r="F28">
            <v>3.1505188579112682</v>
          </cell>
          <cell r="G28">
            <v>2.8414810363132998</v>
          </cell>
          <cell r="H28">
            <v>2.4863440384149431</v>
          </cell>
          <cell r="I28">
            <v>4.4006446377200321</v>
          </cell>
          <cell r="J28">
            <v>4.4117805992065877</v>
          </cell>
          <cell r="K28">
            <v>3.458146125180694</v>
          </cell>
          <cell r="L28">
            <v>3.4463206369209489</v>
          </cell>
          <cell r="M28">
            <v>3.539098059321832</v>
          </cell>
        </row>
        <row r="47">
          <cell r="B47">
            <v>4.2612079552359763</v>
          </cell>
          <cell r="C47">
            <v>4.61764969638529</v>
          </cell>
          <cell r="D47">
            <v>4.8270192435282011</v>
          </cell>
          <cell r="E47">
            <v>5.2002194594314446</v>
          </cell>
          <cell r="F47">
            <v>5.2002339515068474</v>
          </cell>
          <cell r="G47">
            <v>5.2002433115936402</v>
          </cell>
          <cell r="H47">
            <v>5.2002581594310513</v>
          </cell>
          <cell r="I47">
            <v>10.387036607109955</v>
          </cell>
          <cell r="J47">
            <v>10.387038944882779</v>
          </cell>
          <cell r="K47">
            <v>10.387042321577741</v>
          </cell>
          <cell r="L47">
            <v>10.387046063598063</v>
          </cell>
          <cell r="M47">
            <v>10.739486309271044</v>
          </cell>
        </row>
        <row r="48">
          <cell r="B48">
            <v>24.843070567758563</v>
          </cell>
          <cell r="C48">
            <v>21.915802113645906</v>
          </cell>
          <cell r="D48">
            <v>20.551276898128293</v>
          </cell>
          <cell r="E48">
            <v>16.184349393009683</v>
          </cell>
          <cell r="F48">
            <v>12.410197191515476</v>
          </cell>
          <cell r="G48">
            <v>8.8512409176064324</v>
          </cell>
          <cell r="H48">
            <v>5.1921437288958234</v>
          </cell>
          <cell r="I48">
            <v>2.9999702747827257</v>
          </cell>
          <cell r="J48">
            <v>0.72344118608725883</v>
          </cell>
          <cell r="K48">
            <v>0.72847605959468698</v>
          </cell>
          <cell r="L48">
            <v>0.72867068340237773</v>
          </cell>
          <cell r="M48">
            <v>0.72876598908457257</v>
          </cell>
        </row>
        <row r="49">
          <cell r="B49">
            <v>24.189714995476411</v>
          </cell>
          <cell r="C49">
            <v>25.326920269612991</v>
          </cell>
          <cell r="D49">
            <v>24.58002929175187</v>
          </cell>
          <cell r="E49">
            <v>23.457618594567212</v>
          </cell>
          <cell r="F49">
            <v>23.412420395960375</v>
          </cell>
          <cell r="G49">
            <v>23.827003755228553</v>
          </cell>
          <cell r="H49">
            <v>21.445446470516103</v>
          </cell>
          <cell r="I49">
            <v>7.4682994740466535</v>
          </cell>
          <cell r="J49">
            <v>3.9650661371205698</v>
          </cell>
          <cell r="K49">
            <v>2.044753907149031</v>
          </cell>
          <cell r="L49">
            <v>1.0339989866141137</v>
          </cell>
          <cell r="M49">
            <v>0.29677013055380924</v>
          </cell>
        </row>
        <row r="50">
          <cell r="B50">
            <v>0</v>
          </cell>
          <cell r="C50">
            <v>0</v>
          </cell>
          <cell r="D50">
            <v>1.5586736625574271E-3</v>
          </cell>
          <cell r="E50">
            <v>1.5364872617343521E-3</v>
          </cell>
          <cell r="F50">
            <v>0.40353542913964768</v>
          </cell>
          <cell r="G50">
            <v>0.83660997762416223</v>
          </cell>
          <cell r="H50">
            <v>1.303151200433079</v>
          </cell>
          <cell r="I50">
            <v>0.89658005148162545</v>
          </cell>
          <cell r="J50">
            <v>1.7686170676385622</v>
          </cell>
          <cell r="K50">
            <v>2.7080594219906322</v>
          </cell>
          <cell r="L50">
            <v>3.7200923852771788</v>
          </cell>
          <cell r="M50">
            <v>4.457923073488554</v>
          </cell>
        </row>
        <row r="51">
          <cell r="B51">
            <v>2.0957162906057061</v>
          </cell>
          <cell r="C51">
            <v>2.2700607308013332</v>
          </cell>
          <cell r="D51">
            <v>2.8378551642957444</v>
          </cell>
          <cell r="E51">
            <v>2.8380156099019929</v>
          </cell>
          <cell r="F51">
            <v>2.8429176850670488</v>
          </cell>
          <cell r="G51">
            <v>2.0279293748742733</v>
          </cell>
          <cell r="H51">
            <v>2.0275951439355122</v>
          </cell>
          <cell r="I51">
            <v>1.9859343062783894</v>
          </cell>
          <cell r="J51">
            <v>2.2943667585345415</v>
          </cell>
          <cell r="K51">
            <v>2.4522190586957606</v>
          </cell>
          <cell r="L51">
            <v>2.2142801700358197</v>
          </cell>
          <cell r="M51">
            <v>1.9202715828145978</v>
          </cell>
        </row>
        <row r="52">
          <cell r="B52">
            <v>5.553901597872172</v>
          </cell>
          <cell r="C52">
            <v>6.0159361906841058</v>
          </cell>
          <cell r="D52">
            <v>6.0159364959576527</v>
          </cell>
          <cell r="E52">
            <v>6.0159365291574174</v>
          </cell>
          <cell r="F52">
            <v>6.0159363605575225</v>
          </cell>
          <cell r="G52">
            <v>6.015938739915609</v>
          </cell>
          <cell r="H52">
            <v>6.3624104312409013</v>
          </cell>
          <cell r="I52">
            <v>6.3624287942595954</v>
          </cell>
          <cell r="J52">
            <v>8.3261191192226232</v>
          </cell>
          <cell r="K52">
            <v>8.3261240947984447</v>
          </cell>
          <cell r="L52">
            <v>8.3261278738419708</v>
          </cell>
          <cell r="M52">
            <v>8.3261363202577012</v>
          </cell>
        </row>
        <row r="53">
          <cell r="B53">
            <v>6.1735454102717702</v>
          </cell>
          <cell r="C53">
            <v>7.0511013972414442</v>
          </cell>
          <cell r="D53">
            <v>6.8853125828103607</v>
          </cell>
          <cell r="E53">
            <v>5.6154364191703818</v>
          </cell>
          <cell r="F53">
            <v>5.6130606246860255</v>
          </cell>
          <cell r="G53">
            <v>4.4356734775018518</v>
          </cell>
          <cell r="H53">
            <v>3.7771716365943595</v>
          </cell>
          <cell r="I53">
            <v>0.38670400870501576</v>
          </cell>
          <cell r="J53">
            <v>0.38095337312882316</v>
          </cell>
          <cell r="K53">
            <v>0.38368687316176958</v>
          </cell>
          <cell r="L53">
            <v>0.38372307817937484</v>
          </cell>
          <cell r="M53">
            <v>1.1526410999796075</v>
          </cell>
        </row>
        <row r="54">
          <cell r="B54">
            <v>1.8770710196056706</v>
          </cell>
          <cell r="C54">
            <v>2.1600823367351905</v>
          </cell>
          <cell r="D54">
            <v>2.1233104765720321</v>
          </cell>
          <cell r="E54">
            <v>2.1356304492671243</v>
          </cell>
          <cell r="F54">
            <v>2.2681211504301602</v>
          </cell>
          <cell r="G54">
            <v>2.512708196348457</v>
          </cell>
          <cell r="H54">
            <v>2.4787451943987269</v>
          </cell>
          <cell r="I54">
            <v>2.2392633434766234</v>
          </cell>
          <cell r="J54">
            <v>2.2058969741373442</v>
          </cell>
          <cell r="K54">
            <v>2.2213672749007984</v>
          </cell>
          <cell r="L54">
            <v>2.2219687052514492</v>
          </cell>
          <cell r="M54">
            <v>2.2222387949333275</v>
          </cell>
        </row>
        <row r="55">
          <cell r="B55">
            <v>0.62699361478553695</v>
          </cell>
          <cell r="C55">
            <v>0.68733289994314706</v>
          </cell>
          <cell r="D55">
            <v>0.68717486743997847</v>
          </cell>
          <cell r="E55">
            <v>0.68900975959858834</v>
          </cell>
          <cell r="F55">
            <v>1.6300243658904436</v>
          </cell>
          <cell r="G55">
            <v>3.3921776885754378</v>
          </cell>
          <cell r="H55">
            <v>3.3190895531668203</v>
          </cell>
          <cell r="I55">
            <v>3.5213229136869031</v>
          </cell>
          <cell r="J55">
            <v>3.522438862058177</v>
          </cell>
          <cell r="K55">
            <v>3.521762167482823</v>
          </cell>
          <cell r="L55">
            <v>3.5220911965856851</v>
          </cell>
          <cell r="M55">
            <v>3.3755399211540009</v>
          </cell>
        </row>
        <row r="56">
          <cell r="B56">
            <v>1.2230667913964</v>
          </cell>
          <cell r="C56">
            <v>1.340766540852586</v>
          </cell>
          <cell r="D56">
            <v>1.3568850157383832</v>
          </cell>
          <cell r="E56">
            <v>1.3227683328987132</v>
          </cell>
          <cell r="F56">
            <v>1.9088908709973098</v>
          </cell>
          <cell r="G56">
            <v>3.4740975577531157</v>
          </cell>
          <cell r="H56">
            <v>5.408217717982903</v>
          </cell>
          <cell r="I56">
            <v>9.435461327083047</v>
          </cell>
          <cell r="J56">
            <v>11.363451339549821</v>
          </cell>
          <cell r="K56">
            <v>14.633757585717001</v>
          </cell>
          <cell r="L56">
            <v>15.142319460170146</v>
          </cell>
          <cell r="M56">
            <v>15.142558373709306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5.9652538034198174E-4</v>
          </cell>
          <cell r="F57">
            <v>9.4874172030432122E-2</v>
          </cell>
          <cell r="G57">
            <v>0.60814409197510633</v>
          </cell>
          <cell r="H57">
            <v>1.5437425524679707</v>
          </cell>
          <cell r="I57">
            <v>1.6185490763675439</v>
          </cell>
          <cell r="J57">
            <v>1.5944321845095519</v>
          </cell>
          <cell r="K57">
            <v>0.43606535828671872</v>
          </cell>
          <cell r="L57">
            <v>0.1922716869054866</v>
          </cell>
          <cell r="M57">
            <v>0.10276712399594316</v>
          </cell>
        </row>
        <row r="58">
          <cell r="B58">
            <v>0</v>
          </cell>
          <cell r="C58">
            <v>6.9642754136004363</v>
          </cell>
          <cell r="D58">
            <v>6.9635004540328769</v>
          </cell>
          <cell r="E58">
            <v>12.416180253245079</v>
          </cell>
          <cell r="F58">
            <v>12.416503568032752</v>
          </cell>
          <cell r="G58">
            <v>12.416533195838145</v>
          </cell>
          <cell r="H58">
            <v>13.586130724577448</v>
          </cell>
          <cell r="I58">
            <v>21.071575455674871</v>
          </cell>
          <cell r="J58">
            <v>21.071454781257231</v>
          </cell>
          <cell r="K58">
            <v>21.071305466564436</v>
          </cell>
          <cell r="L58">
            <v>21.071242362702616</v>
          </cell>
          <cell r="M58">
            <v>21.070753250377795</v>
          </cell>
        </row>
        <row r="59">
          <cell r="B59">
            <v>73.238324137687258</v>
          </cell>
          <cell r="C59">
            <v>78.633011526259935</v>
          </cell>
          <cell r="D59">
            <v>79.116323078190817</v>
          </cell>
          <cell r="E59">
            <v>77.71487646949285</v>
          </cell>
          <cell r="F59">
            <v>75.767002775860846</v>
          </cell>
          <cell r="G59">
            <v>74.907958727317663</v>
          </cell>
          <cell r="H59">
            <v>72.664172500445318</v>
          </cell>
          <cell r="I59">
            <v>69.956978887009484</v>
          </cell>
          <cell r="J59">
            <v>69.197708561152837</v>
          </cell>
          <cell r="K59">
            <v>69.603097828447076</v>
          </cell>
          <cell r="L59">
            <v>69.621075741739674</v>
          </cell>
          <cell r="M59">
            <v>70.213123548658245</v>
          </cell>
        </row>
      </sheetData>
      <sheetData sheetId="72">
        <row r="3">
          <cell r="B3">
            <v>44.57690563477184</v>
          </cell>
          <cell r="C3">
            <v>44.827338231160248</v>
          </cell>
          <cell r="D3">
            <v>44.633490753724523</v>
          </cell>
          <cell r="E3">
            <v>44.838272425177777</v>
          </cell>
          <cell r="F3">
            <v>45.030086229070832</v>
          </cell>
          <cell r="G3">
            <v>45.051866461391974</v>
          </cell>
          <cell r="H3">
            <v>44.87346663741728</v>
          </cell>
          <cell r="I3">
            <v>44.932088396366808</v>
          </cell>
          <cell r="J3">
            <v>45.475839277680095</v>
          </cell>
          <cell r="K3">
            <v>45.859518897111919</v>
          </cell>
          <cell r="L3">
            <v>46.272794227279846</v>
          </cell>
          <cell r="M3">
            <v>46.288977645984509</v>
          </cell>
        </row>
        <row r="10">
          <cell r="B10">
            <v>2.8934725413228115</v>
          </cell>
          <cell r="C10">
            <v>7.0028930354849255</v>
          </cell>
          <cell r="D10">
            <v>7.0020820851972223</v>
          </cell>
          <cell r="E10">
            <v>9.2054827407769118</v>
          </cell>
          <cell r="F10">
            <v>11.323601853127423</v>
          </cell>
          <cell r="G10">
            <v>18.531818777327214</v>
          </cell>
          <cell r="H10">
            <v>18.531646087738075</v>
          </cell>
          <cell r="I10">
            <v>18.532232874574813</v>
          </cell>
          <cell r="J10">
            <v>18.531447795282247</v>
          </cell>
          <cell r="K10">
            <v>18.531378159447371</v>
          </cell>
          <cell r="L10">
            <v>18.531547021998779</v>
          </cell>
          <cell r="M10">
            <v>14.56626501709796</v>
          </cell>
        </row>
        <row r="15">
          <cell r="B15">
            <v>69.470009599984664</v>
          </cell>
          <cell r="C15">
            <v>70.028386555259544</v>
          </cell>
          <cell r="D15">
            <v>71.024518390941367</v>
          </cell>
          <cell r="E15">
            <v>67.977559196817964</v>
          </cell>
          <cell r="F15">
            <v>67.673015126010441</v>
          </cell>
          <cell r="G15">
            <v>64.628518984453166</v>
          </cell>
          <cell r="H15">
            <v>66.484331251940461</v>
          </cell>
          <cell r="I15">
            <v>71.076426365256097</v>
          </cell>
          <cell r="J15">
            <v>77.827195794314534</v>
          </cell>
          <cell r="K15">
            <v>78.388529173425724</v>
          </cell>
          <cell r="L15">
            <v>78.544589273401272</v>
          </cell>
          <cell r="M15">
            <v>74.854544319356251</v>
          </cell>
        </row>
        <row r="16">
          <cell r="B16">
            <v>60.231827651037904</v>
          </cell>
          <cell r="C16">
            <v>51.319998567531258</v>
          </cell>
          <cell r="D16">
            <v>50.077011330150626</v>
          </cell>
          <cell r="E16">
            <v>41.439092487066311</v>
          </cell>
          <cell r="F16">
            <v>20.85801082584419</v>
          </cell>
          <cell r="G16">
            <v>10.328977845035174</v>
          </cell>
          <cell r="H16">
            <v>6.5855117425458669</v>
          </cell>
          <cell r="I16">
            <v>0</v>
          </cell>
          <cell r="J16">
            <v>2.1575786774654738E-4</v>
          </cell>
          <cell r="K16">
            <v>3.8340194755885696E-4</v>
          </cell>
          <cell r="L16">
            <v>2.4461817427717732E-4</v>
          </cell>
          <cell r="M16">
            <v>4.6088380848606839E-4</v>
          </cell>
        </row>
        <row r="17">
          <cell r="B17">
            <v>0</v>
          </cell>
          <cell r="C17">
            <v>0</v>
          </cell>
          <cell r="D17">
            <v>4.7646082523136976E-5</v>
          </cell>
          <cell r="E17">
            <v>3.3715538433816259E-4</v>
          </cell>
          <cell r="F17">
            <v>5.1148975893498903E-4</v>
          </cell>
          <cell r="G17">
            <v>2.068477618591663E-4</v>
          </cell>
          <cell r="H17">
            <v>7.8241437158710022E-4</v>
          </cell>
          <cell r="I17">
            <v>6.5857595073441786</v>
          </cell>
          <cell r="J17">
            <v>5.8517712337962902</v>
          </cell>
          <cell r="K17">
            <v>3.3407223631979659</v>
          </cell>
          <cell r="L17">
            <v>3.3407617354746963</v>
          </cell>
          <cell r="M17">
            <v>0.67870594137481588</v>
          </cell>
        </row>
        <row r="18">
          <cell r="B18">
            <v>46.69268163618645</v>
          </cell>
          <cell r="C18">
            <v>48.171453051105694</v>
          </cell>
          <cell r="D18">
            <v>48.077987501736928</v>
          </cell>
          <cell r="E18">
            <v>52.396339529367253</v>
          </cell>
          <cell r="F18">
            <v>51.521127906544059</v>
          </cell>
          <cell r="G18">
            <v>51.41924102587528</v>
          </cell>
          <cell r="H18">
            <v>40.638431444621219</v>
          </cell>
          <cell r="I18">
            <v>17.493537839966468</v>
          </cell>
          <cell r="J18">
            <v>5.4772990229661005</v>
          </cell>
          <cell r="K18">
            <v>3.4445622820404478</v>
          </cell>
          <cell r="L18">
            <v>3.4608996996571872</v>
          </cell>
          <cell r="M18">
            <v>2.0488582418179804</v>
          </cell>
        </row>
        <row r="19">
          <cell r="B19">
            <v>0.30923678152430795</v>
          </cell>
          <cell r="C19">
            <v>1.3958470960132698E-3</v>
          </cell>
          <cell r="D19">
            <v>1.3868743951001266E-3</v>
          </cell>
          <cell r="E19">
            <v>1.3889482604047408E-3</v>
          </cell>
          <cell r="F19">
            <v>1.3885547575761552E-3</v>
          </cell>
          <cell r="G19">
            <v>0.1099557245961393</v>
          </cell>
          <cell r="H19">
            <v>0.10848443792399123</v>
          </cell>
          <cell r="I19">
            <v>1.4699896457094037</v>
          </cell>
          <cell r="J19">
            <v>4.0533113326417496</v>
          </cell>
          <cell r="K19">
            <v>4.0282618389945544</v>
          </cell>
          <cell r="L19">
            <v>4.0495031515179907</v>
          </cell>
          <cell r="M19">
            <v>4.0309491863506244</v>
          </cell>
        </row>
        <row r="20">
          <cell r="B20">
            <v>0.10000055531616782</v>
          </cell>
          <cell r="C20">
            <v>0.10000010817032533</v>
          </cell>
          <cell r="D20">
            <v>1.4773589279447603E-3</v>
          </cell>
          <cell r="E20">
            <v>9.3006343979099276E-4</v>
          </cell>
          <cell r="F20">
            <v>3.641328532400939E-4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5.7553090427820637</v>
          </cell>
          <cell r="C21">
            <v>9.6701872292542514</v>
          </cell>
          <cell r="D21">
            <v>10.159283578325978</v>
          </cell>
          <cell r="E21">
            <v>7.0426611101362848</v>
          </cell>
          <cell r="F21">
            <v>7.1989017554717574</v>
          </cell>
          <cell r="G21">
            <v>9.3972636664818765</v>
          </cell>
          <cell r="H21">
            <v>7.8528833061967642</v>
          </cell>
          <cell r="I21">
            <v>9.8612389228604158</v>
          </cell>
          <cell r="J21">
            <v>9.6770521142854129</v>
          </cell>
          <cell r="K21">
            <v>9.5577704781620643</v>
          </cell>
          <cell r="L21">
            <v>9.8007822067706236</v>
          </cell>
          <cell r="M21">
            <v>8.5176238504284925</v>
          </cell>
        </row>
        <row r="22">
          <cell r="B22">
            <v>16.991201493454227</v>
          </cell>
          <cell r="C22">
            <v>17.788547373148859</v>
          </cell>
          <cell r="D22">
            <v>15.794016075280192</v>
          </cell>
          <cell r="E22">
            <v>14.064246753779614</v>
          </cell>
          <cell r="F22">
            <v>13.035219581905986</v>
          </cell>
          <cell r="G22">
            <v>11.097794608934022</v>
          </cell>
          <cell r="H22">
            <v>10.280539708843131</v>
          </cell>
          <cell r="I22">
            <v>9.7704284790173812</v>
          </cell>
          <cell r="J22">
            <v>9.2089392285284752</v>
          </cell>
          <cell r="K22">
            <v>9.1465716118968672</v>
          </cell>
          <cell r="L22">
            <v>9.0018624504870139</v>
          </cell>
          <cell r="M22">
            <v>7.916727385595526</v>
          </cell>
        </row>
        <row r="23">
          <cell r="B23">
            <v>2.5068260308942825</v>
          </cell>
          <cell r="C23">
            <v>2.927993619011235</v>
          </cell>
          <cell r="D23">
            <v>2.8881894976391456</v>
          </cell>
          <cell r="E23">
            <v>2.4064628465601472</v>
          </cell>
          <cell r="F23">
            <v>1.9130169714082634</v>
          </cell>
          <cell r="G23">
            <v>1.9618233006955756</v>
          </cell>
          <cell r="H23">
            <v>2.1412642291415378</v>
          </cell>
          <cell r="I23">
            <v>5.4719768818281498</v>
          </cell>
          <cell r="J23">
            <v>5.471766535089829</v>
          </cell>
          <cell r="K23">
            <v>5.2875705140473794</v>
          </cell>
          <cell r="L23">
            <v>5.4715714774450346</v>
          </cell>
          <cell r="M23">
            <v>4.249789052234874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1.2933325520848016E-3</v>
          </cell>
          <cell r="F24">
            <v>6.3119645370728936E-2</v>
          </cell>
          <cell r="G24">
            <v>0.35824127909314796</v>
          </cell>
          <cell r="H24">
            <v>0.98276140402398238</v>
          </cell>
          <cell r="I24">
            <v>0.58566415474237699</v>
          </cell>
          <cell r="J24">
            <v>0.13094918882263881</v>
          </cell>
          <cell r="K24">
            <v>0.12985794148171337</v>
          </cell>
          <cell r="L24">
            <v>9.2216037477318227E-2</v>
          </cell>
          <cell r="M24">
            <v>6.5367883141964858E-2</v>
          </cell>
        </row>
        <row r="25">
          <cell r="B25">
            <v>15.194971142673158</v>
          </cell>
          <cell r="C25">
            <v>18.072650388172683</v>
          </cell>
          <cell r="D25">
            <v>20.547699660210831</v>
          </cell>
          <cell r="E25">
            <v>28.602101697596009</v>
          </cell>
          <cell r="F25">
            <v>45.777840231144026</v>
          </cell>
          <cell r="G25">
            <v>49.406218052932076</v>
          </cell>
          <cell r="H25">
            <v>59.614043411858852</v>
          </cell>
          <cell r="I25">
            <v>70.50279064990707</v>
          </cell>
          <cell r="J25">
            <v>71.826728264852179</v>
          </cell>
          <cell r="K25">
            <v>72.378420496133302</v>
          </cell>
          <cell r="L25">
            <v>72.301520582230964</v>
          </cell>
          <cell r="M25">
            <v>73.743835058211715</v>
          </cell>
        </row>
        <row r="26">
          <cell r="B26">
            <v>217.25206393385324</v>
          </cell>
          <cell r="C26">
            <v>218.08061273874986</v>
          </cell>
          <cell r="D26">
            <v>218.57161791369063</v>
          </cell>
          <cell r="E26">
            <v>213.93241312096023</v>
          </cell>
          <cell r="F26">
            <v>208.04251622106921</v>
          </cell>
          <cell r="G26">
            <v>198.70824133585828</v>
          </cell>
          <cell r="H26">
            <v>194.6890333514674</v>
          </cell>
          <cell r="I26">
            <v>192.81781244663154</v>
          </cell>
          <cell r="J26">
            <v>189.52522847316499</v>
          </cell>
          <cell r="K26">
            <v>185.70265010132761</v>
          </cell>
          <cell r="L26">
            <v>186.06395123263638</v>
          </cell>
          <cell r="M26">
            <v>176.10686180232074</v>
          </cell>
        </row>
        <row r="102">
          <cell r="B102">
            <v>8.9080024235217081</v>
          </cell>
          <cell r="C102">
            <v>7.7309114968304007</v>
          </cell>
          <cell r="D102">
            <v>8.0872564852773259</v>
          </cell>
          <cell r="E102">
            <v>5.1310091011019239</v>
          </cell>
          <cell r="F102">
            <v>2.8554766437656252</v>
          </cell>
          <cell r="G102">
            <v>1.7771253225915946</v>
          </cell>
          <cell r="H102">
            <v>1.1738173200751678</v>
          </cell>
          <cell r="I102">
            <v>1.3022215819437801</v>
          </cell>
          <cell r="J102">
            <v>3.6262408247189803</v>
          </cell>
          <cell r="K102">
            <v>3.5685020948227106</v>
          </cell>
          <cell r="L102">
            <v>3.4571674195826838</v>
          </cell>
          <cell r="M102">
            <v>1.2468916707835012</v>
          </cell>
        </row>
        <row r="104">
          <cell r="B104">
            <v>19.060330302163948</v>
          </cell>
          <cell r="C104">
            <v>22.701565547548611</v>
          </cell>
          <cell r="D104">
            <v>24.751377763451256</v>
          </cell>
          <cell r="E104">
            <v>33.385297057702068</v>
          </cell>
          <cell r="F104">
            <v>46.522518300200787</v>
          </cell>
          <cell r="G104">
            <v>47.365536737061127</v>
          </cell>
          <cell r="H104">
            <v>57.450848360665226</v>
          </cell>
          <cell r="I104">
            <v>71.332385938180508</v>
          </cell>
          <cell r="J104">
            <v>76.845766363782417</v>
          </cell>
          <cell r="K104">
            <v>78.006330772953774</v>
          </cell>
          <cell r="L104">
            <v>78.006415423416897</v>
          </cell>
          <cell r="M104">
            <v>78.006468575346219</v>
          </cell>
        </row>
        <row r="105">
          <cell r="B105">
            <v>45.124392332152084</v>
          </cell>
          <cell r="C105">
            <v>38.485918096470485</v>
          </cell>
          <cell r="D105">
            <v>40.100753443423791</v>
          </cell>
          <cell r="E105">
            <v>35.856962069998971</v>
          </cell>
          <cell r="F105">
            <v>18.243025862491272</v>
          </cell>
          <cell r="G105">
            <v>9.2519307239546773</v>
          </cell>
          <cell r="H105">
            <v>5.8992353989361233</v>
          </cell>
          <cell r="I105">
            <v>5.8992322782954973</v>
          </cell>
          <cell r="J105">
            <v>5.2420668139244002</v>
          </cell>
          <cell r="K105">
            <v>2.992509253269878</v>
          </cell>
          <cell r="L105">
            <v>2.9924953914302304</v>
          </cell>
          <cell r="M105">
            <v>0.60736001462734668</v>
          </cell>
        </row>
        <row r="106">
          <cell r="B106">
            <v>36.569918167827197</v>
          </cell>
          <cell r="C106">
            <v>39.325173449939513</v>
          </cell>
          <cell r="D106">
            <v>37.694054764259988</v>
          </cell>
          <cell r="E106">
            <v>37.694013747654516</v>
          </cell>
          <cell r="F106">
            <v>35.847490795026424</v>
          </cell>
          <cell r="G106">
            <v>32.143983465522197</v>
          </cell>
          <cell r="H106">
            <v>26.146605910193522</v>
          </cell>
          <cell r="I106">
            <v>11.959965015969786</v>
          </cell>
          <cell r="J106">
            <v>5.8965739940897057</v>
          </cell>
          <cell r="K106">
            <v>4.3971225782961199</v>
          </cell>
          <cell r="L106">
            <v>4.3971116953245613</v>
          </cell>
          <cell r="M106">
            <v>3.1951491910359211</v>
          </cell>
        </row>
        <row r="107">
          <cell r="B107">
            <v>0</v>
          </cell>
          <cell r="C107">
            <v>0</v>
          </cell>
          <cell r="D107">
            <v>1.0273290741203336E-2</v>
          </cell>
          <cell r="E107">
            <v>1.1107761612007208E-2</v>
          </cell>
          <cell r="F107">
            <v>7.208988610804977</v>
          </cell>
          <cell r="G107">
            <v>12.415730145889388</v>
          </cell>
          <cell r="H107">
            <v>12.394584676705747</v>
          </cell>
          <cell r="I107">
            <v>9.4412990800639793</v>
          </cell>
          <cell r="J107">
            <v>4.6983916006376107</v>
          </cell>
          <cell r="K107">
            <v>4.2481012240432534</v>
          </cell>
          <cell r="L107">
            <v>4.2480120566651287</v>
          </cell>
          <cell r="M107">
            <v>4.2480072896118442</v>
          </cell>
        </row>
        <row r="108">
          <cell r="B108">
            <v>7.2000399827640796E-2</v>
          </cell>
          <cell r="C108">
            <v>7.2000077882634309E-2</v>
          </cell>
          <cell r="D108">
            <v>1.0636984281202258E-3</v>
          </cell>
          <cell r="E108">
            <v>6.6964567664951449E-4</v>
          </cell>
          <cell r="F108">
            <v>2.6217565433286774E-4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>
            <v>7.3945799795204492E-2</v>
          </cell>
          <cell r="C109">
            <v>3.8683781315768167E-3</v>
          </cell>
          <cell r="D109">
            <v>0.24493022667301514</v>
          </cell>
          <cell r="E109">
            <v>0.25323462615912828</v>
          </cell>
          <cell r="F109">
            <v>0.25325554367615621</v>
          </cell>
          <cell r="G109">
            <v>0.52052839248820026</v>
          </cell>
          <cell r="H109">
            <v>0.5205288259190014</v>
          </cell>
          <cell r="I109">
            <v>0.5205307455105086</v>
          </cell>
          <cell r="J109">
            <v>0.52060738211721991</v>
          </cell>
          <cell r="K109">
            <v>0.52147494601870392</v>
          </cell>
          <cell r="L109">
            <v>0.52150860904854579</v>
          </cell>
          <cell r="M109">
            <v>0.52160540914962705</v>
          </cell>
        </row>
        <row r="110">
          <cell r="B110">
            <v>3.930466372359807</v>
          </cell>
          <cell r="C110">
            <v>7.6930075087998633</v>
          </cell>
          <cell r="D110">
            <v>7.9801777493988721</v>
          </cell>
          <cell r="E110">
            <v>5.4552436589796116</v>
          </cell>
          <cell r="F110">
            <v>5.5886107928240172</v>
          </cell>
          <cell r="G110">
            <v>7.114006340367232</v>
          </cell>
          <cell r="H110">
            <v>5.8593186112185052</v>
          </cell>
          <cell r="I110">
            <v>7.4909614747450606</v>
          </cell>
          <cell r="J110">
            <v>7.3412357480901989</v>
          </cell>
          <cell r="K110">
            <v>7.2434682481548354</v>
          </cell>
          <cell r="L110">
            <v>7.4408623047934155</v>
          </cell>
          <cell r="M110">
            <v>6.3982982476676264</v>
          </cell>
        </row>
        <row r="111">
          <cell r="B111">
            <v>9.1310761602881421</v>
          </cell>
          <cell r="C111">
            <v>9.1886986392714682</v>
          </cell>
          <cell r="D111">
            <v>8.2056570906516235</v>
          </cell>
          <cell r="E111">
            <v>6.9245739049231103</v>
          </cell>
          <cell r="F111">
            <v>6.130531818724382</v>
          </cell>
          <cell r="G111">
            <v>4.7360270996240788</v>
          </cell>
          <cell r="H111">
            <v>4.1176627603026006</v>
          </cell>
          <cell r="I111">
            <v>3.7107130857143376</v>
          </cell>
          <cell r="J111">
            <v>3.2861612045194999</v>
          </cell>
          <cell r="K111">
            <v>3.1951914628918132</v>
          </cell>
          <cell r="L111">
            <v>3.0967175964425064</v>
          </cell>
          <cell r="M111">
            <v>2.358600447661475</v>
          </cell>
        </row>
        <row r="112">
          <cell r="B112">
            <v>2.6968858017067054</v>
          </cell>
          <cell r="C112">
            <v>3.1682212258004965</v>
          </cell>
          <cell r="D112">
            <v>3.1714499960400957</v>
          </cell>
          <cell r="E112">
            <v>3.3021574928926198</v>
          </cell>
          <cell r="F112">
            <v>3.4197989152922501</v>
          </cell>
          <cell r="G112">
            <v>3.5156638189511176</v>
          </cell>
          <cell r="H112">
            <v>3.5937684244046864</v>
          </cell>
          <cell r="I112">
            <v>3.6687451003145291</v>
          </cell>
          <cell r="J112">
            <v>3.7220387317135772</v>
          </cell>
          <cell r="K112">
            <v>3.782717672939981</v>
          </cell>
          <cell r="L112">
            <v>3.7827793970109416</v>
          </cell>
          <cell r="M112">
            <v>3.7827921452995072</v>
          </cell>
        </row>
        <row r="113">
          <cell r="B113">
            <v>0.78533800623443151</v>
          </cell>
          <cell r="C113">
            <v>0.94127330729621783</v>
          </cell>
          <cell r="D113">
            <v>0.94166677096040985</v>
          </cell>
          <cell r="E113">
            <v>0.85770398137828174</v>
          </cell>
          <cell r="F113">
            <v>0.84172041240735895</v>
          </cell>
          <cell r="G113">
            <v>0.86319605508025887</v>
          </cell>
          <cell r="H113">
            <v>0.88634364275978139</v>
          </cell>
          <cell r="I113">
            <v>2.4076703425895714</v>
          </cell>
          <cell r="J113">
            <v>2.4075772122628698</v>
          </cell>
          <cell r="K113">
            <v>2.3265313405335206</v>
          </cell>
          <cell r="L113">
            <v>2.4074919321331398</v>
          </cell>
          <cell r="M113">
            <v>1.8698913334463416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6">
          <cell r="B116">
            <v>129.24582830719967</v>
          </cell>
          <cell r="C116">
            <v>136.31353076345621</v>
          </cell>
          <cell r="D116">
            <v>138.19074336450296</v>
          </cell>
          <cell r="E116">
            <v>138.07745578885581</v>
          </cell>
          <cell r="F116">
            <v>138.235281723995</v>
          </cell>
          <cell r="G116">
            <v>138.23554687885706</v>
          </cell>
          <cell r="H116">
            <v>136.57436001891844</v>
          </cell>
          <cell r="I116">
            <v>136.26595751790236</v>
          </cell>
          <cell r="J116">
            <v>132.11810767113872</v>
          </cell>
          <cell r="K116">
            <v>128.81332775337194</v>
          </cell>
          <cell r="L116">
            <v>128.88210884784684</v>
          </cell>
          <cell r="M116">
            <v>116.80132934172738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26.978295895507802</v>
          </cell>
          <cell r="C224">
            <v>25.930081733670363</v>
          </cell>
          <cell r="D224">
            <v>25.957547375538155</v>
          </cell>
          <cell r="E224">
            <v>25.647675795760684</v>
          </cell>
          <cell r="F224">
            <v>25.768531087315694</v>
          </cell>
          <cell r="G224">
            <v>25.613399044343318</v>
          </cell>
          <cell r="H224">
            <v>25.456704859318055</v>
          </cell>
          <cell r="I224">
            <v>25.623513650594273</v>
          </cell>
          <cell r="J224">
            <v>26.195158101104212</v>
          </cell>
          <cell r="K224">
            <v>25.731048937722914</v>
          </cell>
          <cell r="L224">
            <v>25.666168718285526</v>
          </cell>
          <cell r="M224">
            <v>25.050307577470214</v>
          </cell>
        </row>
        <row r="231">
          <cell r="B231">
            <v>15.5526990603685</v>
          </cell>
          <cell r="C231">
            <v>14.699620103661278</v>
          </cell>
          <cell r="D231">
            <v>15.003964205468339</v>
          </cell>
          <cell r="E231">
            <v>9.5241509152846149</v>
          </cell>
          <cell r="F231">
            <v>5.0377513218093313</v>
          </cell>
          <cell r="G231">
            <v>3.1352773318978335</v>
          </cell>
          <cell r="H231">
            <v>2.0708964288091329</v>
          </cell>
          <cell r="I231">
            <v>2.2974327999351196</v>
          </cell>
          <cell r="J231">
            <v>6.3975650654808538</v>
          </cell>
          <cell r="K231">
            <v>6.2957069805507366</v>
          </cell>
          <cell r="L231">
            <v>6.0992829439546856</v>
          </cell>
          <cell r="M231">
            <v>2.1998435136470711</v>
          </cell>
        </row>
        <row r="233">
          <cell r="B233">
            <v>22.300222050475451</v>
          </cell>
          <cell r="C233">
            <v>26.337022633086683</v>
          </cell>
          <cell r="D233">
            <v>29.719577656725885</v>
          </cell>
          <cell r="E233">
            <v>40.842103009453453</v>
          </cell>
          <cell r="F233">
            <v>58.076198094707237</v>
          </cell>
          <cell r="G233">
            <v>57.081115399974436</v>
          </cell>
          <cell r="H233">
            <v>70.188720379116972</v>
          </cell>
          <cell r="I233">
            <v>87.773384506319985</v>
          </cell>
          <cell r="J233">
            <v>93.851496547429704</v>
          </cell>
          <cell r="K233">
            <v>94.995384069459675</v>
          </cell>
          <cell r="L233">
            <v>94.882290636927664</v>
          </cell>
          <cell r="M233">
            <v>97.004941437169919</v>
          </cell>
        </row>
        <row r="234">
          <cell r="B234">
            <v>52.108851508385257</v>
          </cell>
          <cell r="C234">
            <v>44.45910139745061</v>
          </cell>
          <cell r="D234">
            <v>43.94745336183734</v>
          </cell>
          <cell r="E234">
            <v>36.902032797674714</v>
          </cell>
          <cell r="F234">
            <v>18.612399627945404</v>
          </cell>
          <cell r="G234">
            <v>9.2530243190206924</v>
          </cell>
          <cell r="H234">
            <v>5.9000669992007717</v>
          </cell>
          <cell r="I234">
            <v>5.8996627375196171</v>
          </cell>
          <cell r="J234">
            <v>5.2423519239185241</v>
          </cell>
          <cell r="K234">
            <v>2.9929852759108693</v>
          </cell>
          <cell r="L234">
            <v>2.9929080235337877</v>
          </cell>
          <cell r="M234">
            <v>0.60825384374696423</v>
          </cell>
        </row>
        <row r="235">
          <cell r="B235">
            <v>42.950368953878268</v>
          </cell>
          <cell r="C235">
            <v>44.435732275757914</v>
          </cell>
          <cell r="D235">
            <v>44.074309926443384</v>
          </cell>
          <cell r="E235">
            <v>47.484043040079079</v>
          </cell>
          <cell r="F235">
            <v>43.241916572295587</v>
          </cell>
          <cell r="G235">
            <v>40.485680297190846</v>
          </cell>
          <cell r="H235">
            <v>31.469137091101558</v>
          </cell>
          <cell r="I235">
            <v>13.490105979281887</v>
          </cell>
          <cell r="J235">
            <v>6.6509731568902106</v>
          </cell>
          <cell r="K235">
            <v>4.9596861010116315</v>
          </cell>
          <cell r="L235">
            <v>4.9596723474542825</v>
          </cell>
          <cell r="M235">
            <v>3.6039357516081045</v>
          </cell>
        </row>
        <row r="236">
          <cell r="B236">
            <v>0</v>
          </cell>
          <cell r="C236">
            <v>0</v>
          </cell>
          <cell r="D236">
            <v>1.2336204873080198E-2</v>
          </cell>
          <cell r="E236">
            <v>1.3584826094947294E-2</v>
          </cell>
          <cell r="F236">
            <v>8.9993081460512556</v>
          </cell>
          <cell r="G236">
            <v>15.846922113114397</v>
          </cell>
          <cell r="H236">
            <v>16.211806353855295</v>
          </cell>
          <cell r="I236">
            <v>11.336390912835515</v>
          </cell>
          <cell r="J236">
            <v>5.6414695179945991</v>
          </cell>
          <cell r="K236">
            <v>5.1007966684010766</v>
          </cell>
          <cell r="L236">
            <v>5.1006887358042272</v>
          </cell>
          <cell r="M236">
            <v>5.1006835251471152</v>
          </cell>
        </row>
        <row r="238">
          <cell r="B238">
            <v>9.8266462532071122E-2</v>
          </cell>
          <cell r="C238">
            <v>4.6038574167075273E-3</v>
          </cell>
          <cell r="D238">
            <v>0.28765019111926221</v>
          </cell>
          <cell r="E238">
            <v>0.2974044276704092</v>
          </cell>
          <cell r="F238">
            <v>0.29742892218583739</v>
          </cell>
          <cell r="G238">
            <v>0.61132020000185161</v>
          </cell>
          <cell r="H238">
            <v>0.611320724529266</v>
          </cell>
          <cell r="I238">
            <v>0.611322064615335</v>
          </cell>
          <cell r="J238">
            <v>0.61141281424341554</v>
          </cell>
          <cell r="K238">
            <v>0.61243124305343322</v>
          </cell>
          <cell r="L238">
            <v>0.61247080053643244</v>
          </cell>
          <cell r="M238">
            <v>0.61258457265354416</v>
          </cell>
        </row>
        <row r="239">
          <cell r="B239">
            <v>5.2231908720001199</v>
          </cell>
          <cell r="C239">
            <v>9.1556483031140932</v>
          </cell>
          <cell r="D239">
            <v>9.3720554051696912</v>
          </cell>
          <cell r="E239">
            <v>6.4067605714471423</v>
          </cell>
          <cell r="F239">
            <v>6.5633883487711451</v>
          </cell>
          <cell r="G239">
            <v>8.3548483455805354</v>
          </cell>
          <cell r="H239">
            <v>6.8813151554747627</v>
          </cell>
          <cell r="I239">
            <v>8.797539961263702</v>
          </cell>
          <cell r="J239">
            <v>8.621709493457697</v>
          </cell>
          <cell r="K239">
            <v>8.506882827456927</v>
          </cell>
          <cell r="L239">
            <v>8.7387069233864931</v>
          </cell>
          <cell r="M239">
            <v>7.5142986038955186</v>
          </cell>
        </row>
        <row r="240">
          <cell r="B240">
            <v>9.6515474440694948</v>
          </cell>
          <cell r="C240">
            <v>9.7859396306956121</v>
          </cell>
          <cell r="D240">
            <v>8.5392433766310081</v>
          </cell>
          <cell r="E240">
            <v>7.2060502304678069</v>
          </cell>
          <cell r="F240">
            <v>6.3797303537537422</v>
          </cell>
          <cell r="G240">
            <v>4.9285425718906914</v>
          </cell>
          <cell r="H240">
            <v>4.2850408464327083</v>
          </cell>
          <cell r="I240">
            <v>3.8615481775902811</v>
          </cell>
          <cell r="J240">
            <v>3.4197388938302464</v>
          </cell>
          <cell r="K240">
            <v>3.3250737357304194</v>
          </cell>
          <cell r="L240">
            <v>3.2225948745430975</v>
          </cell>
          <cell r="M240">
            <v>2.454482028629438</v>
          </cell>
        </row>
        <row r="241">
          <cell r="B241">
            <v>2.8666788789535782</v>
          </cell>
          <cell r="C241">
            <v>3.363057563564857</v>
          </cell>
          <cell r="D241">
            <v>3.3003651305086037</v>
          </cell>
          <cell r="E241">
            <v>3.4363865334306034</v>
          </cell>
          <cell r="F241">
            <v>3.5588104236011437</v>
          </cell>
          <cell r="G241">
            <v>3.65857326650633</v>
          </cell>
          <cell r="H241">
            <v>3.7398505828364135</v>
          </cell>
          <cell r="I241">
            <v>3.8178742727322366</v>
          </cell>
          <cell r="J241">
            <v>3.8733340286256142</v>
          </cell>
          <cell r="K241">
            <v>3.936481116025357</v>
          </cell>
          <cell r="L241">
            <v>3.9365437805478685</v>
          </cell>
          <cell r="M241">
            <v>3.9365595733670693</v>
          </cell>
        </row>
        <row r="242">
          <cell r="B242">
            <v>2.5068260308942825</v>
          </cell>
          <cell r="C242">
            <v>2.927993619011235</v>
          </cell>
          <cell r="D242">
            <v>2.8881894976391456</v>
          </cell>
          <cell r="E242">
            <v>2.4064628465601472</v>
          </cell>
          <cell r="F242">
            <v>1.9130169714082634</v>
          </cell>
          <cell r="G242">
            <v>1.9618233006955756</v>
          </cell>
          <cell r="H242">
            <v>2.1412642291415378</v>
          </cell>
          <cell r="I242">
            <v>5.4719768818281498</v>
          </cell>
          <cell r="J242">
            <v>5.471766535089829</v>
          </cell>
          <cell r="K242">
            <v>5.2875705140473794</v>
          </cell>
          <cell r="L242">
            <v>5.4715714774450346</v>
          </cell>
          <cell r="M242">
            <v>4.249789052234874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2.8934725413228115</v>
          </cell>
          <cell r="C244">
            <v>7.0028930354849255</v>
          </cell>
          <cell r="D244">
            <v>7.0020820851972223</v>
          </cell>
          <cell r="E244">
            <v>9.2054827407769118</v>
          </cell>
          <cell r="F244">
            <v>11.323601853127423</v>
          </cell>
          <cell r="G244">
            <v>18.531818777327214</v>
          </cell>
          <cell r="H244">
            <v>18.531646087738075</v>
          </cell>
          <cell r="I244">
            <v>18.532232874574813</v>
          </cell>
          <cell r="J244">
            <v>18.531447795282247</v>
          </cell>
          <cell r="K244">
            <v>18.531378159447371</v>
          </cell>
          <cell r="L244">
            <v>18.531547021998779</v>
          </cell>
          <cell r="M244">
            <v>14.56626501709796</v>
          </cell>
        </row>
        <row r="245">
          <cell r="B245">
            <v>156.22412420270746</v>
          </cell>
          <cell r="C245">
            <v>162.24361249712655</v>
          </cell>
          <cell r="D245">
            <v>164.14829074004112</v>
          </cell>
          <cell r="E245">
            <v>163.72513158461649</v>
          </cell>
          <cell r="F245">
            <v>164.00381281131069</v>
          </cell>
          <cell r="G245">
            <v>163.84894592320038</v>
          </cell>
          <cell r="H245">
            <v>162.03106487823649</v>
          </cell>
          <cell r="I245">
            <v>161.88947116849667</v>
          </cell>
          <cell r="J245">
            <v>158.31326577224294</v>
          </cell>
          <cell r="K245">
            <v>154.54437669109487</v>
          </cell>
          <cell r="L245">
            <v>154.54827756613236</v>
          </cell>
          <cell r="M245">
            <v>141.85163691919757</v>
          </cell>
        </row>
      </sheetData>
      <sheetData sheetId="73">
        <row r="21">
          <cell r="B21">
            <v>78.589979502141077</v>
          </cell>
          <cell r="C21">
            <v>74.839887892878878</v>
          </cell>
          <cell r="D21">
            <v>78.005105956190491</v>
          </cell>
          <cell r="E21">
            <v>47.645700077424621</v>
          </cell>
          <cell r="F21">
            <v>21.468161081388768</v>
          </cell>
          <cell r="G21">
            <v>9.9202731487899367</v>
          </cell>
          <cell r="H21">
            <v>2.9834334067562116</v>
          </cell>
          <cell r="I21">
            <v>0.34558623875315231</v>
          </cell>
          <cell r="J21">
            <v>0.22674829029769472</v>
          </cell>
          <cell r="K21">
            <v>0.20467366344864524</v>
          </cell>
          <cell r="L21">
            <v>0.18669769094222421</v>
          </cell>
          <cell r="M21">
            <v>0.15911788357796508</v>
          </cell>
        </row>
        <row r="22">
          <cell r="B22">
            <v>116.79192088072892</v>
          </cell>
          <cell r="C22">
            <v>110.17261727536669</v>
          </cell>
          <cell r="D22">
            <v>94.332802615874485</v>
          </cell>
          <cell r="E22">
            <v>62.316046646902336</v>
          </cell>
          <cell r="F22">
            <v>36.098516578414028</v>
          </cell>
          <cell r="G22">
            <v>23.961326048489465</v>
          </cell>
          <cell r="H22">
            <v>10.467217147351741</v>
          </cell>
          <cell r="I22">
            <v>4.2254811836912838E-4</v>
          </cell>
          <cell r="J22">
            <v>8.116060946966999E-4</v>
          </cell>
          <cell r="K22">
            <v>1.5375020317632954E-3</v>
          </cell>
          <cell r="L22">
            <v>1.0755995056320143E-3</v>
          </cell>
          <cell r="M22">
            <v>2.3113659688968925E-3</v>
          </cell>
        </row>
        <row r="23">
          <cell r="B23">
            <v>1.0922290180488021</v>
          </cell>
          <cell r="C23">
            <v>1.3845480918073996</v>
          </cell>
          <cell r="D23">
            <v>1.8206995380018636</v>
          </cell>
          <cell r="E23">
            <v>2.5197441224272912</v>
          </cell>
          <cell r="F23">
            <v>2.3338622023454154</v>
          </cell>
          <cell r="G23">
            <v>2.120303109509023</v>
          </cell>
          <cell r="H23">
            <v>1.8975032129102454</v>
          </cell>
          <cell r="I23">
            <v>-4.0106610998957848E-6</v>
          </cell>
          <cell r="J23">
            <v>2.6854985744018123E-4</v>
          </cell>
          <cell r="K23">
            <v>4.9846380982998539E-4</v>
          </cell>
          <cell r="L23">
            <v>3.354565342199578E-4</v>
          </cell>
          <cell r="M23">
            <v>6.6560863410014548E-4</v>
          </cell>
        </row>
        <row r="24">
          <cell r="B24">
            <v>0.24332771058298919</v>
          </cell>
          <cell r="C24">
            <v>0.14331869111562828</v>
          </cell>
          <cell r="D24">
            <v>0.23477459899243494</v>
          </cell>
          <cell r="E24">
            <v>6.5777568771641821E-3</v>
          </cell>
          <cell r="F24">
            <v>2.5746769651037965E-3</v>
          </cell>
          <cell r="G24">
            <v>9.8350117617872971E-4</v>
          </cell>
          <cell r="H24">
            <v>3.9018980179011094E-3</v>
          </cell>
          <cell r="I24">
            <v>1.3201828744199176E-3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4.5512037341063696</v>
          </cell>
          <cell r="C25">
            <v>4.3340155097323692</v>
          </cell>
          <cell r="D25">
            <v>4.5173279956838837</v>
          </cell>
          <cell r="E25">
            <v>2.760725538528424</v>
          </cell>
          <cell r="F25">
            <v>1.3067213731580096</v>
          </cell>
          <cell r="G25">
            <v>0.57556650752268645</v>
          </cell>
          <cell r="H25">
            <v>4.4902122509796518</v>
          </cell>
          <cell r="I25">
            <v>1.9574036267868951</v>
          </cell>
          <cell r="J25">
            <v>1.2837303796708659</v>
          </cell>
          <cell r="K25">
            <v>1.1575676694895598</v>
          </cell>
          <cell r="L25">
            <v>1.056395171501622</v>
          </cell>
          <cell r="M25">
            <v>0.89830458845338013</v>
          </cell>
        </row>
        <row r="26">
          <cell r="B26">
            <v>2.9717709286049527</v>
          </cell>
          <cell r="C26">
            <v>2.9709440866535046</v>
          </cell>
          <cell r="D26">
            <v>4.431820075422408</v>
          </cell>
          <cell r="E26">
            <v>3.0303043514299244</v>
          </cell>
          <cell r="F26">
            <v>2.9724292274846715</v>
          </cell>
          <cell r="G26">
            <v>2.9711839481835276</v>
          </cell>
          <cell r="H26">
            <v>3.867554543111944</v>
          </cell>
          <cell r="I26">
            <v>5.381481742418778</v>
          </cell>
          <cell r="J26">
            <v>2.9762769811546241</v>
          </cell>
          <cell r="K26">
            <v>2.9778984421543884</v>
          </cell>
          <cell r="L26">
            <v>2.8962421904204705</v>
          </cell>
          <cell r="M26">
            <v>2.7650470474191686</v>
          </cell>
        </row>
        <row r="27">
          <cell r="B27">
            <v>2.0024326048970739E-2</v>
          </cell>
          <cell r="C27">
            <v>2.0363396383334911E-2</v>
          </cell>
          <cell r="D27">
            <v>2.8785126274760028E-3</v>
          </cell>
          <cell r="E27">
            <v>1.0702766601516497E-4</v>
          </cell>
          <cell r="F27">
            <v>1.060871374980651E-4</v>
          </cell>
          <cell r="G27">
            <v>1.78649230833281E-3</v>
          </cell>
          <cell r="H27">
            <v>1.0809396052847143E-4</v>
          </cell>
          <cell r="I27">
            <v>1.300158428118282E-3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8.5270480034799396E-4</v>
          </cell>
          <cell r="C28">
            <v>1.56066497904678E-5</v>
          </cell>
          <cell r="D28">
            <v>1.0871238673764399E-3</v>
          </cell>
          <cell r="E28">
            <v>3.07474784620386E-2</v>
          </cell>
          <cell r="F28">
            <v>1.7002952498647299E-3</v>
          </cell>
          <cell r="G28">
            <v>3.3028479219678801E-4</v>
          </cell>
          <cell r="H28">
            <v>8.2010780969145897E-3</v>
          </cell>
          <cell r="I28">
            <v>1.6907791983742</v>
          </cell>
          <cell r="J28">
            <v>1.5094500331754599</v>
          </cell>
          <cell r="K28">
            <v>1.34755195502659</v>
          </cell>
          <cell r="L28">
            <v>1.2033590280858</v>
          </cell>
          <cell r="M28">
            <v>1.0741312921785999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0.31392437544536961</v>
          </cell>
          <cell r="F32">
            <v>1.3433063061574295</v>
          </cell>
          <cell r="G32">
            <v>1.1089820123077456</v>
          </cell>
          <cell r="H32">
            <v>1.8585688145943118</v>
          </cell>
          <cell r="I32">
            <v>2.0752315084923629</v>
          </cell>
          <cell r="J32">
            <v>1.2014199764966844</v>
          </cell>
          <cell r="K32">
            <v>1.8186178671383939</v>
          </cell>
          <cell r="L32">
            <v>1.951264681074935</v>
          </cell>
          <cell r="M32">
            <v>2.3487021742984981</v>
          </cell>
        </row>
      </sheetData>
      <sheetData sheetId="74">
        <row r="11">
          <cell r="B11">
            <v>29.53691830097284</v>
          </cell>
          <cell r="C11">
            <v>58.495436317992393</v>
          </cell>
          <cell r="D11">
            <v>83.52317318561056</v>
          </cell>
          <cell r="E11">
            <v>83.032075960047422</v>
          </cell>
          <cell r="F11">
            <v>74.047147272725738</v>
          </cell>
          <cell r="G11">
            <v>52.509675214533218</v>
          </cell>
          <cell r="H11">
            <v>26.254839748922748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5.2999203877939793</v>
          </cell>
          <cell r="F12">
            <v>18.51178634814152</v>
          </cell>
          <cell r="G12">
            <v>38.847115500687053</v>
          </cell>
          <cell r="H12">
            <v>68.659110062029072</v>
          </cell>
          <cell r="I12">
            <v>93.853205184868401</v>
          </cell>
          <cell r="J12">
            <v>93.85320834348866</v>
          </cell>
          <cell r="K12">
            <v>94.90895557945818</v>
          </cell>
          <cell r="L12">
            <v>96.620376294749818</v>
          </cell>
          <cell r="M12">
            <v>98.328934934533521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0.16817424067133999</v>
          </cell>
          <cell r="G13">
            <v>0.61620163532230399</v>
          </cell>
          <cell r="H13">
            <v>0.79466738353994992</v>
          </cell>
          <cell r="I13">
            <v>0.83068840584635395</v>
          </cell>
          <cell r="J13">
            <v>0.85719323688103599</v>
          </cell>
          <cell r="K13">
            <v>0.88148997517861805</v>
          </cell>
          <cell r="L13">
            <v>0.88184445156466373</v>
          </cell>
          <cell r="M13">
            <v>0.86680030181077372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</sheetData>
      <sheetData sheetId="75"/>
      <sheetData sheetId="76">
        <row r="53">
          <cell r="B53">
            <v>2.6036276029910148</v>
          </cell>
          <cell r="C53">
            <v>2.3569568947084587</v>
          </cell>
          <cell r="D53">
            <v>2.3587439916454112</v>
          </cell>
          <cell r="E53">
            <v>2.2434396437855226</v>
          </cell>
          <cell r="F53">
            <v>2.2406398308962516</v>
          </cell>
          <cell r="G53">
            <v>2.3261060431046947</v>
          </cell>
          <cell r="H53">
            <v>2.3521427799084957</v>
          </cell>
          <cell r="I53">
            <v>2.3405690907011625</v>
          </cell>
          <cell r="J53">
            <v>2.3177559629753852</v>
          </cell>
          <cell r="K53">
            <v>2.3178514988246981</v>
          </cell>
          <cell r="L53">
            <v>2.3176940551278689</v>
          </cell>
          <cell r="M53">
            <v>2.3179995694482636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6.4919474886855184</v>
          </cell>
          <cell r="C55">
            <v>6.1387158095179428</v>
          </cell>
          <cell r="D55">
            <v>5.6006552168554915</v>
          </cell>
          <cell r="E55">
            <v>4.8956239408408164</v>
          </cell>
          <cell r="F55">
            <v>4.0319937258218612</v>
          </cell>
          <cell r="G55">
            <v>3.8726264885263091</v>
          </cell>
          <cell r="H55">
            <v>3.6088550617728097</v>
          </cell>
          <cell r="I55">
            <v>3.1846119641875226</v>
          </cell>
          <cell r="J55">
            <v>3.0504256649488837</v>
          </cell>
          <cell r="K55">
            <v>3.0504545719749285</v>
          </cell>
          <cell r="L55">
            <v>3.0503951444688324</v>
          </cell>
          <cell r="M55">
            <v>3.0503596099531292</v>
          </cell>
        </row>
        <row r="56">
          <cell r="B56">
            <v>3.7900337212094999</v>
          </cell>
          <cell r="C56">
            <v>3.4123511276698801</v>
          </cell>
          <cell r="D56">
            <v>3.52167827085511</v>
          </cell>
          <cell r="E56">
            <v>3.0690505399685399</v>
          </cell>
          <cell r="F56">
            <v>2.7237511629189304</v>
          </cell>
          <cell r="G56">
            <v>2.3521438432800243</v>
          </cell>
          <cell r="H56">
            <v>1.7727650775759081</v>
          </cell>
          <cell r="I56">
            <v>0.41098344335493997</v>
          </cell>
          <cell r="J56">
            <v>0.17950964132361893</v>
          </cell>
          <cell r="K56">
            <v>8.8113927757663232E-2</v>
          </cell>
          <cell r="L56">
            <v>5.270360134378848E-2</v>
          </cell>
          <cell r="M56">
            <v>2.7403783652199008E-2</v>
          </cell>
        </row>
        <row r="57">
          <cell r="B57">
            <v>7.1752745556359185</v>
          </cell>
          <cell r="C57">
            <v>6.5875779724276091</v>
          </cell>
          <cell r="D57">
            <v>6.4987138176992811</v>
          </cell>
          <cell r="E57">
            <v>6.0947209733207881</v>
          </cell>
          <cell r="F57">
            <v>4.5059003343916357</v>
          </cell>
          <cell r="G57">
            <v>3.7139627710224858</v>
          </cell>
          <cell r="H57">
            <v>2.8485667698451071</v>
          </cell>
          <cell r="I57">
            <v>1.0204589809635001</v>
          </cell>
          <cell r="J57">
            <v>0.31486023862193108</v>
          </cell>
          <cell r="K57">
            <v>0.19925944354179984</v>
          </cell>
          <cell r="L57">
            <v>0.19914756338795245</v>
          </cell>
          <cell r="M57">
            <v>0.11846443360173671</v>
          </cell>
        </row>
        <row r="58">
          <cell r="B58">
            <v>14.551732316382166</v>
          </cell>
          <cell r="C58">
            <v>13.858805728934206</v>
          </cell>
          <cell r="D58">
            <v>12.901379580052783</v>
          </cell>
          <cell r="E58">
            <v>8.3911400740885966</v>
          </cell>
          <cell r="F58">
            <v>4.4660538351653649</v>
          </cell>
          <cell r="G58">
            <v>2.6823139541418994</v>
          </cell>
          <cell r="H58">
            <v>1.1425716732840228</v>
          </cell>
          <cell r="I58">
            <v>2.5990873477716808E-2</v>
          </cell>
          <cell r="J58">
            <v>1.7063879269071273E-2</v>
          </cell>
          <cell r="K58">
            <v>1.5481570054419799E-2</v>
          </cell>
          <cell r="L58">
            <v>1.4088647381587665E-2</v>
          </cell>
          <cell r="M58">
            <v>1.2139331841902478E-2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-1.028218024040076</v>
          </cell>
          <cell r="H59">
            <v>-2.2622011834579561</v>
          </cell>
          <cell r="I59">
            <v>-2.4203753089648345</v>
          </cell>
          <cell r="J59">
            <v>-2.4155494385825484</v>
          </cell>
          <cell r="K59">
            <v>-2.4163511020760629</v>
          </cell>
          <cell r="L59">
            <v>-2.4163600374912511</v>
          </cell>
          <cell r="M59">
            <v>-2.4166162180301725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-0.81481953584837807</v>
          </cell>
          <cell r="H60">
            <v>-2.8967113591758764</v>
          </cell>
          <cell r="I60">
            <v>-3.0248897201556786</v>
          </cell>
          <cell r="J60">
            <v>-3.0145750130609521</v>
          </cell>
          <cell r="K60">
            <v>-3.018540157060067</v>
          </cell>
          <cell r="L60">
            <v>-3.0219092439047031</v>
          </cell>
          <cell r="M60">
            <v>-3.0249548893228031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-0.83858614298236023</v>
          </cell>
          <cell r="J61">
            <v>-0.83930580618668693</v>
          </cell>
          <cell r="K61">
            <v>-0.93019385159179591</v>
          </cell>
          <cell r="L61">
            <v>-0.93021520120304735</v>
          </cell>
          <cell r="M61">
            <v>-0.93013330520604764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-4.423651897141989E-5</v>
          </cell>
          <cell r="H62">
            <v>-6.2644405995565162E-5</v>
          </cell>
          <cell r="I62">
            <v>-0.60447742014795114</v>
          </cell>
          <cell r="J62">
            <v>-0.68824468824644869</v>
          </cell>
          <cell r="K62">
            <v>-0.60446838517435364</v>
          </cell>
          <cell r="L62">
            <v>-0.69130045692846231</v>
          </cell>
          <cell r="M62">
            <v>-0.70623444242188371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-4.5787766727971581E-6</v>
          </cell>
          <cell r="H63">
            <v>-7.5479600779775077E-6</v>
          </cell>
          <cell r="I63">
            <v>-0.10566361755237882</v>
          </cell>
          <cell r="J63">
            <v>-0.32933504344701969</v>
          </cell>
          <cell r="K63">
            <v>-1.5050228173200264</v>
          </cell>
          <cell r="L63">
            <v>-2.2109432139250185</v>
          </cell>
          <cell r="M63">
            <v>-2.9184148325949351</v>
          </cell>
        </row>
        <row r="77">
          <cell r="B77">
            <v>0.83333183175048764</v>
          </cell>
          <cell r="C77">
            <v>0.34349629826234362</v>
          </cell>
        </row>
        <row r="78">
          <cell r="B78">
            <v>2.0996011201929891E-2</v>
          </cell>
          <cell r="C78">
            <v>1.2092487539588139E-2</v>
          </cell>
        </row>
        <row r="79">
          <cell r="B79">
            <v>0.98874762618499812</v>
          </cell>
          <cell r="C79">
            <v>4.803381283697405</v>
          </cell>
        </row>
      </sheetData>
      <sheetData sheetId="77"/>
      <sheetData sheetId="78"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</sheetData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4" zoomScale="70" zoomScaleNormal="70" workbookViewId="0">
      <selection activeCell="B99" sqref="B99"/>
    </sheetView>
  </sheetViews>
  <sheetFormatPr defaultRowHeight="15.75" x14ac:dyDescent="0.5"/>
  <cols>
    <col min="2" max="2" width="49.5625" bestFit="1" customWidth="1"/>
    <col min="3" max="3" width="81.5" bestFit="1" customWidth="1"/>
    <col min="4" max="4" width="11.5" bestFit="1" customWidth="1"/>
  </cols>
  <sheetData>
    <row r="2" spans="2:5" x14ac:dyDescent="0.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5">
      <c r="B3" t="s">
        <v>15</v>
      </c>
      <c r="C3" t="s">
        <v>359</v>
      </c>
      <c r="D3" t="s">
        <v>8</v>
      </c>
    </row>
    <row r="4" spans="2:5" x14ac:dyDescent="0.5">
      <c r="B4" t="s">
        <v>19</v>
      </c>
      <c r="C4" t="s">
        <v>360</v>
      </c>
      <c r="D4" t="s">
        <v>8</v>
      </c>
    </row>
    <row r="5" spans="2:5" x14ac:dyDescent="0.5">
      <c r="B5" t="s">
        <v>24</v>
      </c>
      <c r="C5" t="s">
        <v>361</v>
      </c>
      <c r="D5" t="s">
        <v>8</v>
      </c>
    </row>
    <row r="6" spans="2:5" x14ac:dyDescent="0.5">
      <c r="B6" t="s">
        <v>29</v>
      </c>
      <c r="C6" t="s">
        <v>362</v>
      </c>
      <c r="D6" t="s">
        <v>8</v>
      </c>
    </row>
    <row r="7" spans="2:5" x14ac:dyDescent="0.5">
      <c r="B7" t="s">
        <v>152</v>
      </c>
      <c r="C7" t="s">
        <v>363</v>
      </c>
      <c r="D7" t="s">
        <v>8</v>
      </c>
    </row>
    <row r="8" spans="2:5" x14ac:dyDescent="0.5">
      <c r="B8" t="s">
        <v>91</v>
      </c>
      <c r="C8" t="s">
        <v>364</v>
      </c>
      <c r="D8" t="s">
        <v>8</v>
      </c>
    </row>
    <row r="9" spans="2:5" x14ac:dyDescent="0.5">
      <c r="B9" t="s">
        <v>190</v>
      </c>
      <c r="C9" t="s">
        <v>365</v>
      </c>
      <c r="D9" t="s">
        <v>8</v>
      </c>
    </row>
    <row r="10" spans="2:5" x14ac:dyDescent="0.5">
      <c r="B10" t="s">
        <v>241</v>
      </c>
      <c r="C10" t="s">
        <v>366</v>
      </c>
      <c r="D10" t="s">
        <v>240</v>
      </c>
      <c r="E10" t="s">
        <v>369</v>
      </c>
    </row>
    <row r="11" spans="2:5" x14ac:dyDescent="0.5">
      <c r="B11" t="s">
        <v>296</v>
      </c>
      <c r="C11" t="s">
        <v>367</v>
      </c>
      <c r="D11" t="s">
        <v>240</v>
      </c>
      <c r="E11" t="s">
        <v>686</v>
      </c>
    </row>
    <row r="12" spans="2:5" x14ac:dyDescent="0.5">
      <c r="B12" t="s">
        <v>303</v>
      </c>
      <c r="C12" t="s">
        <v>371</v>
      </c>
      <c r="D12" t="s">
        <v>8</v>
      </c>
    </row>
    <row r="13" spans="2:5" x14ac:dyDescent="0.5">
      <c r="B13" t="s">
        <v>370</v>
      </c>
      <c r="C13" t="s">
        <v>372</v>
      </c>
      <c r="D13" t="s">
        <v>8</v>
      </c>
    </row>
    <row r="14" spans="2:5" x14ac:dyDescent="0.5">
      <c r="B14" t="s">
        <v>373</v>
      </c>
      <c r="C14" t="s">
        <v>374</v>
      </c>
      <c r="D14" t="s">
        <v>8</v>
      </c>
    </row>
    <row r="15" spans="2:5" x14ac:dyDescent="0.5">
      <c r="B15" t="s">
        <v>306</v>
      </c>
      <c r="C15" t="s">
        <v>375</v>
      </c>
      <c r="D15" t="s">
        <v>240</v>
      </c>
    </row>
    <row r="16" spans="2:5" x14ac:dyDescent="0.5">
      <c r="B16" t="s">
        <v>376</v>
      </c>
      <c r="C16" t="s">
        <v>377</v>
      </c>
      <c r="D16" t="s">
        <v>8</v>
      </c>
    </row>
    <row r="17" spans="2:5" x14ac:dyDescent="0.5">
      <c r="B17" t="s">
        <v>378</v>
      </c>
      <c r="C17" t="s">
        <v>379</v>
      </c>
      <c r="D17" t="s">
        <v>8</v>
      </c>
    </row>
    <row r="18" spans="2:5" x14ac:dyDescent="0.5">
      <c r="B18" t="s">
        <v>311</v>
      </c>
      <c r="C18" t="s">
        <v>380</v>
      </c>
      <c r="D18" t="s">
        <v>240</v>
      </c>
    </row>
    <row r="19" spans="2:5" x14ac:dyDescent="0.5">
      <c r="B19" t="s">
        <v>381</v>
      </c>
      <c r="C19" t="s">
        <v>382</v>
      </c>
      <c r="D19" t="s">
        <v>8</v>
      </c>
    </row>
    <row r="20" spans="2:5" x14ac:dyDescent="0.5">
      <c r="B20" t="s">
        <v>383</v>
      </c>
      <c r="C20" t="s">
        <v>384</v>
      </c>
      <c r="D20" t="s">
        <v>8</v>
      </c>
    </row>
    <row r="21" spans="2:5" x14ac:dyDescent="0.5">
      <c r="B21" t="s">
        <v>385</v>
      </c>
      <c r="C21" t="s">
        <v>386</v>
      </c>
      <c r="D21" t="s">
        <v>8</v>
      </c>
    </row>
    <row r="22" spans="2:5" x14ac:dyDescent="0.5">
      <c r="B22" t="s">
        <v>387</v>
      </c>
      <c r="C22" t="s">
        <v>387</v>
      </c>
      <c r="D22" t="s">
        <v>8</v>
      </c>
    </row>
    <row r="23" spans="2:5" x14ac:dyDescent="0.5">
      <c r="B23" t="s">
        <v>388</v>
      </c>
      <c r="C23" t="s">
        <v>389</v>
      </c>
      <c r="D23" t="s">
        <v>240</v>
      </c>
    </row>
    <row r="24" spans="2:5" x14ac:dyDescent="0.5">
      <c r="B24" t="s">
        <v>390</v>
      </c>
      <c r="C24" t="s">
        <v>390</v>
      </c>
      <c r="D24" t="s">
        <v>8</v>
      </c>
    </row>
    <row r="25" spans="2:5" x14ac:dyDescent="0.5">
      <c r="B25" t="s">
        <v>406</v>
      </c>
      <c r="C25" t="s">
        <v>407</v>
      </c>
      <c r="D25" t="s">
        <v>8</v>
      </c>
    </row>
    <row r="26" spans="2:5" x14ac:dyDescent="0.5">
      <c r="B26" t="s">
        <v>408</v>
      </c>
      <c r="C26" t="s">
        <v>416</v>
      </c>
      <c r="D26" t="s">
        <v>240</v>
      </c>
      <c r="E26" t="s">
        <v>417</v>
      </c>
    </row>
    <row r="27" spans="2:5" x14ac:dyDescent="0.5">
      <c r="B27" t="s">
        <v>424</v>
      </c>
      <c r="C27" t="s">
        <v>418</v>
      </c>
      <c r="D27" t="s">
        <v>8</v>
      </c>
      <c r="E27" t="s">
        <v>421</v>
      </c>
    </row>
    <row r="28" spans="2:5" x14ac:dyDescent="0.5">
      <c r="B28" t="s">
        <v>425</v>
      </c>
      <c r="C28" t="s">
        <v>419</v>
      </c>
      <c r="D28" t="s">
        <v>8</v>
      </c>
      <c r="E28" t="s">
        <v>420</v>
      </c>
    </row>
    <row r="29" spans="2:5" x14ac:dyDescent="0.5">
      <c r="B29" t="s">
        <v>426</v>
      </c>
      <c r="C29" t="s">
        <v>422</v>
      </c>
      <c r="D29" t="s">
        <v>8</v>
      </c>
      <c r="E29" t="s">
        <v>423</v>
      </c>
    </row>
    <row r="30" spans="2:5" x14ac:dyDescent="0.5">
      <c r="B30" t="s">
        <v>431</v>
      </c>
      <c r="C30" t="s">
        <v>432</v>
      </c>
      <c r="D30" t="s">
        <v>8</v>
      </c>
    </row>
    <row r="31" spans="2:5" x14ac:dyDescent="0.5">
      <c r="B31" t="s">
        <v>434</v>
      </c>
      <c r="C31" t="s">
        <v>435</v>
      </c>
      <c r="D31" t="s">
        <v>8</v>
      </c>
    </row>
    <row r="32" spans="2:5" x14ac:dyDescent="0.5">
      <c r="B32" t="s">
        <v>440</v>
      </c>
      <c r="C32" t="s">
        <v>441</v>
      </c>
      <c r="D32" t="s">
        <v>240</v>
      </c>
    </row>
    <row r="33" spans="2:5" x14ac:dyDescent="0.5">
      <c r="B33" t="s">
        <v>444</v>
      </c>
      <c r="C33" t="s">
        <v>444</v>
      </c>
      <c r="D33" t="s">
        <v>442</v>
      </c>
      <c r="E33" t="s">
        <v>447</v>
      </c>
    </row>
    <row r="34" spans="2:5" x14ac:dyDescent="0.5">
      <c r="B34" t="s">
        <v>474</v>
      </c>
      <c r="C34" t="s">
        <v>477</v>
      </c>
      <c r="D34" t="s">
        <v>8</v>
      </c>
      <c r="E34" t="s">
        <v>478</v>
      </c>
    </row>
    <row r="35" spans="2:5" x14ac:dyDescent="0.5">
      <c r="B35" t="s">
        <v>475</v>
      </c>
      <c r="C35" t="s">
        <v>479</v>
      </c>
      <c r="D35" t="s">
        <v>8</v>
      </c>
      <c r="E35" t="s">
        <v>478</v>
      </c>
    </row>
    <row r="36" spans="2:5" x14ac:dyDescent="0.5">
      <c r="B36" t="s">
        <v>476</v>
      </c>
      <c r="C36" t="s">
        <v>480</v>
      </c>
      <c r="D36" t="s">
        <v>240</v>
      </c>
    </row>
    <row r="37" spans="2:5" x14ac:dyDescent="0.5">
      <c r="B37" t="s">
        <v>496</v>
      </c>
      <c r="C37" t="s">
        <v>497</v>
      </c>
      <c r="D37" t="s">
        <v>8</v>
      </c>
      <c r="E37" t="s">
        <v>498</v>
      </c>
    </row>
    <row r="38" spans="2:5" x14ac:dyDescent="0.5">
      <c r="B38" t="s">
        <v>684</v>
      </c>
      <c r="C38" t="s">
        <v>685</v>
      </c>
      <c r="D38" t="s">
        <v>8</v>
      </c>
      <c r="E38" t="s">
        <v>498</v>
      </c>
    </row>
    <row r="39" spans="2:5" x14ac:dyDescent="0.5">
      <c r="B39" t="s">
        <v>687</v>
      </c>
      <c r="C39" t="s">
        <v>688</v>
      </c>
      <c r="D39" t="s">
        <v>240</v>
      </c>
      <c r="E39" t="s">
        <v>498</v>
      </c>
    </row>
    <row r="40" spans="2:5" x14ac:dyDescent="0.5">
      <c r="B40" t="s">
        <v>674</v>
      </c>
      <c r="C40" t="s">
        <v>675</v>
      </c>
      <c r="D40" t="s">
        <v>8</v>
      </c>
    </row>
    <row r="41" spans="2:5" x14ac:dyDescent="0.5">
      <c r="B41" t="s">
        <v>697</v>
      </c>
      <c r="C41" t="s">
        <v>698</v>
      </c>
      <c r="D41" t="s">
        <v>8</v>
      </c>
    </row>
    <row r="42" spans="2:5" x14ac:dyDescent="0.5">
      <c r="B42" t="s">
        <v>689</v>
      </c>
      <c r="C42" t="s">
        <v>690</v>
      </c>
      <c r="D42" t="s">
        <v>240</v>
      </c>
    </row>
    <row r="43" spans="2:5" x14ac:dyDescent="0.5">
      <c r="B43" t="s">
        <v>740</v>
      </c>
      <c r="C43" t="s">
        <v>741</v>
      </c>
      <c r="D43" t="s">
        <v>8</v>
      </c>
    </row>
    <row r="44" spans="2:5" x14ac:dyDescent="0.5">
      <c r="B44" t="s">
        <v>756</v>
      </c>
      <c r="C44" t="s">
        <v>757</v>
      </c>
      <c r="D44" t="s">
        <v>8</v>
      </c>
    </row>
    <row r="45" spans="2:5" x14ac:dyDescent="0.5">
      <c r="B45" t="s">
        <v>1091</v>
      </c>
      <c r="C45" t="s">
        <v>1125</v>
      </c>
      <c r="D45" t="s">
        <v>240</v>
      </c>
    </row>
    <row r="46" spans="2:5" x14ac:dyDescent="0.5">
      <c r="B46" t="s">
        <v>1236</v>
      </c>
      <c r="C46" t="s">
        <v>1126</v>
      </c>
      <c r="D46" t="s">
        <v>8</v>
      </c>
      <c r="E46" t="s">
        <v>1127</v>
      </c>
    </row>
    <row r="47" spans="2:5" x14ac:dyDescent="0.5">
      <c r="B47" t="s">
        <v>1128</v>
      </c>
      <c r="C47" t="s">
        <v>1129</v>
      </c>
      <c r="D47" t="s">
        <v>1131</v>
      </c>
    </row>
    <row r="48" spans="2:5" x14ac:dyDescent="0.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5">
      <c r="B49" t="s">
        <v>1304</v>
      </c>
      <c r="C49" t="s">
        <v>1305</v>
      </c>
      <c r="D49" t="s">
        <v>8</v>
      </c>
    </row>
    <row r="50" spans="2:5" x14ac:dyDescent="0.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5">
      <c r="B51" t="s">
        <v>1370</v>
      </c>
      <c r="C51" t="s">
        <v>1471</v>
      </c>
      <c r="D51" t="s">
        <v>1229</v>
      </c>
    </row>
    <row r="52" spans="2:5" x14ac:dyDescent="0.5">
      <c r="B52" t="s">
        <v>1394</v>
      </c>
      <c r="C52" t="s">
        <v>1394</v>
      </c>
      <c r="D52" t="s">
        <v>8</v>
      </c>
    </row>
    <row r="53" spans="2:5" x14ac:dyDescent="0.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5">
      <c r="B54" t="s">
        <v>1393</v>
      </c>
      <c r="C54" t="s">
        <v>1470</v>
      </c>
      <c r="D54" t="s">
        <v>1229</v>
      </c>
    </row>
    <row r="55" spans="2:5" x14ac:dyDescent="0.5">
      <c r="B55" t="s">
        <v>1473</v>
      </c>
      <c r="C55" t="s">
        <v>1473</v>
      </c>
      <c r="D55" t="s">
        <v>8</v>
      </c>
    </row>
    <row r="56" spans="2:5" x14ac:dyDescent="0.5">
      <c r="B56" t="s">
        <v>1478</v>
      </c>
      <c r="C56" t="s">
        <v>1530</v>
      </c>
      <c r="D56" t="s">
        <v>1131</v>
      </c>
    </row>
    <row r="57" spans="2:5" x14ac:dyDescent="0.5">
      <c r="B57" t="s">
        <v>1480</v>
      </c>
      <c r="C57" t="s">
        <v>1486</v>
      </c>
      <c r="D57" t="s">
        <v>1229</v>
      </c>
    </row>
    <row r="58" spans="2:5" x14ac:dyDescent="0.5">
      <c r="B58" t="s">
        <v>1472</v>
      </c>
      <c r="C58" t="s">
        <v>1472</v>
      </c>
      <c r="D58" t="s">
        <v>8</v>
      </c>
    </row>
    <row r="59" spans="2:5" x14ac:dyDescent="0.5">
      <c r="B59" t="s">
        <v>1482</v>
      </c>
      <c r="C59" t="s">
        <v>1529</v>
      </c>
      <c r="D59" t="s">
        <v>1131</v>
      </c>
    </row>
    <row r="60" spans="2:5" x14ac:dyDescent="0.5">
      <c r="B60" t="s">
        <v>1484</v>
      </c>
      <c r="C60" t="s">
        <v>1534</v>
      </c>
      <c r="D60" t="s">
        <v>1229</v>
      </c>
    </row>
    <row r="61" spans="2:5" x14ac:dyDescent="0.5">
      <c r="B61" t="s">
        <v>1487</v>
      </c>
      <c r="C61" t="s">
        <v>1528</v>
      </c>
      <c r="D61" t="s">
        <v>8</v>
      </c>
    </row>
    <row r="62" spans="2:5" x14ac:dyDescent="0.5">
      <c r="B62" t="s">
        <v>1503</v>
      </c>
      <c r="C62" t="s">
        <v>1595</v>
      </c>
      <c r="D62" t="s">
        <v>1131</v>
      </c>
    </row>
    <row r="63" spans="2:5" x14ac:dyDescent="0.5">
      <c r="B63" t="s">
        <v>1518</v>
      </c>
      <c r="C63" t="s">
        <v>1533</v>
      </c>
      <c r="D63" t="s">
        <v>1229</v>
      </c>
    </row>
    <row r="64" spans="2:5" x14ac:dyDescent="0.5">
      <c r="B64" t="s">
        <v>1643</v>
      </c>
      <c r="C64" t="s">
        <v>1593</v>
      </c>
      <c r="D64" t="s">
        <v>8</v>
      </c>
    </row>
    <row r="65" spans="2:4" x14ac:dyDescent="0.5">
      <c r="B65" t="s">
        <v>1644</v>
      </c>
      <c r="C65" t="s">
        <v>1595</v>
      </c>
      <c r="D65" t="s">
        <v>1131</v>
      </c>
    </row>
    <row r="66" spans="2:4" x14ac:dyDescent="0.5">
      <c r="B66" t="s">
        <v>1645</v>
      </c>
      <c r="C66" t="s">
        <v>1594</v>
      </c>
      <c r="D66" t="s">
        <v>1229</v>
      </c>
    </row>
    <row r="67" spans="2:4" x14ac:dyDescent="0.5">
      <c r="B67" t="s">
        <v>1646</v>
      </c>
      <c r="C67" t="s">
        <v>1647</v>
      </c>
      <c r="D67" t="s">
        <v>8</v>
      </c>
    </row>
    <row r="68" spans="2:4" x14ac:dyDescent="0.5">
      <c r="B68" t="s">
        <v>1649</v>
      </c>
      <c r="C68" t="s">
        <v>1595</v>
      </c>
      <c r="D68" t="s">
        <v>1131</v>
      </c>
    </row>
    <row r="69" spans="2:4" x14ac:dyDescent="0.5">
      <c r="B69" t="s">
        <v>1650</v>
      </c>
      <c r="C69" t="s">
        <v>1648</v>
      </c>
      <c r="D69" t="s">
        <v>1229</v>
      </c>
    </row>
    <row r="70" spans="2:4" x14ac:dyDescent="0.5">
      <c r="B70" t="s">
        <v>1696</v>
      </c>
      <c r="C70" t="s">
        <v>1651</v>
      </c>
      <c r="D70" t="s">
        <v>8</v>
      </c>
    </row>
    <row r="71" spans="2:4" x14ac:dyDescent="0.5">
      <c r="B71" t="s">
        <v>1674</v>
      </c>
      <c r="C71" t="s">
        <v>1697</v>
      </c>
      <c r="D71" t="s">
        <v>1699</v>
      </c>
    </row>
    <row r="72" spans="2:4" x14ac:dyDescent="0.5">
      <c r="B72" t="s">
        <v>1685</v>
      </c>
      <c r="C72" t="s">
        <v>1698</v>
      </c>
      <c r="D72" t="s">
        <v>1700</v>
      </c>
    </row>
    <row r="73" spans="2:4" x14ac:dyDescent="0.5">
      <c r="B73" t="s">
        <v>1701</v>
      </c>
      <c r="C73" t="s">
        <v>1701</v>
      </c>
      <c r="D73" t="s">
        <v>442</v>
      </c>
    </row>
    <row r="74" spans="2:4" x14ac:dyDescent="0.5">
      <c r="B74" t="s">
        <v>1715</v>
      </c>
      <c r="C74" t="s">
        <v>1721</v>
      </c>
      <c r="D74" t="s">
        <v>442</v>
      </c>
    </row>
    <row r="75" spans="2:4" x14ac:dyDescent="0.5">
      <c r="B75" t="s">
        <v>1720</v>
      </c>
      <c r="C75" t="s">
        <v>1722</v>
      </c>
      <c r="D75" t="s">
        <v>8</v>
      </c>
    </row>
    <row r="76" spans="2:4" x14ac:dyDescent="0.5">
      <c r="B76" t="s">
        <v>1768</v>
      </c>
      <c r="C76" t="s">
        <v>1786</v>
      </c>
      <c r="D76" t="s">
        <v>8</v>
      </c>
    </row>
    <row r="77" spans="2:4" x14ac:dyDescent="0.5">
      <c r="B77" t="s">
        <v>1789</v>
      </c>
      <c r="C77" t="s">
        <v>1787</v>
      </c>
      <c r="D77" t="s">
        <v>1857</v>
      </c>
    </row>
    <row r="78" spans="2:4" x14ac:dyDescent="0.5">
      <c r="B78" t="s">
        <v>1856</v>
      </c>
      <c r="C78" t="s">
        <v>1859</v>
      </c>
      <c r="D78" t="s">
        <v>1858</v>
      </c>
    </row>
    <row r="79" spans="2:4" x14ac:dyDescent="0.5">
      <c r="B79" t="s">
        <v>1899</v>
      </c>
      <c r="C79" t="s">
        <v>1918</v>
      </c>
      <c r="D79" t="s">
        <v>1858</v>
      </c>
    </row>
    <row r="80" spans="2:4" x14ac:dyDescent="0.5">
      <c r="B80" t="s">
        <v>1900</v>
      </c>
      <c r="C80" t="s">
        <v>1919</v>
      </c>
      <c r="D80" t="s">
        <v>1858</v>
      </c>
    </row>
    <row r="81" spans="2:4" x14ac:dyDescent="0.5">
      <c r="B81" t="s">
        <v>1920</v>
      </c>
      <c r="C81" t="s">
        <v>1971</v>
      </c>
      <c r="D81" t="s">
        <v>1972</v>
      </c>
    </row>
    <row r="82" spans="2:4" x14ac:dyDescent="0.5">
      <c r="B82" t="s">
        <v>1973</v>
      </c>
      <c r="C82" t="s">
        <v>1974</v>
      </c>
      <c r="D82" t="s">
        <v>1975</v>
      </c>
    </row>
    <row r="83" spans="2:4" x14ac:dyDescent="0.5">
      <c r="B83" t="s">
        <v>1977</v>
      </c>
      <c r="C83" t="s">
        <v>1976</v>
      </c>
      <c r="D83" t="s">
        <v>1975</v>
      </c>
    </row>
    <row r="84" spans="2:4" x14ac:dyDescent="0.5">
      <c r="B84" t="s">
        <v>2121</v>
      </c>
      <c r="C84" t="s">
        <v>2131</v>
      </c>
      <c r="D84" t="s">
        <v>1975</v>
      </c>
    </row>
    <row r="85" spans="2:4" x14ac:dyDescent="0.5">
      <c r="B85" t="s">
        <v>2133</v>
      </c>
      <c r="C85" t="s">
        <v>2132</v>
      </c>
      <c r="D85" t="s">
        <v>1975</v>
      </c>
    </row>
    <row r="86" spans="2:4" x14ac:dyDescent="0.5">
      <c r="B86" t="s">
        <v>2143</v>
      </c>
      <c r="C86" t="s">
        <v>2155</v>
      </c>
      <c r="D86" t="s">
        <v>2154</v>
      </c>
    </row>
    <row r="87" spans="2:4" x14ac:dyDescent="0.5">
      <c r="B87" t="s">
        <v>2158</v>
      </c>
      <c r="C87" t="s">
        <v>2159</v>
      </c>
      <c r="D87" t="s">
        <v>2156</v>
      </c>
    </row>
    <row r="88" spans="2:4" x14ac:dyDescent="0.5">
      <c r="B88" t="s">
        <v>2178</v>
      </c>
      <c r="C88" t="s">
        <v>2179</v>
      </c>
      <c r="D88" t="s">
        <v>1857</v>
      </c>
    </row>
    <row r="89" spans="2:4" x14ac:dyDescent="0.5">
      <c r="B89" t="s">
        <v>2243</v>
      </c>
      <c r="C89" t="s">
        <v>2362</v>
      </c>
      <c r="D89" t="s">
        <v>1972</v>
      </c>
    </row>
    <row r="90" spans="2:4" x14ac:dyDescent="0.5">
      <c r="B90" t="s">
        <v>2294</v>
      </c>
      <c r="C90" t="s">
        <v>2363</v>
      </c>
      <c r="D90" t="s">
        <v>1972</v>
      </c>
    </row>
    <row r="91" spans="2:4" x14ac:dyDescent="0.5">
      <c r="B91" t="s">
        <v>2318</v>
      </c>
      <c r="C91" t="s">
        <v>2364</v>
      </c>
    </row>
    <row r="92" spans="2:4" x14ac:dyDescent="0.5">
      <c r="B92" t="s">
        <v>2342</v>
      </c>
      <c r="C92" t="s">
        <v>2365</v>
      </c>
    </row>
    <row r="93" spans="2:4" x14ac:dyDescent="0.5">
      <c r="B93" t="s">
        <v>2352</v>
      </c>
      <c r="C93" t="s">
        <v>2366</v>
      </c>
    </row>
    <row r="94" spans="2:4" x14ac:dyDescent="0.5">
      <c r="B94" t="s">
        <v>2367</v>
      </c>
      <c r="C94" t="s">
        <v>2447</v>
      </c>
      <c r="D94" t="s">
        <v>1858</v>
      </c>
    </row>
    <row r="95" spans="2:4" x14ac:dyDescent="0.5">
      <c r="B95" t="s">
        <v>2406</v>
      </c>
      <c r="C95" t="s">
        <v>2447</v>
      </c>
      <c r="D95" t="s">
        <v>1858</v>
      </c>
    </row>
    <row r="96" spans="2:4" x14ac:dyDescent="0.5">
      <c r="B96" t="s">
        <v>2429</v>
      </c>
      <c r="C96" t="s">
        <v>2447</v>
      </c>
      <c r="D96" t="s">
        <v>1858</v>
      </c>
    </row>
    <row r="97" spans="2:4" x14ac:dyDescent="0.5">
      <c r="B97" t="s">
        <v>2448</v>
      </c>
      <c r="C97" t="s">
        <v>2447</v>
      </c>
      <c r="D97" t="s">
        <v>2154</v>
      </c>
    </row>
    <row r="98" spans="2:4" x14ac:dyDescent="0.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T2340"/>
  <sheetViews>
    <sheetView tabSelected="1" topLeftCell="B1" zoomScale="70" zoomScaleNormal="70" workbookViewId="0">
      <pane xSplit="4" ySplit="1" topLeftCell="F721" activePane="bottomRight" state="frozen"/>
      <selection activeCell="B1" sqref="B1"/>
      <selection pane="topRight" activeCell="F1" sqref="F1"/>
      <selection pane="bottomLeft" activeCell="B2" sqref="B2"/>
      <selection pane="bottomRight" activeCell="N740" sqref="N740"/>
    </sheetView>
  </sheetViews>
  <sheetFormatPr defaultColWidth="11" defaultRowHeight="15.75" x14ac:dyDescent="0.5"/>
  <cols>
    <col min="1" max="1" width="11.5" bestFit="1" customWidth="1"/>
    <col min="2" max="2" width="10.6875" customWidth="1"/>
    <col min="3" max="3" width="6.5" customWidth="1"/>
    <col min="4" max="4" width="63.5625" customWidth="1"/>
    <col min="5" max="5" width="12.5" bestFit="1" customWidth="1"/>
    <col min="6" max="12" width="9.4375" customWidth="1"/>
    <col min="13" max="17" width="10" customWidth="1"/>
    <col min="18" max="18" width="15.4375" bestFit="1" customWidth="1"/>
  </cols>
  <sheetData>
    <row r="1" spans="1:19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2045</v>
      </c>
      <c r="M1" s="2">
        <v>2050</v>
      </c>
      <c r="N1" s="2">
        <v>2055</v>
      </c>
      <c r="O1" s="2">
        <v>2060</v>
      </c>
      <c r="P1" s="2">
        <v>2065</v>
      </c>
      <c r="Q1" s="2">
        <v>2070</v>
      </c>
    </row>
    <row r="2" spans="1:19" x14ac:dyDescent="0.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300.18597109768484</v>
      </c>
      <c r="G2" s="3">
        <f t="shared" ref="G2:K2" si="0">G3+G8+G11+G12+G16+G17+G18+G19</f>
        <v>293.57785516861276</v>
      </c>
      <c r="H2" s="3">
        <f t="shared" si="0"/>
        <v>331.3945480450555</v>
      </c>
      <c r="I2" s="3">
        <f t="shared" si="0"/>
        <v>376.95385508927171</v>
      </c>
      <c r="J2" s="3">
        <f t="shared" si="0"/>
        <v>422.79188028181579</v>
      </c>
      <c r="K2" s="3">
        <f t="shared" si="0"/>
        <v>434.94449202802167</v>
      </c>
      <c r="L2" s="3">
        <f t="shared" ref="L2:O2" si="1">L3+L8+L11+L12+L16+L17+L18+L19</f>
        <v>462.88105013281984</v>
      </c>
      <c r="M2" s="3">
        <f t="shared" si="1"/>
        <v>510.50915962891133</v>
      </c>
      <c r="N2" s="3">
        <f t="shared" si="1"/>
        <v>516.23514103175376</v>
      </c>
      <c r="O2" s="3">
        <f t="shared" si="1"/>
        <v>521.65171425030894</v>
      </c>
      <c r="P2" s="3">
        <f>P3+P8+P11+P12+P16+P17+P18+P19</f>
        <v>524.93857495509849</v>
      </c>
      <c r="Q2" s="3">
        <f>Q3+Q8+Q11+Q12+Q16+Q17+Q18+Q19</f>
        <v>527.69752538250293</v>
      </c>
      <c r="S2" s="3"/>
    </row>
    <row r="3" spans="1:19" x14ac:dyDescent="0.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44.9724286347072</v>
      </c>
      <c r="G3" s="1">
        <f t="shared" ref="G3:K3" si="4">SUM(G4:G7)</f>
        <v>48.190467520930497</v>
      </c>
      <c r="H3" s="1">
        <f t="shared" si="4"/>
        <v>48.190468987438884</v>
      </c>
      <c r="I3" s="1">
        <f t="shared" si="4"/>
        <v>48.190469215360935</v>
      </c>
      <c r="J3" s="1">
        <f t="shared" si="4"/>
        <v>48.190488661714433</v>
      </c>
      <c r="K3" s="1">
        <f t="shared" si="4"/>
        <v>48.190491717685092</v>
      </c>
      <c r="L3" s="1">
        <f t="shared" ref="L3:O3" si="5">SUM(L4:L7)</f>
        <v>48.956806193652611</v>
      </c>
      <c r="M3" s="1">
        <f t="shared" si="5"/>
        <v>62.702714889465298</v>
      </c>
      <c r="N3" s="1">
        <f t="shared" si="5"/>
        <v>62.761474925378032</v>
      </c>
      <c r="O3" s="1">
        <f t="shared" si="5"/>
        <v>62.761485136061239</v>
      </c>
      <c r="P3" s="1">
        <f>SUM(P4:P7)</f>
        <v>62.87901253139033</v>
      </c>
      <c r="Q3" s="1">
        <f>SUM(Q4:Q7)</f>
        <v>62.879037077944218</v>
      </c>
      <c r="S3" s="3"/>
    </row>
    <row r="4" spans="1:19" x14ac:dyDescent="0.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11.111876918233083</v>
      </c>
      <c r="G4" s="1" cm="1">
        <f t="array" ref="G4">SUMPRODUCT(("RNWWOD1"=[1]OUT_PrimaryEnergyCons!$A$1:$A$1000)*1,[1]OUT_PrimaryEnergyCons!E$1:E$1000)</f>
        <v>11.95288331854082</v>
      </c>
      <c r="H4" s="1" cm="1">
        <f t="array" ref="H4">SUMPRODUCT(("RNWWOD1"=[1]OUT_PrimaryEnergyCons!$A$1:$A$1000)*1,[1]OUT_PrimaryEnergyCons!F$1:F$1000)</f>
        <v>13.21439310009206</v>
      </c>
      <c r="I4" s="1" cm="1">
        <f t="array" ref="I4">SUMPRODUCT(("RNWWOD1"=[1]OUT_PrimaryEnergyCons!$A$1:$A$1000)*1,[1]OUT_PrimaryEnergyCons!G$1:G$1000)</f>
        <v>15.316910298980533</v>
      </c>
      <c r="J4" s="1" cm="1">
        <f t="array" ref="J4">SUMPRODUCT(("RNWWOD1"=[1]OUT_PrimaryEnergyCons!$A$1:$A$1000)*1,[1]OUT_PrimaryEnergyCons!H$1:H$1000)</f>
        <v>15.849139453469814</v>
      </c>
      <c r="K4" s="1" cm="1">
        <f t="array" ref="K4">SUMPRODUCT(("RNWWOD1"=[1]OUT_PrimaryEnergyCons!$A$1:$A$1000)*1,[1]OUT_PrimaryEnergyCons!I$1:I$1000)</f>
        <v>16.266396780148984</v>
      </c>
      <c r="L4" s="1" cm="1">
        <f t="array" ref="L4">SUMPRODUCT(("RNWWOD1"=[1]OUT_PrimaryEnergyCons!$A$1:$A$1000)*1,[1]OUT_PrimaryEnergyCons!J$1:J$1000)</f>
        <v>16.611696291498475</v>
      </c>
      <c r="M4" s="1" cm="1">
        <f t="array" ref="M4">SUMPRODUCT(("RNWWOD1"=[1]OUT_PrimaryEnergyCons!$A$1:$A$1000)*1,[1]OUT_PrimaryEnergyCons!K$1:K$1000)</f>
        <v>16.956995230791847</v>
      </c>
      <c r="N4" s="1" cm="1">
        <f t="array" ref="N4">SUMPRODUCT(("RNWWOD1"=[1]OUT_PrimaryEnergyCons!$A$1:$A$1000)*1,[1]OUT_PrimaryEnergyCons!L$1:L$1000)</f>
        <v>17.015762226591296</v>
      </c>
      <c r="O4" s="1" cm="1">
        <f t="array" ref="O4">SUMPRODUCT(("RNWWOD1"=[1]OUT_PrimaryEnergyCons!$A$1:$A$1000)*1,[1]OUT_PrimaryEnergyCons!M$1:M$1000)</f>
        <v>17.074528723796391</v>
      </c>
      <c r="P4" s="1" cm="1">
        <f t="array" ref="P4">SUMPRODUCT(("RNWWOD1"=[1]OUT_PrimaryEnergyCons!$A$1:$A$1000)*1,[1]OUT_PrimaryEnergyCons!N$1:N$1000)</f>
        <v>17.133296885001741</v>
      </c>
      <c r="Q4" s="1" cm="1">
        <f t="array" ref="Q4">SUMPRODUCT(("RNWWOD1"=[1]OUT_PrimaryEnergyCons!$A$1:$A$1000)*1,[1]OUT_PrimaryEnergyCons!O$1:O$1000)</f>
        <v>17.192063460627846</v>
      </c>
      <c r="S4" s="3"/>
    </row>
    <row r="5" spans="1:19" x14ac:dyDescent="0.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7.5116699479985565</v>
      </c>
      <c r="G5" s="1" cm="1">
        <f t="array" ref="G5">SUMPRODUCT(("RNWWOD2"=[1]OUT_PrimaryEnergyCons!$A$1:$A$1000)*1,[1]OUT_PrimaryEnergyCons!E$1:E$1000)</f>
        <v>7.5431410656438675</v>
      </c>
      <c r="H5" s="1" cm="1">
        <f t="array" ref="H5">SUMPRODUCT(("RNWWOD2"=[1]OUT_PrimaryEnergyCons!$A$1:$A$1000)*1,[1]OUT_PrimaryEnergyCons!F$1:F$1000)</f>
        <v>7.5903479099885791</v>
      </c>
      <c r="I5" s="1" cm="1">
        <f t="array" ref="I5">SUMPRODUCT(("RNWWOD2"=[1]OUT_PrimaryEnergyCons!$A$1:$A$1000)*1,[1]OUT_PrimaryEnergyCons!G$1:G$1000)</f>
        <v>7.6690268999086397</v>
      </c>
      <c r="J5" s="1" cm="1">
        <f t="array" ref="J5">SUMPRODUCT(("RNWWOD2"=[1]OUT_PrimaryEnergyCons!$A$1:$A$1000)*1,[1]OUT_PrimaryEnergyCons!H$1:H$1000)</f>
        <v>7.6690264885684378</v>
      </c>
      <c r="K5" s="1" cm="1">
        <f t="array" ref="K5">SUMPRODUCT(("RNWWOD2"=[1]OUT_PrimaryEnergyCons!$A$1:$A$1000)*1,[1]OUT_PrimaryEnergyCons!I$1:I$1000)</f>
        <v>7.6690268988915795</v>
      </c>
      <c r="L5" s="1" cm="1">
        <f t="array" ref="L5">SUMPRODUCT(("RNWWOD2"=[1]OUT_PrimaryEnergyCons!$A$1:$A$1000)*1,[1]OUT_PrimaryEnergyCons!J$1:J$1000)</f>
        <v>7.6690266591637117</v>
      </c>
      <c r="M5" s="1" cm="1">
        <f t="array" ref="M5">SUMPRODUCT(("RNWWOD2"=[1]OUT_PrimaryEnergyCons!$A$1:$A$1000)*1,[1]OUT_PrimaryEnergyCons!K$1:K$1000)</f>
        <v>7.6690278864046384</v>
      </c>
      <c r="N5" s="1" cm="1">
        <f t="array" ref="N5">SUMPRODUCT(("RNWWOD2"=[1]OUT_PrimaryEnergyCons!$A$1:$A$1000)*1,[1]OUT_PrimaryEnergyCons!L$1:L$1000)</f>
        <v>7.6690273318066291</v>
      </c>
      <c r="O5" s="1" cm="1">
        <f t="array" ref="O5">SUMPRODUCT(("RNWWOD2"=[1]OUT_PrimaryEnergyCons!$A$1:$A$1000)*1,[1]OUT_PrimaryEnergyCons!M$1:M$1000)</f>
        <v>7.6690264943643873</v>
      </c>
      <c r="P5" s="1" cm="1">
        <f t="array" ref="P5">SUMPRODUCT(("RNWWOD2"=[1]OUT_PrimaryEnergyCons!$A$1:$A$1000)*1,[1]OUT_PrimaryEnergyCons!N$1:N$1000)</f>
        <v>7.6690272388553646</v>
      </c>
      <c r="Q5" s="1" cm="1">
        <f t="array" ref="Q5">SUMPRODUCT(("RNWWOD2"=[1]OUT_PrimaryEnergyCons!$A$1:$A$1000)*1,[1]OUT_PrimaryEnergyCons!O$1:O$1000)</f>
        <v>7.6690263582655973</v>
      </c>
      <c r="S5" s="3"/>
    </row>
    <row r="6" spans="1:19" x14ac:dyDescent="0.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3.1682437064137372</v>
      </c>
      <c r="G6" s="1" cm="1">
        <f t="array" ref="G6">SUMPRODUCT(("RNWWOD3"=[1]OUT_PrimaryEnergyCons!$A$1:$A$1000)*1,[1]OUT_PrimaryEnergyCons!E$1:E$1000)</f>
        <v>3.4956714609878996</v>
      </c>
      <c r="H6" s="1" cm="1">
        <f t="array" ref="H6">SUMPRODUCT(("RNWWOD3"=[1]OUT_PrimaryEnergyCons!$A$1:$A$1000)*1,[1]OUT_PrimaryEnergyCons!F$1:F$1000)</f>
        <v>3.9868138229494146</v>
      </c>
      <c r="I6" s="1" cm="1">
        <f t="array" ref="I6">SUMPRODUCT(("RNWWOD3"=[1]OUT_PrimaryEnergyCons!$A$1:$A$1000)*1,[1]OUT_PrimaryEnergyCons!G$1:G$1000)</f>
        <v>4.8053858884244045</v>
      </c>
      <c r="J6" s="1" cm="1">
        <f t="array" ref="J6">SUMPRODUCT(("RNWWOD3"=[1]OUT_PrimaryEnergyCons!$A$1:$A$1000)*1,[1]OUT_PrimaryEnergyCons!H$1:H$1000)</f>
        <v>4.8053848756073005</v>
      </c>
      <c r="K6" s="1" cm="1">
        <f t="array" ref="K6">SUMPRODUCT(("RNWWOD3"=[1]OUT_PrimaryEnergyCons!$A$1:$A$1000)*1,[1]OUT_PrimaryEnergyCons!I$1:I$1000)</f>
        <v>4.8053853100090391</v>
      </c>
      <c r="L6" s="1" cm="1">
        <f t="array" ref="L6">SUMPRODUCT(("RNWWOD3"=[1]OUT_PrimaryEnergyCons!$A$1:$A$1000)*1,[1]OUT_PrimaryEnergyCons!J$1:J$1000)</f>
        <v>4.8053857899805399</v>
      </c>
      <c r="M6" s="1" cm="1">
        <f t="array" ref="M6">SUMPRODUCT(("RNWWOD3"=[1]OUT_PrimaryEnergyCons!$A$1:$A$1000)*1,[1]OUT_PrimaryEnergyCons!K$1:K$1000)</f>
        <v>4.8053872373697644</v>
      </c>
      <c r="N6" s="1" cm="1">
        <f t="array" ref="N6">SUMPRODUCT(("RNWWOD3"=[1]OUT_PrimaryEnergyCons!$A$1:$A$1000)*1,[1]OUT_PrimaryEnergyCons!L$1:L$1000)</f>
        <v>4.8053860925152279</v>
      </c>
      <c r="O6" s="1" cm="1">
        <f t="array" ref="O6">SUMPRODUCT(("RNWWOD3"=[1]OUT_PrimaryEnergyCons!$A$1:$A$1000)*1,[1]OUT_PrimaryEnergyCons!M$1:M$1000)</f>
        <v>4.8053855310420728</v>
      </c>
      <c r="P6" s="1" cm="1">
        <f t="array" ref="P6">SUMPRODUCT(("RNWWOD3"=[1]OUT_PrimaryEnergyCons!$A$1:$A$1000)*1,[1]OUT_PrimaryEnergyCons!N$1:N$1000)</f>
        <v>4.8053859402587902</v>
      </c>
      <c r="Q6" s="1" cm="1">
        <f t="array" ref="Q6">SUMPRODUCT(("RNWWOD3"=[1]OUT_PrimaryEnergyCons!$A$1:$A$1000)*1,[1]OUT_PrimaryEnergyCons!O$1:O$1000)</f>
        <v>4.8053851663702405</v>
      </c>
      <c r="S6" s="3"/>
    </row>
    <row r="7" spans="1:19" x14ac:dyDescent="0.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23.180638062061821</v>
      </c>
      <c r="G7" s="1" cm="1">
        <f t="array" ref="G7">SUMPRODUCT(("RNWWOD4"=[1]OUT_PrimaryEnergyCons!$A$1:$A$1000)*1+("RNWWOD5"=[1]OUT_PrimaryEnergyCons!$A$1:$A$1000)*1,[1]OUT_PrimaryEnergyCons!E$1:E$1000)</f>
        <v>25.198771675757911</v>
      </c>
      <c r="H7" s="1" cm="1">
        <f t="array" ref="H7">SUMPRODUCT(("RNWWOD4"=[1]OUT_PrimaryEnergyCons!$A$1:$A$1000)*1+("RNWWOD5"=[1]OUT_PrimaryEnergyCons!$A$1:$A$1000)*1,[1]OUT_PrimaryEnergyCons!F$1:F$1000)</f>
        <v>23.398914154408828</v>
      </c>
      <c r="I7" s="1" cm="1">
        <f t="array" ref="I7">SUMPRODUCT(("RNWWOD4"=[1]OUT_PrimaryEnergyCons!$A$1:$A$1000)*1+("RNWWOD5"=[1]OUT_PrimaryEnergyCons!$A$1:$A$1000)*1,[1]OUT_PrimaryEnergyCons!G$1:G$1000)</f>
        <v>20.399146128047363</v>
      </c>
      <c r="J7" s="1" cm="1">
        <f t="array" ref="J7">SUMPRODUCT(("RNWWOD4"=[1]OUT_PrimaryEnergyCons!$A$1:$A$1000)*1+("RNWWOD5"=[1]OUT_PrimaryEnergyCons!$A$1:$A$1000)*1,[1]OUT_PrimaryEnergyCons!H$1:H$1000)</f>
        <v>19.866937844068879</v>
      </c>
      <c r="K7" s="1" cm="1">
        <f t="array" ref="K7">SUMPRODUCT(("RNWWOD4"=[1]OUT_PrimaryEnergyCons!$A$1:$A$1000)*1+("RNWWOD5"=[1]OUT_PrimaryEnergyCons!$A$1:$A$1000)*1,[1]OUT_PrimaryEnergyCons!I$1:I$1000)</f>
        <v>19.449682728635484</v>
      </c>
      <c r="L7" s="1" cm="1">
        <f t="array" ref="L7">SUMPRODUCT(("RNWWOD4"=[1]OUT_PrimaryEnergyCons!$A$1:$A$1000)*1+("RNWWOD5"=[1]OUT_PrimaryEnergyCons!$A$1:$A$1000)*1,[1]OUT_PrimaryEnergyCons!J$1:J$1000)</f>
        <v>19.870697453009885</v>
      </c>
      <c r="M7" s="1" cm="1">
        <f t="array" ref="M7">SUMPRODUCT(("RNWWOD4"=[1]OUT_PrimaryEnergyCons!$A$1:$A$1000)*1+("RNWWOD5"=[1]OUT_PrimaryEnergyCons!$A$1:$A$1000)*1,[1]OUT_PrimaryEnergyCons!K$1:K$1000)</f>
        <v>33.271304534899052</v>
      </c>
      <c r="N7" s="1" cm="1">
        <f t="array" ref="N7">SUMPRODUCT(("RNWWOD4"=[1]OUT_PrimaryEnergyCons!$A$1:$A$1000)*1+("RNWWOD5"=[1]OUT_PrimaryEnergyCons!$A$1:$A$1000)*1,[1]OUT_PrimaryEnergyCons!L$1:L$1000)</f>
        <v>33.27129927446488</v>
      </c>
      <c r="O7" s="1" cm="1">
        <f t="array" ref="O7">SUMPRODUCT(("RNWWOD4"=[1]OUT_PrimaryEnergyCons!$A$1:$A$1000)*1+("RNWWOD5"=[1]OUT_PrimaryEnergyCons!$A$1:$A$1000)*1,[1]OUT_PrimaryEnergyCons!M$1:M$1000)</f>
        <v>33.21254438685839</v>
      </c>
      <c r="P7" s="1" cm="1">
        <f t="array" ref="P7">SUMPRODUCT(("RNWWOD4"=[1]OUT_PrimaryEnergyCons!$A$1:$A$1000)*1+("RNWWOD5"=[1]OUT_PrimaryEnergyCons!$A$1:$A$1000)*1,[1]OUT_PrimaryEnergyCons!N$1:N$1000)</f>
        <v>33.271302467274431</v>
      </c>
      <c r="Q7" s="1" cm="1">
        <f t="array" ref="Q7">SUMPRODUCT(("RNWWOD4"=[1]OUT_PrimaryEnergyCons!$A$1:$A$1000)*1+("RNWWOD5"=[1]OUT_PrimaryEnergyCons!$A$1:$A$1000)*1,[1]OUT_PrimaryEnergyCons!O$1:O$1000)</f>
        <v>33.212562092680535</v>
      </c>
      <c r="S7" s="3"/>
    </row>
    <row r="8" spans="1:19" x14ac:dyDescent="0.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70.031498084180072</v>
      </c>
      <c r="G8" s="1">
        <f t="shared" ref="G8:K8" si="9">SUM(G9:G10)</f>
        <v>70.575274281251211</v>
      </c>
      <c r="H8" s="1">
        <f t="shared" si="9"/>
        <v>70.182345284610378</v>
      </c>
      <c r="I8" s="1">
        <f t="shared" si="9"/>
        <v>69.732865373229885</v>
      </c>
      <c r="J8" s="1">
        <f t="shared" si="9"/>
        <v>69.630492226842975</v>
      </c>
      <c r="K8" s="1">
        <f t="shared" si="9"/>
        <v>70.09654588831765</v>
      </c>
      <c r="L8" s="1">
        <f t="shared" ref="L8:O8" si="10">SUM(L9:L10)</f>
        <v>76.419720400020822</v>
      </c>
      <c r="M8" s="1">
        <f t="shared" si="10"/>
        <v>78.006601673912314</v>
      </c>
      <c r="N8" s="1">
        <f t="shared" si="10"/>
        <v>78.298947946241768</v>
      </c>
      <c r="O8" s="1">
        <f t="shared" si="10"/>
        <v>78.299262313405961</v>
      </c>
      <c r="P8" s="1">
        <f>SUM(P9:P10)</f>
        <v>78.299963477105791</v>
      </c>
      <c r="Q8" s="1">
        <f>SUM(Q9:Q10)</f>
        <v>78.301055256231038</v>
      </c>
      <c r="S8" s="3"/>
    </row>
    <row r="9" spans="1:19" x14ac:dyDescent="0.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35.931064846854035</v>
      </c>
      <c r="G9" s="1" cm="1">
        <f t="array" ref="G9">SUMPRODUCT(("RNNWWST1"=[1]OUT_PrimaryEnergyCons!$A$1:$A$1000)*1,[1]OUT_PrimaryEnergyCons!E$1:E$1000)</f>
        <v>35.882383624060537</v>
      </c>
      <c r="H9" s="1" cm="1">
        <f t="array" ref="H9">SUMPRODUCT(("RNNWWST1"=[1]OUT_PrimaryEnergyCons!$A$1:$A$1000)*1,[1]OUT_PrimaryEnergyCons!F$1:F$1000)</f>
        <v>35.489451563379681</v>
      </c>
      <c r="I9" s="1" cm="1">
        <f t="array" ref="I9">SUMPRODUCT(("RNNWWST1"=[1]OUT_PrimaryEnergyCons!$A$1:$A$1000)*1,[1]OUT_PrimaryEnergyCons!G$1:G$1000)</f>
        <v>35.039964616419226</v>
      </c>
      <c r="J9" s="1" cm="1">
        <f t="array" ref="J9">SUMPRODUCT(("RNNWWST1"=[1]OUT_PrimaryEnergyCons!$A$1:$A$1000)*1,[1]OUT_PrimaryEnergyCons!H$1:H$1000)</f>
        <v>34.937584156791537</v>
      </c>
      <c r="K9" s="1" cm="1">
        <f t="array" ref="K9">SUMPRODUCT(("RNNWWST1"=[1]OUT_PrimaryEnergyCons!$A$1:$A$1000)*1,[1]OUT_PrimaryEnergyCons!I$1:I$1000)</f>
        <v>35.403624679143952</v>
      </c>
      <c r="L9" s="1" cm="1">
        <f t="array" ref="L9">SUMPRODUCT(("RNNWWST1"=[1]OUT_PrimaryEnergyCons!$A$1:$A$1000)*1,[1]OUT_PrimaryEnergyCons!J$1:J$1000)</f>
        <v>35.628235504643129</v>
      </c>
      <c r="M9" s="1" cm="1">
        <f t="array" ref="M9">SUMPRODUCT(("RNNWWST1"=[1]OUT_PrimaryEnergyCons!$A$1:$A$1000)*1,[1]OUT_PrimaryEnergyCons!K$1:K$1000)</f>
        <v>35.852894550171989</v>
      </c>
      <c r="N9" s="1" cm="1">
        <f t="array" ref="N9">SUMPRODUCT(("RNNWWST1"=[1]OUT_PrimaryEnergyCons!$A$1:$A$1000)*1,[1]OUT_PrimaryEnergyCons!L$1:L$1000)</f>
        <v>35.603177260832958</v>
      </c>
      <c r="O9" s="1" cm="1">
        <f t="array" ref="O9">SUMPRODUCT(("RNNWWST1"=[1]OUT_PrimaryEnergyCons!$A$1:$A$1000)*1,[1]OUT_PrimaryEnergyCons!M$1:M$1000)</f>
        <v>35.603179340189634</v>
      </c>
      <c r="P9" s="1" cm="1">
        <f t="array" ref="P9">SUMPRODUCT(("RNNWWST1"=[1]OUT_PrimaryEnergyCons!$A$1:$A$1000)*1,[1]OUT_PrimaryEnergyCons!N$1:N$1000)</f>
        <v>35.603177835720018</v>
      </c>
      <c r="Q9" s="1" cm="1">
        <f t="array" ref="Q9">SUMPRODUCT(("RNNWWST1"=[1]OUT_PrimaryEnergyCons!$A$1:$A$1000)*1,[1]OUT_PrimaryEnergyCons!O$1:O$1000)</f>
        <v>35.603180934919195</v>
      </c>
      <c r="S9" s="3"/>
    </row>
    <row r="10" spans="1:19" x14ac:dyDescent="0.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34.100433237326037</v>
      </c>
      <c r="G10" s="1" cm="1">
        <f t="array" ref="G10">SUMPRODUCT(("RNWWST1"=[1]OUT_PrimaryEnergyCons!$A$1:$A$1000)*1,[1]OUT_PrimaryEnergyCons!E$1:E$1000)</f>
        <v>34.692890657190667</v>
      </c>
      <c r="H10" s="1" cm="1">
        <f t="array" ref="H10">SUMPRODUCT(("RNWWST1"=[1]OUT_PrimaryEnergyCons!$A$1:$A$1000)*1,[1]OUT_PrimaryEnergyCons!F$1:F$1000)</f>
        <v>34.692893721230696</v>
      </c>
      <c r="I10" s="1" cm="1">
        <f t="array" ref="I10">SUMPRODUCT(("RNWWST1"=[1]OUT_PrimaryEnergyCons!$A$1:$A$1000)*1,[1]OUT_PrimaryEnergyCons!G$1:G$1000)</f>
        <v>34.692900756810658</v>
      </c>
      <c r="J10" s="1" cm="1">
        <f t="array" ref="J10">SUMPRODUCT(("RNWWST1"=[1]OUT_PrimaryEnergyCons!$A$1:$A$1000)*1,[1]OUT_PrimaryEnergyCons!H$1:H$1000)</f>
        <v>34.692908070051438</v>
      </c>
      <c r="K10" s="1" cm="1">
        <f t="array" ref="K10">SUMPRODUCT(("RNWWST1"=[1]OUT_PrimaryEnergyCons!$A$1:$A$1000)*1,[1]OUT_PrimaryEnergyCons!I$1:I$1000)</f>
        <v>34.692921209173697</v>
      </c>
      <c r="L10" s="1" cm="1">
        <f t="array" ref="L10">SUMPRODUCT(("RNWWST1"=[1]OUT_PrimaryEnergyCons!$A$1:$A$1000)*1,[1]OUT_PrimaryEnergyCons!J$1:J$1000)</f>
        <v>40.791484895377685</v>
      </c>
      <c r="M10" s="1" cm="1">
        <f t="array" ref="M10">SUMPRODUCT(("RNWWST1"=[1]OUT_PrimaryEnergyCons!$A$1:$A$1000)*1,[1]OUT_PrimaryEnergyCons!K$1:K$1000)</f>
        <v>42.153707123740318</v>
      </c>
      <c r="N10" s="1" cm="1">
        <f t="array" ref="N10">SUMPRODUCT(("RNWWST1"=[1]OUT_PrimaryEnergyCons!$A$1:$A$1000)*1,[1]OUT_PrimaryEnergyCons!L$1:L$1000)</f>
        <v>42.69577068540881</v>
      </c>
      <c r="O10" s="1" cm="1">
        <f t="array" ref="O10">SUMPRODUCT(("RNWWST1"=[1]OUT_PrimaryEnergyCons!$A$1:$A$1000)*1,[1]OUT_PrimaryEnergyCons!M$1:M$1000)</f>
        <v>42.696082973216335</v>
      </c>
      <c r="P10" s="1" cm="1">
        <f t="array" ref="P10">SUMPRODUCT(("RNWWST1"=[1]OUT_PrimaryEnergyCons!$A$1:$A$1000)*1,[1]OUT_PrimaryEnergyCons!N$1:N$1000)</f>
        <v>42.696785641385773</v>
      </c>
      <c r="Q10" s="1" cm="1">
        <f t="array" ref="Q10">SUMPRODUCT(("RNWWST1"=[1]OUT_PrimaryEnergyCons!$A$1:$A$1000)*1,[1]OUT_PrimaryEnergyCons!O$1:O$1000)</f>
        <v>42.697874321311843</v>
      </c>
      <c r="S10" s="3"/>
    </row>
    <row r="11" spans="1:19" x14ac:dyDescent="0.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3.7980817084229987</v>
      </c>
      <c r="G11" s="1" cm="1">
        <f t="array" ref="G11">SUMPRODUCT(("mnr"=[1]OUT_PrimaryEnergyCons!$C$1:$C$1000)*1,[1]OUT_PrimaryEnergyCons!E$1:E$1000)</f>
        <v>9.9241542890025212</v>
      </c>
      <c r="H11" s="1" cm="1">
        <f t="array" ref="H11">SUMPRODUCT(("mnr"=[1]OUT_PrimaryEnergyCons!$C$1:$C$1000)*1,[1]OUT_PrimaryEnergyCons!F$1:F$1000)</f>
        <v>12.539522667193761</v>
      </c>
      <c r="I11" s="1" cm="1">
        <f t="array" ref="I11">SUMPRODUCT(("mnr"=[1]OUT_PrimaryEnergyCons!$C$1:$C$1000)*1,[1]OUT_PrimaryEnergyCons!G$1:G$1000)</f>
        <v>12.540425683308156</v>
      </c>
      <c r="J11" s="1" cm="1">
        <f t="array" ref="J11">SUMPRODUCT(("mnr"=[1]OUT_PrimaryEnergyCons!$C$1:$C$1000)*1,[1]OUT_PrimaryEnergyCons!H$1:H$1000)</f>
        <v>12.540427059556002</v>
      </c>
      <c r="K11" s="1" cm="1">
        <f t="array" ref="K11">SUMPRODUCT(("mnr"=[1]OUT_PrimaryEnergyCons!$C$1:$C$1000)*1,[1]OUT_PrimaryEnergyCons!I$1:I$1000)</f>
        <v>12.542987058341691</v>
      </c>
      <c r="L11" s="1" cm="1">
        <f t="array" ref="L11">SUMPRODUCT(("mnr"=[1]OUT_PrimaryEnergyCons!$C$1:$C$1000)*1,[1]OUT_PrimaryEnergyCons!J$1:J$1000)</f>
        <v>12.599408174616816</v>
      </c>
      <c r="M11" s="1" cm="1">
        <f t="array" ref="M11">SUMPRODUCT(("mnr"=[1]OUT_PrimaryEnergyCons!$C$1:$C$1000)*1,[1]OUT_PrimaryEnergyCons!K$1:K$1000)</f>
        <v>18.812918296654189</v>
      </c>
      <c r="N11" s="1" cm="1">
        <f t="array" ref="N11">SUMPRODUCT(("mnr"=[1]OUT_PrimaryEnergyCons!$C$1:$C$1000)*1,[1]OUT_PrimaryEnergyCons!L$1:L$1000)</f>
        <v>18.812919016345059</v>
      </c>
      <c r="O11" s="1" cm="1">
        <f t="array" ref="O11">SUMPRODUCT(("mnr"=[1]OUT_PrimaryEnergyCons!$C$1:$C$1000)*1,[1]OUT_PrimaryEnergyCons!M$1:M$1000)</f>
        <v>18.812934344302001</v>
      </c>
      <c r="P11" s="1" cm="1">
        <f t="array" ref="P11">SUMPRODUCT(("mnr"=[1]OUT_PrimaryEnergyCons!$C$1:$C$1000)*1,[1]OUT_PrimaryEnergyCons!N$1:N$1000)</f>
        <v>18.812944837978549</v>
      </c>
      <c r="Q11" s="1" cm="1">
        <f t="array" ref="Q11">SUMPRODUCT(("mnr"=[1]OUT_PrimaryEnergyCons!$C$1:$C$1000)*1,[1]OUT_PrimaryEnergyCons!O$1:O$1000)</f>
        <v>18.814402497595573</v>
      </c>
      <c r="S11" s="3"/>
    </row>
    <row r="12" spans="1:19" x14ac:dyDescent="0.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149.43048270694527</v>
      </c>
      <c r="G12" s="1">
        <f t="shared" ref="G12:K12" si="11">SUM(G13:G15)</f>
        <v>125.60567770774072</v>
      </c>
      <c r="H12" s="1">
        <f t="shared" si="11"/>
        <v>141.1520556829862</v>
      </c>
      <c r="I12" s="1">
        <f t="shared" si="11"/>
        <v>151.12853071354942</v>
      </c>
      <c r="J12" s="1">
        <f t="shared" si="11"/>
        <v>151.49296164108551</v>
      </c>
      <c r="K12" s="1">
        <f t="shared" si="11"/>
        <v>151.56125846819117</v>
      </c>
      <c r="L12" s="1">
        <f t="shared" ref="L12:O12" si="12">SUM(L13:L15)</f>
        <v>151.83797388649475</v>
      </c>
      <c r="M12" s="1">
        <f t="shared" si="12"/>
        <v>151.9388809743806</v>
      </c>
      <c r="N12" s="1">
        <f t="shared" si="12"/>
        <v>151.98940678802151</v>
      </c>
      <c r="O12" s="1">
        <f t="shared" si="12"/>
        <v>153.45502538250255</v>
      </c>
      <c r="P12" s="1">
        <f>SUM(P13:P15)</f>
        <v>153.90670794716786</v>
      </c>
      <c r="Q12" s="1">
        <f>SUM(Q13:Q15)</f>
        <v>153.83803090277098</v>
      </c>
      <c r="S12" s="3"/>
    </row>
    <row r="13" spans="1:19" x14ac:dyDescent="0.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66.745680087465431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49.798799106154775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68.756548342148591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70.431431991876849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71.413370097589095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72.497374580585273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73.751646859582706</v>
      </c>
      <c r="M13" s="1" cm="1">
        <f t="array" ref="M13">SUMPRODUCT(ISNUMBER(SEARCH("EHYD-DAM",[1]OUT_Electricity_CHP!$B$1:$B$10000))*1,([1]OUT_Electricity_CHP!$C$1:$C$10000="Var_Fout")*1,ISNUMBER(SEARCH("ELC",[1]OUT_Electricity_CHP!$D$1:$D$10000))*1,[1]OUT_Electricity_CHP!L$1:L$10000)</f>
        <v>74.835796597747816</v>
      </c>
      <c r="N13" s="1" cm="1">
        <f t="array" ref="N13">SUMPRODUCT(ISNUMBER(SEARCH("EHYD-DAM",[1]OUT_Electricity_CHP!$B$1:$B$10000))*1,([1]OUT_Electricity_CHP!$C$1:$C$10000="Var_Fout")*1,ISNUMBER(SEARCH("ELC",[1]OUT_Electricity_CHP!$D$1:$D$10000))*1,[1]OUT_Electricity_CHP!M$1:M$10000)</f>
        <v>74.835824674890546</v>
      </c>
      <c r="O13" s="1" cm="1">
        <f t="array" ref="O13">SUMPRODUCT(ISNUMBER(SEARCH("EHYD-DAM",[1]OUT_Electricity_CHP!$B$1:$B$10000))*1,([1]OUT_Electricity_CHP!$C$1:$C$10000="Var_Fout")*1,ISNUMBER(SEARCH("ELC",[1]OUT_Electricity_CHP!$D$1:$D$10000))*1,[1]OUT_Electricity_CHP!N$1:N$10000)</f>
        <v>74.835633381732961</v>
      </c>
      <c r="P13" s="1" cm="1">
        <f t="array" ref="P13">SUMPRODUCT(ISNUMBER(SEARCH("EHYD-DAM",[1]OUT_Electricity_CHP!$B$1:$B$10000))*1,([1]OUT_Electricity_CHP!$C$1:$C$10000="Var_Fout")*1,ISNUMBER(SEARCH("ELC",[1]OUT_Electricity_CHP!$D$1:$D$10000))*1,[1]OUT_Electricity_CHP!O$1:O$10000)</f>
        <v>74.835599397676688</v>
      </c>
      <c r="Q13" s="1" cm="1">
        <f t="array" ref="Q13">SUMPRODUCT(ISNUMBER(SEARCH("EHYD-DAM",[1]OUT_Electricity_CHP!$B$1:$B$10000))*1,([1]OUT_Electricity_CHP!$C$1:$C$10000="Var_Fout")*1,ISNUMBER(SEARCH("ELC",[1]OUT_Electricity_CHP!$D$1:$D$10000))*1,[1]OUT_Electricity_CHP!P$1:P$10000)</f>
        <v>74.836042706184401</v>
      </c>
      <c r="S13" s="3"/>
    </row>
    <row r="14" spans="1:19" x14ac:dyDescent="0.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66.632400805689144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55.763999647395103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65.553185207249157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64.716636921875647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63.735226441582611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62.651228130576513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61.5655219472916</v>
      </c>
      <c r="M14" s="1" cm="1">
        <f t="array" ref="M14">SUMPRODUCT(ISNUMBER(SEARCH("EHYD-RUN",[1]OUT_Electricity_CHP!$B$1:$B$10000))*1,([1]OUT_Electricity_CHP!$C$1:$C$10000="Var_Fout")*1,ISNUMBER(SEARCH("ELC",[1]OUT_Electricity_CHP!$D$1:$D$10000))*1,[1]OUT_Electricity_CHP!L$1:L$10000)</f>
        <v>60.481377772266136</v>
      </c>
      <c r="N14" s="1" cm="1">
        <f t="array" ref="N14">SUMPRODUCT(ISNUMBER(SEARCH("EHYD-RUN",[1]OUT_Electricity_CHP!$B$1:$B$10000))*1,([1]OUT_Electricity_CHP!$C$1:$C$10000="Var_Fout")*1,ISNUMBER(SEARCH("ELC",[1]OUT_Electricity_CHP!$D$1:$D$10000))*1,[1]OUT_Electricity_CHP!M$1:M$10000)</f>
        <v>60.481350320315187</v>
      </c>
      <c r="O14" s="1" cm="1">
        <f t="array" ref="O14">SUMPRODUCT(ISNUMBER(SEARCH("EHYD-RUN",[1]OUT_Electricity_CHP!$B$1:$B$10000))*1,([1]OUT_Electricity_CHP!$C$1:$C$10000="Var_Fout")*1,ISNUMBER(SEARCH("ELC",[1]OUT_Electricity_CHP!$D$1:$D$10000))*1,[1]OUT_Electricity_CHP!N$1:N$10000)</f>
        <v>60.4815432061556</v>
      </c>
      <c r="P14" s="1" cm="1">
        <f t="array" ref="P14">SUMPRODUCT(ISNUMBER(SEARCH("EHYD-RUN",[1]OUT_Electricity_CHP!$B$1:$B$10000))*1,([1]OUT_Electricity_CHP!$C$1:$C$10000="Var_Fout")*1,ISNUMBER(SEARCH("ELC",[1]OUT_Electricity_CHP!$D$1:$D$10000))*1,[1]OUT_Electricity_CHP!O$1:O$10000)</f>
        <v>60.481578029869766</v>
      </c>
      <c r="Q14" s="1" cm="1">
        <f t="array" ref="Q14">SUMPRODUCT(ISNUMBER(SEARCH("EHYD-RUN",[1]OUT_Electricity_CHP!$B$1:$B$10000))*1,([1]OUT_Electricity_CHP!$C$1:$C$10000="Var_Fout")*1,ISNUMBER(SEARCH("ELC",[1]OUT_Electricity_CHP!$D$1:$D$10000))*1,[1]OUT_Electricity_CHP!P$1:P$10000)</f>
        <v>60.481139186772893</v>
      </c>
      <c r="S14" s="3"/>
    </row>
    <row r="15" spans="1:19" x14ac:dyDescent="0.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16.052401813790713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20.042878954190837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6.842322133588441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15.980461799796934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16.344365101913795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16.412655757029377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16.520805079620462</v>
      </c>
      <c r="M15" s="1" cm="1">
        <f t="array" ref="M15">SUMPRODUCT(ISNUMBER(SEARCH("EHYD-PUM",[1]OUT_Electricity_CHP!$B$1:$B$10000))*1,([1]OUT_Electricity_CHP!$C$1:$C$10000="Var_Fin")*1,ISNUMBER(SEARCH("elc",[1]OUT_Electricity_CHP!$D$1:$D$10000))*1,[1]OUT_Electricity_CHP!L$1:L$10000)</f>
        <v>16.621706604366633</v>
      </c>
      <c r="N15" s="1" cm="1">
        <f t="array" ref="N15">SUMPRODUCT(ISNUMBER(SEARCH("EHYD-PUM",[1]OUT_Electricity_CHP!$B$1:$B$10000))*1,([1]OUT_Electricity_CHP!$C$1:$C$10000="Var_Fin")*1,ISNUMBER(SEARCH("elc",[1]OUT_Electricity_CHP!$D$1:$D$10000))*1,[1]OUT_Electricity_CHP!M$1:M$10000)</f>
        <v>16.672231792815776</v>
      </c>
      <c r="O15" s="1" cm="1">
        <f t="array" ref="O15">SUMPRODUCT(ISNUMBER(SEARCH("EHYD-PUM",[1]OUT_Electricity_CHP!$B$1:$B$10000))*1,([1]OUT_Electricity_CHP!$C$1:$C$10000="Var_Fin")*1,ISNUMBER(SEARCH("elc",[1]OUT_Electricity_CHP!$D$1:$D$10000))*1,[1]OUT_Electricity_CHP!N$1:N$10000)</f>
        <v>18.137848794613991</v>
      </c>
      <c r="P15" s="1" cm="1">
        <f t="array" ref="P15">SUMPRODUCT(ISNUMBER(SEARCH("EHYD-PUM",[1]OUT_Electricity_CHP!$B$1:$B$10000))*1,([1]OUT_Electricity_CHP!$C$1:$C$10000="Var_Fin")*1,ISNUMBER(SEARCH("elc",[1]OUT_Electricity_CHP!$D$1:$D$10000))*1,[1]OUT_Electricity_CHP!O$1:O$10000)</f>
        <v>18.589530519621402</v>
      </c>
      <c r="Q15" s="1" cm="1">
        <f t="array" ref="Q15">SUMPRODUCT(ISNUMBER(SEARCH("EHYD-PUM",[1]OUT_Electricity_CHP!$B$1:$B$10000))*1,([1]OUT_Electricity_CHP!$C$1:$C$10000="Var_Fin")*1,ISNUMBER(SEARCH("elc",[1]OUT_Electricity_CHP!$D$1:$D$10000))*1,[1]OUT_Electricity_CHP!P$1:P$10000)</f>
        <v>18.520849009813684</v>
      </c>
      <c r="S15" s="3"/>
    </row>
    <row r="16" spans="1:19" x14ac:dyDescent="0.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12.556451522001414</v>
      </c>
      <c r="G16" s="1" cm="1">
        <f t="array" ref="G16">SUMPRODUCT(ISNUMBER(SEARCH("SOL",[1]OUT_PrimaryEnergyCons!$C$1:$C$1000))*1,[1]OUT_PrimaryEnergyCons!E$1:E$1000)</f>
        <v>16.522160308467942</v>
      </c>
      <c r="H16" s="1" cm="1">
        <f t="array" ref="H16">SUMPRODUCT(ISNUMBER(SEARCH("SOL",[1]OUT_PrimaryEnergyCons!$C$1:$C$1000))*1,[1]OUT_PrimaryEnergyCons!F$1:F$1000)</f>
        <v>32.459497614153612</v>
      </c>
      <c r="I16" s="1" cm="1">
        <f t="array" ref="I16">SUMPRODUCT(ISNUMBER(SEARCH("SOL",[1]OUT_PrimaryEnergyCons!$C$1:$C$1000))*1,[1]OUT_PrimaryEnergyCons!G$1:G$1000)</f>
        <v>58.008282994598936</v>
      </c>
      <c r="J16" s="1" cm="1">
        <f t="array" ref="J16">SUMPRODUCT(ISNUMBER(SEARCH("SOL",[1]OUT_PrimaryEnergyCons!$C$1:$C$1000))*1,[1]OUT_PrimaryEnergyCons!H$1:H$1000)</f>
        <v>84.476863635955326</v>
      </c>
      <c r="K16" s="1" cm="1">
        <f t="array" ref="K16">SUMPRODUCT(ISNUMBER(SEARCH("SOL",[1]OUT_PrimaryEnergyCons!$C$1:$C$1000))*1,[1]OUT_PrimaryEnergyCons!I$1:I$1000)</f>
        <v>91.163749627728635</v>
      </c>
      <c r="L16" s="1" cm="1">
        <f t="array" ref="L16">SUMPRODUCT(ISNUMBER(SEARCH("SOL",[1]OUT_PrimaryEnergyCons!$C$1:$C$1000))*1,[1]OUT_PrimaryEnergyCons!J$1:J$1000)</f>
        <v>98.898120747358988</v>
      </c>
      <c r="M16" s="1" cm="1">
        <f t="array" ref="M16">SUMPRODUCT(ISNUMBER(SEARCH("SOL",[1]OUT_PrimaryEnergyCons!$C$1:$C$1000))*1,[1]OUT_PrimaryEnergyCons!K$1:K$1000)</f>
        <v>109.6687142863663</v>
      </c>
      <c r="N16" s="1" cm="1">
        <f t="array" ref="N16">SUMPRODUCT(ISNUMBER(SEARCH("SOL",[1]OUT_PrimaryEnergyCons!$C$1:$C$1000))*1,[1]OUT_PrimaryEnergyCons!L$1:L$1000)</f>
        <v>113.29179774449683</v>
      </c>
      <c r="O16" s="1" cm="1">
        <f t="array" ref="O16">SUMPRODUCT(ISNUMBER(SEARCH("SOL",[1]OUT_PrimaryEnergyCons!$C$1:$C$1000))*1,[1]OUT_PrimaryEnergyCons!M$1:M$1000)</f>
        <v>116.16314580312928</v>
      </c>
      <c r="P16" s="1" cm="1">
        <f t="array" ref="P16">SUMPRODUCT(ISNUMBER(SEARCH("SOL",[1]OUT_PrimaryEnergyCons!$C$1:$C$1000))*1,[1]OUT_PrimaryEnergyCons!N$1:N$1000)</f>
        <v>118.388819018733</v>
      </c>
      <c r="Q16" s="1" cm="1">
        <f t="array" ref="Q16">SUMPRODUCT(ISNUMBER(SEARCH("SOL",[1]OUT_PrimaryEnergyCons!$C$1:$C$1000))*1,[1]OUT_PrimaryEnergyCons!O$1:O$1000)</f>
        <v>119.09762403275175</v>
      </c>
      <c r="S16" s="3"/>
    </row>
    <row r="17" spans="1:19" x14ac:dyDescent="0.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0.52400627947703804</v>
      </c>
      <c r="G17" s="1" cm="1">
        <f t="array" ref="G17">SUMPRODUCT(ISNUMBER(SEARCH("wnd",[1]OUT_PrimaryEnergyCons!$C$1:$C$1000))*1,[1]OUT_PrimaryEnergyCons!E$1:E$1000)</f>
        <v>0.54529269807011849</v>
      </c>
      <c r="H17" s="1" cm="1">
        <f t="array" ref="H17">SUMPRODUCT(ISNUMBER(SEARCH("wnd",[1]OUT_PrimaryEnergyCons!$C$1:$C$1000))*1,[1]OUT_PrimaryEnergyCons!F$1:F$1000)</f>
        <v>0.50316532419483184</v>
      </c>
      <c r="I17" s="1" cm="1">
        <f t="array" ref="I17">SUMPRODUCT(ISNUMBER(SEARCH("wnd",[1]OUT_PrimaryEnergyCons!$C$1:$C$1000))*1,[1]OUT_PrimaryEnergyCons!G$1:G$1000)</f>
        <v>0.98984755947811942</v>
      </c>
      <c r="J17" s="1" cm="1">
        <f t="array" ref="J17">SUMPRODUCT(ISNUMBER(SEARCH("wnd",[1]OUT_PrimaryEnergyCons!$C$1:$C$1000))*1,[1]OUT_PrimaryEnergyCons!H$1:H$1000)</f>
        <v>1.0861968395499944</v>
      </c>
      <c r="K17" s="1" cm="1">
        <f t="array" ref="K17">SUMPRODUCT(ISNUMBER(SEARCH("wnd",[1]OUT_PrimaryEnergyCons!$C$1:$C$1000))*1,[1]OUT_PrimaryEnergyCons!I$1:I$1000)</f>
        <v>1.0863182541309102</v>
      </c>
      <c r="L17" s="1" cm="1">
        <f t="array" ref="L17">SUMPRODUCT(ISNUMBER(SEARCH("wnd",[1]OUT_PrimaryEnergyCons!$C$1:$C$1000))*1,[1]OUT_PrimaryEnergyCons!J$1:J$1000)</f>
        <v>1.2212493128811439</v>
      </c>
      <c r="M17" s="1" cm="1">
        <f t="array" ref="M17">SUMPRODUCT(ISNUMBER(SEARCH("wnd",[1]OUT_PrimaryEnergyCons!$C$1:$C$1000))*1,[1]OUT_PrimaryEnergyCons!K$1:K$1000)</f>
        <v>1.221270371567021</v>
      </c>
      <c r="N17" s="1" cm="1">
        <f t="array" ref="N17">SUMPRODUCT(ISNUMBER(SEARCH("wnd",[1]OUT_PrimaryEnergyCons!$C$1:$C$1000))*1,[1]OUT_PrimaryEnergyCons!L$1:L$1000)</f>
        <v>1.2213855118999162</v>
      </c>
      <c r="O17" s="1" cm="1">
        <f t="array" ref="O17">SUMPRODUCT(ISNUMBER(SEARCH("wnd",[1]OUT_PrimaryEnergyCons!$C$1:$C$1000))*1,[1]OUT_PrimaryEnergyCons!M$1:M$1000)</f>
        <v>1.22154606960607</v>
      </c>
      <c r="P17" s="1" cm="1">
        <f t="array" ref="P17">SUMPRODUCT(ISNUMBER(SEARCH("wnd",[1]OUT_PrimaryEnergyCons!$C$1:$C$1000))*1,[1]OUT_PrimaryEnergyCons!N$1:N$1000)</f>
        <v>1.2215494057734078</v>
      </c>
      <c r="Q17" s="1" cm="1">
        <f t="array" ref="Q17">SUMPRODUCT(ISNUMBER(SEARCH("wnd",[1]OUT_PrimaryEnergyCons!$C$1:$C$1000))*1,[1]OUT_PrimaryEnergyCons!O$1:O$1000)</f>
        <v>1.2215645563703379</v>
      </c>
      <c r="S17" s="3"/>
    </row>
    <row r="18" spans="1:19" x14ac:dyDescent="0.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18.873022161950885</v>
      </c>
      <c r="G18" s="1">
        <f>[1]Overview!C$9-G19</f>
        <v>22.214828363149731</v>
      </c>
      <c r="H18" s="1">
        <f>[1]Overview!D$9-H19</f>
        <v>26.367492484477861</v>
      </c>
      <c r="I18" s="1">
        <f>[1]Overview!E$9-I19</f>
        <v>36.363433549746311</v>
      </c>
      <c r="J18" s="1">
        <f>[1]Overview!F$9-J19</f>
        <v>55.374450217111509</v>
      </c>
      <c r="K18" s="1">
        <f>[1]Overview!G$9-K19</f>
        <v>60.302774881556076</v>
      </c>
      <c r="L18" s="1">
        <f>[1]Overview!H$9-L19</f>
        <v>72.826426782713128</v>
      </c>
      <c r="M18" s="1">
        <f>[1]Overview!I$9-M19</f>
        <v>88.045705608041857</v>
      </c>
      <c r="N18" s="1">
        <f>[1]Overview!J$9-N19</f>
        <v>89.859209099370602</v>
      </c>
      <c r="O18" s="1">
        <f>[1]Overview!K$9-O19</f>
        <v>90.938315201301791</v>
      </c>
      <c r="P18" s="1">
        <f>[1]Overview!L$9-P19</f>
        <v>91.42957773694954</v>
      </c>
      <c r="Q18" s="1">
        <f>[1]Overview!M$9-Q19</f>
        <v>93.545811058838993</v>
      </c>
      <c r="S18" s="3"/>
    </row>
    <row r="19" spans="1:19" x14ac:dyDescent="0.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3.6613207049875286E-4</v>
      </c>
      <c r="L19" s="1">
        <f>+[1]Overview!H$28</f>
        <v>0.12134463508162154</v>
      </c>
      <c r="M19" s="1">
        <f>+[1]Overview!I$28</f>
        <v>0.11235352852374796</v>
      </c>
      <c r="N19" s="1">
        <f>+[1]Overview!J$28</f>
        <v>0</v>
      </c>
      <c r="O19" s="1">
        <f>+[1]Overview!K$28</f>
        <v>0</v>
      </c>
      <c r="P19" s="1">
        <f>+[1]Overview!L$28</f>
        <v>0</v>
      </c>
      <c r="Q19" s="1">
        <f>+[1]Overview!M$28</f>
        <v>0</v>
      </c>
      <c r="S19" s="3"/>
    </row>
    <row r="20" spans="1:19" x14ac:dyDescent="0.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779.42830531016716</v>
      </c>
      <c r="G20" s="3">
        <f t="shared" si="13"/>
        <v>702.39966798578541</v>
      </c>
      <c r="H20" s="3">
        <f t="shared" si="13"/>
        <v>658.07016761561465</v>
      </c>
      <c r="I20" s="3">
        <f t="shared" si="13"/>
        <v>572.17635308119566</v>
      </c>
      <c r="J20" s="3">
        <f t="shared" si="13"/>
        <v>456.25305612286235</v>
      </c>
      <c r="K20" s="3">
        <f t="shared" si="13"/>
        <v>364.6446669705893</v>
      </c>
      <c r="L20" s="3">
        <f t="shared" ref="L20:O20" si="14">SUM(L21:L22,L41,L50:L51,L56)</f>
        <v>268.4626301523794</v>
      </c>
      <c r="M20" s="3">
        <f t="shared" si="14"/>
        <v>234.96313031823266</v>
      </c>
      <c r="N20" s="3">
        <f t="shared" si="14"/>
        <v>262.43070361609023</v>
      </c>
      <c r="O20" s="3">
        <f t="shared" si="14"/>
        <v>315.24676192353496</v>
      </c>
      <c r="P20" s="3">
        <f>SUM(P21:P22,P41,P50:P51,P56)</f>
        <v>318.17064122387842</v>
      </c>
      <c r="Q20" s="3">
        <f>SUM(Q21:Q22,Q41,Q50:Q51,Q56)</f>
        <v>315.92940604645725</v>
      </c>
      <c r="R20" s="1"/>
      <c r="S20" s="3"/>
    </row>
    <row r="21" spans="1:19" x14ac:dyDescent="0.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3.6600033878802685</v>
      </c>
      <c r="G21" s="1" cm="1">
        <f t="array" ref="G21">SUMPRODUCT(("COA"=[1]OUT_PrimaryEnergyCons!$C$4:$C$10000)*1,[1]OUT_PrimaryEnergyCons!E$4:E$10000)</f>
        <v>3.5647172168169501</v>
      </c>
      <c r="H21" s="1" cm="1">
        <f t="array" ref="H21">SUMPRODUCT(("COA"=[1]OUT_PrimaryEnergyCons!$C$4:$C$10000)*1,[1]OUT_PrimaryEnergyCons!F$4:F$10000)</f>
        <v>0.54152635032022467</v>
      </c>
      <c r="I21" s="1" cm="1">
        <f t="array" ref="I21">SUMPRODUCT(("COA"=[1]OUT_PrimaryEnergyCons!$C$4:$C$10000)*1,[1]OUT_PrimaryEnergyCons!G$4:G$10000)</f>
        <v>1.1974174969418469E-3</v>
      </c>
      <c r="J21" s="1" cm="1">
        <f t="array" ref="J21">SUMPRODUCT(("COA"=[1]OUT_PrimaryEnergyCons!$C$4:$C$10000)*1,[1]OUT_PrimaryEnergyCons!H$4:H$10000)</f>
        <v>5.2709137972134924E-4</v>
      </c>
      <c r="K21" s="1" cm="1">
        <f t="array" ref="K21">SUMPRODUCT(("COA"=[1]OUT_PrimaryEnergyCons!$C$4:$C$10000)*1,[1]OUT_PrimaryEnergyCons!I$4:I$10000)</f>
        <v>1.0140654488555371E-3</v>
      </c>
      <c r="L21" s="1" cm="1">
        <f t="array" ref="L21">SUMPRODUCT(("COA"=[1]OUT_PrimaryEnergyCons!$C$4:$C$10000)*1,[1]OUT_PrimaryEnergyCons!J$4:J$10000)</f>
        <v>6.2856077447267849E-4</v>
      </c>
      <c r="M21" s="1" cm="1">
        <f t="array" ref="M21">SUMPRODUCT(("COA"=[1]OUT_PrimaryEnergyCons!$C$4:$C$10000)*1,[1]OUT_PrimaryEnergyCons!K$4:K$10000)</f>
        <v>3.7613076015022593E-4</v>
      </c>
      <c r="N21" s="1" cm="1">
        <f t="array" ref="N21">SUMPRODUCT(("COA"=[1]OUT_PrimaryEnergyCons!$C$4:$C$10000)*1,[1]OUT_PrimaryEnergyCons!L$4:L$10000)</f>
        <v>2.8935843068367116E-4</v>
      </c>
      <c r="O21" s="1" cm="1">
        <f t="array" ref="O21">SUMPRODUCT(("COA"=[1]OUT_PrimaryEnergyCons!$C$4:$C$10000)*1,[1]OUT_PrimaryEnergyCons!M$4:M$10000)</f>
        <v>6.2114297043794483E-4</v>
      </c>
      <c r="P21" s="1" cm="1">
        <f t="array" ref="P21">SUMPRODUCT(("COA"=[1]OUT_PrimaryEnergyCons!$C$4:$C$10000)*1,[1]OUT_PrimaryEnergyCons!N$4:N$10000)</f>
        <v>3.275712252769094E-4</v>
      </c>
      <c r="Q21" s="1" cm="1">
        <f t="array" ref="Q21">SUMPRODUCT(("COA"=[1]OUT_PrimaryEnergyCons!$C$4:$C$10000)*1,[1]OUT_PrimaryEnergyCons!O$4:O$10000)</f>
        <v>1.3090628940185694E-4</v>
      </c>
      <c r="S21" s="3"/>
    </row>
    <row r="22" spans="1:19" x14ac:dyDescent="0.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310.6379755305461</v>
      </c>
      <c r="G22" s="1">
        <f t="shared" ref="G22:K22" si="15">G23+G29</f>
        <v>286.93179458221056</v>
      </c>
      <c r="H22" s="1">
        <f t="shared" si="15"/>
        <v>269.68763629313821</v>
      </c>
      <c r="I22" s="1">
        <f t="shared" si="15"/>
        <v>194.66572480001395</v>
      </c>
      <c r="J22" s="1">
        <f t="shared" si="15"/>
        <v>125.59556638287037</v>
      </c>
      <c r="K22" s="1">
        <f t="shared" si="15"/>
        <v>104.08326935616796</v>
      </c>
      <c r="L22" s="1">
        <f t="shared" ref="L22:O22" si="16">L23+L29</f>
        <v>107.89366181450953</v>
      </c>
      <c r="M22" s="1">
        <f t="shared" si="16"/>
        <v>111.42351158543167</v>
      </c>
      <c r="N22" s="1">
        <f t="shared" si="16"/>
        <v>104.30664297048932</v>
      </c>
      <c r="O22" s="1">
        <f t="shared" si="16"/>
        <v>102.9300428380989</v>
      </c>
      <c r="P22" s="1">
        <f>P23+P29</f>
        <v>103.81245967168617</v>
      </c>
      <c r="Q22" s="1">
        <f>Q23+Q29</f>
        <v>102.29847707614242</v>
      </c>
      <c r="S22" s="3"/>
    </row>
    <row r="23" spans="1:19" x14ac:dyDescent="0.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303.9175233810891</v>
      </c>
      <c r="G23" s="1">
        <f t="shared" ref="G23:K23" si="20">SUM(G24:G28)</f>
        <v>280.15516690820698</v>
      </c>
      <c r="H23" s="1">
        <f t="shared" si="20"/>
        <v>261.26706043981312</v>
      </c>
      <c r="I23" s="1">
        <f t="shared" si="20"/>
        <v>182.00950086080121</v>
      </c>
      <c r="J23" s="1">
        <f t="shared" si="20"/>
        <v>101.29123721107632</v>
      </c>
      <c r="K23" s="1">
        <f t="shared" si="20"/>
        <v>60.188939991764435</v>
      </c>
      <c r="L23" s="1">
        <f t="shared" ref="L23:O23" si="21">SUM(L24:L28)</f>
        <v>29.295343518351451</v>
      </c>
      <c r="M23" s="1">
        <f t="shared" si="21"/>
        <v>0</v>
      </c>
      <c r="N23" s="1">
        <f t="shared" si="21"/>
        <v>0.17175874036439462</v>
      </c>
      <c r="O23" s="1">
        <f t="shared" si="21"/>
        <v>0.11070847485877559</v>
      </c>
      <c r="P23" s="1">
        <f>SUM(P24:P28)</f>
        <v>9.7602507590059104E-2</v>
      </c>
      <c r="Q23" s="1">
        <f>SUM(Q24:Q28)</f>
        <v>9.1271253446520081E-2</v>
      </c>
      <c r="S23" s="3"/>
    </row>
    <row r="24" spans="1:19" x14ac:dyDescent="0.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101.73655244227777</v>
      </c>
      <c r="G24" s="1" cm="1">
        <f t="array" ref="G24">SUMPRODUCT(("LFO"=[1]OUT_PrimaryEnergyCons!$C$4:$C$10000)*1,[1]OUT_PrimaryEnergyCons!E$4:E$10000)</f>
        <v>88.455417199977688</v>
      </c>
      <c r="H24" s="1" cm="1">
        <f t="array" ref="H24">SUMPRODUCT(("LFO"=[1]OUT_PrimaryEnergyCons!$C$4:$C$10000)*1,[1]OUT_PrimaryEnergyCons!F$4:F$10000)</f>
        <v>84.508406872127878</v>
      </c>
      <c r="I24" s="1" cm="1">
        <f t="array" ref="I24">SUMPRODUCT(("LFO"=[1]OUT_PrimaryEnergyCons!$C$4:$C$10000)*1,[1]OUT_PrimaryEnergyCons!G$4:G$10000)</f>
        <v>67.849966955814452</v>
      </c>
      <c r="J24" s="1" cm="1">
        <f t="array" ref="J24">SUMPRODUCT(("LFO"=[1]OUT_PrimaryEnergyCons!$C$4:$C$10000)*1,[1]OUT_PrimaryEnergyCons!H$4:H$10000)</f>
        <v>40.497032310428899</v>
      </c>
      <c r="K24" s="1" cm="1">
        <f t="array" ref="K24">SUMPRODUCT(("LFO"=[1]OUT_PrimaryEnergyCons!$C$4:$C$10000)*1,[1]OUT_PrimaryEnergyCons!I$4:I$10000)</f>
        <v>23.932082317681289</v>
      </c>
      <c r="L24" s="1" cm="1">
        <f t="array" ref="L24">SUMPRODUCT(("LFO"=[1]OUT_PrimaryEnergyCons!$C$4:$C$10000)*1,[1]OUT_PrimaryEnergyCons!J$4:J$10000)</f>
        <v>13.880652516504817</v>
      </c>
      <c r="M24" s="1" cm="1">
        <f t="array" ref="M24">SUMPRODUCT(("LFO"=[1]OUT_PrimaryEnergyCons!$C$4:$C$10000)*1,[1]OUT_PrimaryEnergyCons!K$4:K$10000)</f>
        <v>0</v>
      </c>
      <c r="N24" s="1" cm="1">
        <f t="array" ref="N24">SUMPRODUCT(("LFO"=[1]OUT_PrimaryEnergyCons!$C$4:$C$10000)*1,[1]OUT_PrimaryEnergyCons!L$4:L$10000)</f>
        <v>7.7704923714973662E-3</v>
      </c>
      <c r="O24" s="1" cm="1">
        <f t="array" ref="O24">SUMPRODUCT(("LFO"=[1]OUT_PrimaryEnergyCons!$C$4:$C$10000)*1,[1]OUT_PrimaryEnergyCons!M$4:M$10000)</f>
        <v>1.0988240493283501E-2</v>
      </c>
      <c r="P24" s="1" cm="1">
        <f t="array" ref="P24">SUMPRODUCT(("LFO"=[1]OUT_PrimaryEnergyCons!$C$4:$C$10000)*1,[1]OUT_PrimaryEnergyCons!N$4:N$10000)</f>
        <v>7.0692674962051644E-3</v>
      </c>
      <c r="Q24" s="1" cm="1">
        <f t="array" ref="Q24">SUMPRODUCT(("LFO"=[1]OUT_PrimaryEnergyCons!$C$4:$C$10000)*1,[1]OUT_PrimaryEnergyCons!O$4:O$10000)</f>
        <v>1.3892112820182293E-2</v>
      </c>
      <c r="S24" s="3"/>
    </row>
    <row r="25" spans="1:19" x14ac:dyDescent="0.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2.7763699946423981</v>
      </c>
      <c r="G25" s="1" cm="1">
        <f t="array" ref="G25">SUMPRODUCT(("HFO"=[1]OUT_PrimaryEnergyCons!$C$4:$C$10000)*1,[1]OUT_PrimaryEnergyCons!E$4:E$10000)</f>
        <v>2.522527871134792</v>
      </c>
      <c r="H25" s="1" cm="1">
        <f t="array" ref="H25">SUMPRODUCT(("HFO"=[1]OUT_PrimaryEnergyCons!$C$4:$C$10000)*1,[1]OUT_PrimaryEnergyCons!F$4:F$10000)</f>
        <v>2.4169855818180091E-3</v>
      </c>
      <c r="I25" s="1" cm="1">
        <f t="array" ref="I25">SUMPRODUCT(("HFO"=[1]OUT_PrimaryEnergyCons!$C$4:$C$10000)*1,[1]OUT_PrimaryEnergyCons!G$4:G$10000)</f>
        <v>3.4695751623979018E-4</v>
      </c>
      <c r="J25" s="1" cm="1">
        <f t="array" ref="J25">SUMPRODUCT(("HFO"=[1]OUT_PrimaryEnergyCons!$C$4:$C$10000)*1,[1]OUT_PrimaryEnergyCons!H$4:H$10000)</f>
        <v>2.3015924845910766E-4</v>
      </c>
      <c r="K25" s="1" cm="1">
        <f t="array" ref="K25">SUMPRODUCT(("HFO"=[1]OUT_PrimaryEnergyCons!$C$4:$C$10000)*1,[1]OUT_PrimaryEnergyCons!I$4:I$10000)</f>
        <v>1.2394428300672551E-3</v>
      </c>
      <c r="L25" s="1" cm="1">
        <f t="array" ref="L25">SUMPRODUCT(("HFO"=[1]OUT_PrimaryEnergyCons!$C$4:$C$10000)*1,[1]OUT_PrimaryEnergyCons!J$4:J$10000)</f>
        <v>8.6837864979455134E-4</v>
      </c>
      <c r="M25" s="1" cm="1">
        <f t="array" ref="M25">SUMPRODUCT(("HFO"=[1]OUT_PrimaryEnergyCons!$C$4:$C$10000)*1,[1]OUT_PrimaryEnergyCons!K$4:K$10000)</f>
        <v>0</v>
      </c>
      <c r="N25" s="1" cm="1">
        <f t="array" ref="N25">SUMPRODUCT(("HFO"=[1]OUT_PrimaryEnergyCons!$C$4:$C$10000)*1,[1]OUT_PrimaryEnergyCons!L$4:L$10000)</f>
        <v>0</v>
      </c>
      <c r="O25" s="1" cm="1">
        <f t="array" ref="O25">SUMPRODUCT(("HFO"=[1]OUT_PrimaryEnergyCons!$C$4:$C$10000)*1,[1]OUT_PrimaryEnergyCons!M$4:M$10000)</f>
        <v>0</v>
      </c>
      <c r="P25" s="1" cm="1">
        <f t="array" ref="P25">SUMPRODUCT(("HFO"=[1]OUT_PrimaryEnergyCons!$C$4:$C$10000)*1,[1]OUT_PrimaryEnergyCons!N$4:N$10000)</f>
        <v>0</v>
      </c>
      <c r="Q25" s="1" cm="1">
        <f t="array" ref="Q25">SUMPRODUCT(("HFO"=[1]OUT_PrimaryEnergyCons!$C$4:$C$10000)*1,[1]OUT_PrimaryEnergyCons!O$4:O$10000)</f>
        <v>0</v>
      </c>
      <c r="S25" s="3"/>
    </row>
    <row r="26" spans="1:19" x14ac:dyDescent="0.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118.53390760086451</v>
      </c>
      <c r="G26" s="1" cm="1">
        <f t="array" ref="G26">SUMPRODUCT(("DSL"=[1]OUT_PrimaryEnergyCons!$C$4:$C$10000)*1,[1]OUT_PrimaryEnergyCons!E$4:E$10000)</f>
        <v>111.81587508608686</v>
      </c>
      <c r="H26" s="1" cm="1">
        <f t="array" ref="H26">SUMPRODUCT(("DSL"=[1]OUT_PrimaryEnergyCons!$C$4:$C$10000)*1,[1]OUT_PrimaryEnergyCons!F$4:F$10000)</f>
        <v>95.73980481423574</v>
      </c>
      <c r="I26" s="1" cm="1">
        <f t="array" ref="I26">SUMPRODUCT(("DSL"=[1]OUT_PrimaryEnergyCons!$C$4:$C$10000)*1,[1]OUT_PrimaryEnergyCons!G$4:G$10000)</f>
        <v>63.245509274896143</v>
      </c>
      <c r="J26" s="1" cm="1">
        <f t="array" ref="J26">SUMPRODUCT(("DSL"=[1]OUT_PrimaryEnergyCons!$C$4:$C$10000)*1,[1]OUT_PrimaryEnergyCons!H$4:H$10000)</f>
        <v>36.636936839181963</v>
      </c>
      <c r="K26" s="1" cm="1">
        <f t="array" ref="K26">SUMPRODUCT(("DSL"=[1]OUT_PrimaryEnergyCons!$C$4:$C$10000)*1,[1]OUT_PrimaryEnergyCons!I$4:I$10000)</f>
        <v>24.316064026972345</v>
      </c>
      <c r="L26" s="1" cm="1">
        <f t="array" ref="L26">SUMPRODUCT(("DSL"=[1]OUT_PrimaryEnergyCons!$C$4:$C$10000)*1,[1]OUT_PrimaryEnergyCons!J$4:J$10000)</f>
        <v>10.621971587694455</v>
      </c>
      <c r="M26" s="1" cm="1">
        <f t="array" ref="M26">SUMPRODUCT(("DSL"=[1]OUT_PrimaryEnergyCons!$C$4:$C$10000)*1,[1]OUT_PrimaryEnergyCons!K$4:K$10000)</f>
        <v>0</v>
      </c>
      <c r="N26" s="1" cm="1">
        <f t="array" ref="N26">SUMPRODUCT(("DSL"=[1]OUT_PrimaryEnergyCons!$C$4:$C$10000)*1,[1]OUT_PrimaryEnergyCons!L$4:L$10000)</f>
        <v>2.332142752202416E-4</v>
      </c>
      <c r="O26" s="1" cm="1">
        <f t="array" ref="O26">SUMPRODUCT(("DSL"=[1]OUT_PrimaryEnergyCons!$C$4:$C$10000)*1,[1]OUT_PrimaryEnergyCons!M$4:M$10000)</f>
        <v>3.9788845819311181E-4</v>
      </c>
      <c r="P26" s="1" cm="1">
        <f t="array" ref="P26">SUMPRODUCT(("DSL"=[1]OUT_PrimaryEnergyCons!$C$4:$C$10000)*1,[1]OUT_PrimaryEnergyCons!N$4:N$10000)</f>
        <v>2.5573949183386037E-4</v>
      </c>
      <c r="Q26" s="1" cm="1">
        <f t="array" ref="Q26">SUMPRODUCT(("DSL"=[1]OUT_PrimaryEnergyCons!$C$4:$C$10000)*1,[1]OUT_PrimaryEnergyCons!O$4:O$10000)</f>
        <v>4.7551146308547266E-4</v>
      </c>
      <c r="S26" s="3"/>
    </row>
    <row r="27" spans="1:19" x14ac:dyDescent="0.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79.762172764830567</v>
      </c>
      <c r="G27" s="1" cm="1">
        <f t="array" ref="G27">SUMPRODUCT(("GSL"=[1]OUT_PrimaryEnergyCons!$C$4:$C$10000)*1,[1]OUT_PrimaryEnergyCons!E$4:E$10000)</f>
        <v>75.956147389792022</v>
      </c>
      <c r="H27" s="1" cm="1">
        <f t="array" ref="H27">SUMPRODUCT(("GSL"=[1]OUT_PrimaryEnergyCons!$C$4:$C$10000)*1,[1]OUT_PrimaryEnergyCons!F$4:F$10000)</f>
        <v>79.168575635032596</v>
      </c>
      <c r="I27" s="1" cm="1">
        <f t="array" ref="I27">SUMPRODUCT(("GSL"=[1]OUT_PrimaryEnergyCons!$C$4:$C$10000)*1,[1]OUT_PrimaryEnergyCons!G$4:G$10000)</f>
        <v>48.356349849880637</v>
      </c>
      <c r="J27" s="1" cm="1">
        <f t="array" ref="J27">SUMPRODUCT(("GSL"=[1]OUT_PrimaryEnergyCons!$C$4:$C$10000)*1,[1]OUT_PrimaryEnergyCons!H$4:H$10000)</f>
        <v>21.788365177934992</v>
      </c>
      <c r="K27" s="1" cm="1">
        <f t="array" ref="K27">SUMPRODUCT(("GSL"=[1]OUT_PrimaryEnergyCons!$C$4:$C$10000)*1,[1]OUT_PrimaryEnergyCons!I$4:I$10000)</f>
        <v>9.787963946469274</v>
      </c>
      <c r="L27" s="1" cm="1">
        <f t="array" ref="L27">SUMPRODUCT(("GSL"=[1]OUT_PrimaryEnergyCons!$C$4:$C$10000)*1,[1]OUT_PrimaryEnergyCons!J$4:J$10000)</f>
        <v>2.8662214057505868</v>
      </c>
      <c r="M27" s="1" cm="1">
        <f t="array" ref="M27">SUMPRODUCT(("GSL"=[1]OUT_PrimaryEnergyCons!$C$4:$C$10000)*1,[1]OUT_PrimaryEnergyCons!K$4:K$10000)</f>
        <v>0</v>
      </c>
      <c r="N27" s="1" cm="1">
        <f t="array" ref="N27">SUMPRODUCT(("GSL"=[1]OUT_PrimaryEnergyCons!$C$4:$C$10000)*1,[1]OUT_PrimaryEnergyCons!L$4:L$10000)</f>
        <v>0.16355277730256582</v>
      </c>
      <c r="O27" s="1" cm="1">
        <f t="array" ref="O27">SUMPRODUCT(("GSL"=[1]OUT_PrimaryEnergyCons!$C$4:$C$10000)*1,[1]OUT_PrimaryEnergyCons!M$4:M$10000)</f>
        <v>9.8966937191031307E-2</v>
      </c>
      <c r="P27" s="1" cm="1">
        <f t="array" ref="P27">SUMPRODUCT(("GSL"=[1]OUT_PrimaryEnergyCons!$C$4:$C$10000)*1,[1]OUT_PrimaryEnergyCons!N$4:N$10000)</f>
        <v>9.0045123906408606E-2</v>
      </c>
      <c r="Q27" s="1" cm="1">
        <f t="array" ref="Q27">SUMPRODUCT(("GSL"=[1]OUT_PrimaryEnergyCons!$C$4:$C$10000)*1,[1]OUT_PrimaryEnergyCons!O$4:O$10000)</f>
        <v>7.6459051173442247E-2</v>
      </c>
      <c r="S27" s="3"/>
    </row>
    <row r="28" spans="1:19" x14ac:dyDescent="0.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1.1085205784738776</v>
      </c>
      <c r="G28" s="1" cm="1">
        <f t="array" ref="G28">SUMPRODUCT(("KER"=[1]OUT_PrimaryEnergyCons!$C$4:$C$10000)*1,[1]OUT_PrimaryEnergyCons!E$4:E$10000)</f>
        <v>1.4051993612156162</v>
      </c>
      <c r="H28" s="1" cm="1">
        <f t="array" ref="H28">SUMPRODUCT(("KER"=[1]OUT_PrimaryEnergyCons!$C$4:$C$10000)*1,[1]OUT_PrimaryEnergyCons!F$4:F$10000)</f>
        <v>1.8478561328350978</v>
      </c>
      <c r="I28" s="1" cm="1">
        <f t="array" ref="I28">SUMPRODUCT(("KER"=[1]OUT_PrimaryEnergyCons!$C$4:$C$10000)*1,[1]OUT_PrimaryEnergyCons!G$4:G$10000)</f>
        <v>2.5573278226937446</v>
      </c>
      <c r="J28" s="1" cm="1">
        <f t="array" ref="J28">SUMPRODUCT(("KER"=[1]OUT_PrimaryEnergyCons!$C$4:$C$10000)*1,[1]OUT_PrimaryEnergyCons!H$4:H$10000)</f>
        <v>2.3686727242820136</v>
      </c>
      <c r="K28" s="1" cm="1">
        <f t="array" ref="K28">SUMPRODUCT(("KER"=[1]OUT_PrimaryEnergyCons!$C$4:$C$10000)*1,[1]OUT_PrimaryEnergyCons!I$4:I$10000)</f>
        <v>2.1515902578114594</v>
      </c>
      <c r="L28" s="1" cm="1">
        <f t="array" ref="L28">SUMPRODUCT(("KER"=[1]OUT_PrimaryEnergyCons!$C$4:$C$10000)*1,[1]OUT_PrimaryEnergyCons!J$4:J$10000)</f>
        <v>1.9256296297517981</v>
      </c>
      <c r="M28" s="1" cm="1">
        <f t="array" ref="M28">SUMPRODUCT(("KER"=[1]OUT_PrimaryEnergyCons!$C$4:$C$10000)*1,[1]OUT_PrimaryEnergyCons!K$4:K$10000)</f>
        <v>0</v>
      </c>
      <c r="N28" s="1" cm="1">
        <f t="array" ref="N28">SUMPRODUCT(("KER"=[1]OUT_PrimaryEnergyCons!$C$4:$C$10000)*1,[1]OUT_PrimaryEnergyCons!L$4:L$10000)</f>
        <v>2.0225641511119932E-4</v>
      </c>
      <c r="O28" s="1" cm="1">
        <f t="array" ref="O28">SUMPRODUCT(("KER"=[1]OUT_PrimaryEnergyCons!$C$4:$C$10000)*1,[1]OUT_PrimaryEnergyCons!M$4:M$10000)</f>
        <v>3.5540871626767406E-4</v>
      </c>
      <c r="P28" s="1" cm="1">
        <f t="array" ref="P28">SUMPRODUCT(("KER"=[1]OUT_PrimaryEnergyCons!$C$4:$C$10000)*1,[1]OUT_PrimaryEnergyCons!N$4:N$10000)</f>
        <v>2.3237669561147986E-4</v>
      </c>
      <c r="Q28" s="1" cm="1">
        <f t="array" ref="Q28">SUMPRODUCT(("KER"=[1]OUT_PrimaryEnergyCons!$C$4:$C$10000)*1,[1]OUT_PrimaryEnergyCons!O$4:O$10000)</f>
        <v>4.4457798981007302E-4</v>
      </c>
      <c r="S28" s="3"/>
    </row>
    <row r="29" spans="1:19" x14ac:dyDescent="0.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6.7204521494570209</v>
      </c>
      <c r="G29" s="1">
        <f t="shared" ref="G29:K29" si="25">SUM(G30:G32)</f>
        <v>6.7766276740035902</v>
      </c>
      <c r="H29" s="1">
        <f t="shared" si="25"/>
        <v>8.420575853325083</v>
      </c>
      <c r="I29" s="1">
        <f t="shared" si="25"/>
        <v>12.656223939212728</v>
      </c>
      <c r="J29" s="1">
        <f t="shared" si="25"/>
        <v>24.304329171794052</v>
      </c>
      <c r="K29" s="1">
        <f t="shared" si="25"/>
        <v>43.894329364403518</v>
      </c>
      <c r="L29" s="1">
        <f t="shared" ref="L29:O29" si="26">SUM(L30:L32)</f>
        <v>78.598318296158084</v>
      </c>
      <c r="M29" s="1">
        <f t="shared" si="26"/>
        <v>111.42351158543167</v>
      </c>
      <c r="N29" s="1">
        <f t="shared" si="26"/>
        <v>104.13488423012492</v>
      </c>
      <c r="O29" s="1">
        <f t="shared" si="26"/>
        <v>102.81933436324012</v>
      </c>
      <c r="P29" s="1">
        <f>SUM(P30:P32)</f>
        <v>103.71485716409612</v>
      </c>
      <c r="Q29" s="1">
        <f>SUM(Q30:Q32)</f>
        <v>102.2072058226959</v>
      </c>
      <c r="S29" s="3"/>
    </row>
    <row r="30" spans="1:19" x14ac:dyDescent="0.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2.2854493520167836</v>
      </c>
      <c r="G30" s="1" cm="1">
        <f t="array" ref="G30">SUMPRODUCT(ISNUMBER(SEARCH("IMPBDS",[1]OUT_SyntheticFuels!$C$4:$C$1000))*1,("Var_Fout"=[1]OUT_SyntheticFuels!$B$4:$B$1000)*1,[1]OUT_SyntheticFuels!F$4:F$1000)-G32</f>
        <v>2.377997087322659</v>
      </c>
      <c r="H30" s="1" cm="1">
        <f t="array" ref="H30">SUMPRODUCT(ISNUMBER(SEARCH("IMPBDS",[1]OUT_SyntheticFuels!$C$4:$C$1000))*1,("Var_Fout"=[1]OUT_SyntheticFuels!$B$4:$B$1000)*1,[1]OUT_SyntheticFuels!G$4:G$1000)-H32</f>
        <v>4.0197003615604494</v>
      </c>
      <c r="I30" s="1" cm="1">
        <f t="array" ref="I30">SUMPRODUCT(ISNUMBER(SEARCH("IMPBDS",[1]OUT_SyntheticFuels!$C$4:$C$1000))*1,("Var_Fout"=[1]OUT_SyntheticFuels!$B$4:$B$1000)*1,[1]OUT_SyntheticFuels!H$4:H$1000)-I32</f>
        <v>4.5237174316840054</v>
      </c>
      <c r="J30" s="1" cm="1">
        <f t="array" ref="J30">SUMPRODUCT(ISNUMBER(SEARCH("IMPBDS",[1]OUT_SyntheticFuels!$C$4:$C$1000))*1,("Var_Fout"=[1]OUT_SyntheticFuels!$B$4:$B$1000)*1,[1]OUT_SyntheticFuels!I$4:I$1000)-J32</f>
        <v>4.464722100174189</v>
      </c>
      <c r="K30" s="1" cm="1">
        <f t="array" ref="K30">SUMPRODUCT(ISNUMBER(SEARCH("IMPBDS",[1]OUT_SyntheticFuels!$C$4:$C$1000))*1,("Var_Fout"=[1]OUT_SyntheticFuels!$B$4:$B$1000)*1,[1]OUT_SyntheticFuels!J$4:J$1000)-K32</f>
        <v>4.4628728846980934</v>
      </c>
      <c r="L30" s="1" cm="1">
        <f t="array" ref="L30">SUMPRODUCT(ISNUMBER(SEARCH("IMPBDS",[1]OUT_SyntheticFuels!$C$4:$C$1000))*1,("Var_Fout"=[1]OUT_SyntheticFuels!$B$4:$B$1000)*1,[1]OUT_SyntheticFuels!K$4:K$1000)-L32</f>
        <v>5.3739273452021479</v>
      </c>
      <c r="M30" s="1" cm="1">
        <f t="array" ref="M30">SUMPRODUCT(ISNUMBER(SEARCH("IMPBDS",[1]OUT_SyntheticFuels!$C$4:$C$1000))*1,("Var_Fout"=[1]OUT_SyntheticFuels!$B$4:$B$1000)*1,[1]OUT_SyntheticFuels!L$4:L$1000)-M32</f>
        <v>13.893038440778781</v>
      </c>
      <c r="N30" s="1" cm="1">
        <f t="array" ref="N30">SUMPRODUCT(ISNUMBER(SEARCH("IMPBDS",[1]OUT_SyntheticFuels!$C$4:$C$1000))*1,("Var_Fout"=[1]OUT_SyntheticFuels!$B$4:$B$1000)*1,[1]OUT_SyntheticFuels!M$4:M$1000)-N32</f>
        <v>7.4694575182480492</v>
      </c>
      <c r="O30" s="1" cm="1">
        <f t="array" ref="O30">SUMPRODUCT(ISNUMBER(SEARCH("IMPBDS",[1]OUT_SyntheticFuels!$C$4:$C$1000))*1,("Var_Fout"=[1]OUT_SyntheticFuels!$B$4:$B$1000)*1,[1]OUT_SyntheticFuels!N$4:N$1000)-O32</f>
        <v>5.3888503633581877</v>
      </c>
      <c r="P30" s="1" cm="1">
        <f t="array" ref="P30">SUMPRODUCT(ISNUMBER(SEARCH("IMPBDS",[1]OUT_SyntheticFuels!$C$4:$C$1000))*1,("Var_Fout"=[1]OUT_SyntheticFuels!$B$4:$B$1000)*1,[1]OUT_SyntheticFuels!O$4:O$1000)-P32</f>
        <v>4.8191387508062746</v>
      </c>
      <c r="Q30" s="1" cm="1">
        <f t="array" ref="Q30">SUMPRODUCT(ISNUMBER(SEARCH("IMPBDS",[1]OUT_SyntheticFuels!$C$4:$C$1000))*1,("Var_Fout"=[1]OUT_SyntheticFuels!$B$4:$B$1000)*1,[1]OUT_SyntheticFuels!P$4:P$1000)-Q32</f>
        <v>1.8931155065920677</v>
      </c>
      <c r="S30" s="3"/>
    </row>
    <row r="31" spans="1:19" x14ac:dyDescent="0.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4.4341500926398894</v>
      </c>
      <c r="G31" s="1" cm="1">
        <f t="array" ref="G31">SUMPRODUCT(ISNUMBER(SEARCH("IMPeth",[1]OUT_SyntheticFuels!$C$4:$C$1000))*1,("Var_Fout"=[1]OUT_SyntheticFuels!$B$4:$B$1000)*1,[1]OUT_SyntheticFuels!F$4:F$1000)</f>
        <v>4.3986149800311409</v>
      </c>
      <c r="H31" s="1" cm="1">
        <f t="array" ref="H31">SUMPRODUCT(ISNUMBER(SEARCH("IMPeth",[1]OUT_SyntheticFuels!$C$4:$C$1000))*1,("Var_Fout"=[1]OUT_SyntheticFuels!$B$4:$B$1000)*1,[1]OUT_SyntheticFuels!G$4:G$1000)</f>
        <v>4.3997883678972567</v>
      </c>
      <c r="I31" s="1" cm="1">
        <f t="array" ref="I31">SUMPRODUCT(ISNUMBER(SEARCH("IMPeth",[1]OUT_SyntheticFuels!$C$4:$C$1000))*1,("Var_Fout"=[1]OUT_SyntheticFuels!$B$4:$B$1000)*1,[1]OUT_SyntheticFuels!H$4:H$1000)</f>
        <v>2.8018386412727039</v>
      </c>
      <c r="J31" s="1" cm="1">
        <f t="array" ref="J31">SUMPRODUCT(ISNUMBER(SEARCH("IMPeth",[1]OUT_SyntheticFuels!$C$4:$C$1000))*1,("Var_Fout"=[1]OUT_SyntheticFuels!$B$4:$B$1000)*1,[1]OUT_SyntheticFuels!I$4:I$1000)</f>
        <v>1.3261204282284802</v>
      </c>
      <c r="K31" s="1" cm="1">
        <f t="array" ref="K31">SUMPRODUCT(ISNUMBER(SEARCH("IMPeth",[1]OUT_SyntheticFuels!$C$4:$C$1000))*1,("Var_Fout"=[1]OUT_SyntheticFuels!$B$4:$B$1000)*1,[1]OUT_SyntheticFuels!J$4:J$1000)</f>
        <v>0.58401069422617224</v>
      </c>
      <c r="L31" s="1" cm="1">
        <f t="array" ref="L31">SUMPRODUCT(ISNUMBER(SEARCH("IMPeth",[1]OUT_SyntheticFuels!$C$4:$C$1000))*1,("Var_Fout"=[1]OUT_SyntheticFuels!$B$4:$B$1000)*1,[1]OUT_SyntheticFuels!K$4:K$1000)</f>
        <v>4.5570798108299488</v>
      </c>
      <c r="M31" s="1" cm="1">
        <f t="array" ref="M31">SUMPRODUCT(ISNUMBER(SEARCH("IMPeth",[1]OUT_SyntheticFuels!$C$4:$C$1000))*1,("Var_Fout"=[1]OUT_SyntheticFuels!$B$4:$B$1000)*1,[1]OUT_SyntheticFuels!L$4:L$1000)</f>
        <v>1.9864887614102926</v>
      </c>
      <c r="N31" s="1" cm="1">
        <f t="array" ref="N31">SUMPRODUCT(ISNUMBER(SEARCH("IMPeth",[1]OUT_SyntheticFuels!$C$4:$C$1000))*1,("Var_Fout"=[1]OUT_SyntheticFuels!$B$4:$B$1000)*1,[1]OUT_SyntheticFuels!M$4:M$1000)</f>
        <v>1.3027683352127579</v>
      </c>
      <c r="O31" s="1" cm="1">
        <f t="array" ref="O31">SUMPRODUCT(ISNUMBER(SEARCH("IMPeth",[1]OUT_SyntheticFuels!$C$4:$C$1000))*1,("Var_Fout"=[1]OUT_SyntheticFuels!$B$4:$B$1000)*1,[1]OUT_SyntheticFuels!N$4:N$1000)</f>
        <v>1.1739764653971603</v>
      </c>
      <c r="P31" s="1" cm="1">
        <f t="array" ref="P31">SUMPRODUCT(ISNUMBER(SEARCH("IMPeth",[1]OUT_SyntheticFuels!$C$4:$C$1000))*1,("Var_Fout"=[1]OUT_SyntheticFuels!$B$4:$B$1000)*1,[1]OUT_SyntheticFuels!O$4:O$1000)</f>
        <v>1.0719830904542269</v>
      </c>
      <c r="Q31" s="1" cm="1">
        <f t="array" ref="Q31">SUMPRODUCT(ISNUMBER(SEARCH("IMPeth",[1]OUT_SyntheticFuels!$C$4:$C$1000))*1,("Var_Fout"=[1]OUT_SyntheticFuels!$B$4:$B$1000)*1,[1]OUT_SyntheticFuels!P$4:P$1000)</f>
        <v>0.91102408939170598</v>
      </c>
      <c r="S31" s="3"/>
    </row>
    <row r="32" spans="1:19" x14ac:dyDescent="0.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8.5270480034799396E-4</v>
      </c>
      <c r="G32" s="1">
        <f>SUM([1]Transport_Aviation_Intl!C$12,[1]Transport!C$28)</f>
        <v>1.56066497904678E-5</v>
      </c>
      <c r="H32" s="1">
        <f>SUM([1]Transport_Aviation_Intl!D$12,[1]Transport!D$28)</f>
        <v>1.0871238673764399E-3</v>
      </c>
      <c r="I32" s="1">
        <f>SUM([1]Transport_Aviation_Intl!E$12,[1]Transport!E$28)</f>
        <v>5.3306678662560181</v>
      </c>
      <c r="J32" s="1">
        <f>SUM([1]Transport_Aviation_Intl!F$12,[1]Transport!F$28)</f>
        <v>18.513486643391385</v>
      </c>
      <c r="K32" s="1">
        <f>SUM([1]Transport_Aviation_Intl!G$12,[1]Transport!G$28)</f>
        <v>38.847445785479252</v>
      </c>
      <c r="L32" s="1">
        <f>SUM([1]Transport_Aviation_Intl!H$12,[1]Transport!H$28)</f>
        <v>68.667311140125989</v>
      </c>
      <c r="M32" s="1">
        <f>SUM([1]Transport_Aviation_Intl!I$12,[1]Transport!I$28)</f>
        <v>95.543984383242602</v>
      </c>
      <c r="N32" s="1">
        <f>SUM([1]Transport_Aviation_Intl!J$12,[1]Transport!J$28)</f>
        <v>95.362658376664115</v>
      </c>
      <c r="O32" s="1">
        <f>SUM([1]Transport_Aviation_Intl!K$12,[1]Transport!K$28)</f>
        <v>96.256507534484768</v>
      </c>
      <c r="P32" s="1">
        <f>SUM([1]Transport_Aviation_Intl!L$12,[1]Transport!L$28)</f>
        <v>97.823735322835617</v>
      </c>
      <c r="Q32" s="1">
        <f>SUM([1]Transport_Aviation_Intl!M$12,[1]Transport!M$28)</f>
        <v>99.403066226712127</v>
      </c>
      <c r="S32" s="3"/>
    </row>
    <row r="33" spans="1:19" x14ac:dyDescent="0.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6.7204521494570209</v>
      </c>
      <c r="G33" s="1">
        <f t="shared" si="27"/>
        <v>6.7766276740035902</v>
      </c>
      <c r="H33" s="1">
        <f t="shared" si="27"/>
        <v>8.420575853325083</v>
      </c>
      <c r="I33" s="1">
        <f t="shared" si="27"/>
        <v>12.656223939212728</v>
      </c>
      <c r="J33" s="1">
        <f t="shared" si="27"/>
        <v>11.121510394658687</v>
      </c>
      <c r="K33" s="1">
        <f>SUM(K34:K36)</f>
        <v>23.560370222315651</v>
      </c>
      <c r="L33" s="1">
        <f t="shared" ref="L33:O33" si="28">SUM(L34:L36)</f>
        <v>47.770951585060516</v>
      </c>
      <c r="M33" s="1">
        <f t="shared" si="28"/>
        <v>76.027727246738436</v>
      </c>
      <c r="N33" s="1">
        <f t="shared" si="28"/>
        <v>104.13488423012492</v>
      </c>
      <c r="O33" s="1">
        <f t="shared" si="28"/>
        <v>102.10681121199795</v>
      </c>
      <c r="P33" s="1">
        <f>SUM(P34:P36)</f>
        <v>102.14762937574527</v>
      </c>
      <c r="Q33" s="1">
        <f>SUM(Q34:Q36)</f>
        <v>100.62787491881939</v>
      </c>
      <c r="S33" s="3"/>
    </row>
    <row r="34" spans="1:19" x14ac:dyDescent="0.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9">F30</f>
        <v>2.2854493520167836</v>
      </c>
      <c r="G34" s="1">
        <f t="shared" si="29"/>
        <v>2.377997087322659</v>
      </c>
      <c r="H34" s="1">
        <f t="shared" si="29"/>
        <v>4.0197003615604494</v>
      </c>
      <c r="I34" s="1">
        <f t="shared" si="29"/>
        <v>4.5237174316840054</v>
      </c>
      <c r="J34" s="1">
        <f>IF(J30-MAX(F30:I30)&lt;0,J30,MAX(F30:I30))</f>
        <v>4.464722100174189</v>
      </c>
      <c r="K34" s="1">
        <f>IF(K30-MAX(F30:J30)&lt;0,K30,MAX(F30:J30))</f>
        <v>4.4628728846980934</v>
      </c>
      <c r="L34" s="1">
        <f t="shared" ref="L34:O34" si="30">IF(L30-MAX(G30:K30)&lt;0,L30,MAX(G30:K30))</f>
        <v>4.5237174316840054</v>
      </c>
      <c r="M34" s="1">
        <f t="shared" si="30"/>
        <v>5.3739273452021479</v>
      </c>
      <c r="N34" s="1">
        <f t="shared" si="30"/>
        <v>7.4694575182480492</v>
      </c>
      <c r="O34" s="1">
        <f t="shared" si="30"/>
        <v>5.3888503633581877</v>
      </c>
      <c r="P34" s="1">
        <f>IF(P30-MAX(K30:O30)&lt;0,P30,MAX(K30:O30))</f>
        <v>4.8191387508062746</v>
      </c>
      <c r="Q34" s="1">
        <f>IF(Q30-MAX(L30:P30)&lt;0,Q30,MAX(L30:P30))</f>
        <v>1.8931155065920677</v>
      </c>
      <c r="S34" s="3"/>
    </row>
    <row r="35" spans="1:19" x14ac:dyDescent="0.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9"/>
        <v>4.4341500926398894</v>
      </c>
      <c r="G35" s="1">
        <f t="shared" si="29"/>
        <v>4.3986149800311409</v>
      </c>
      <c r="H35" s="1">
        <f t="shared" si="29"/>
        <v>4.3997883678972567</v>
      </c>
      <c r="I35" s="1">
        <f t="shared" si="29"/>
        <v>2.8018386412727039</v>
      </c>
      <c r="J35" s="1">
        <f>IF(J31-MAX(F31:I31)&lt;0,J31,MAX(F31:I31))</f>
        <v>1.3261204282284802</v>
      </c>
      <c r="K35" s="1">
        <f>IF(K31-MAX(F31:J31)&lt;0,K31,MAX(F31:J31))</f>
        <v>0.58401069422617224</v>
      </c>
      <c r="L35" s="1">
        <f t="shared" ref="L35:O35" si="31">IF(L31-MAX(G31:K31)&lt;0,L31,MAX(G31:K31))</f>
        <v>4.3997883678972567</v>
      </c>
      <c r="M35" s="1">
        <f t="shared" si="31"/>
        <v>1.9864887614102926</v>
      </c>
      <c r="N35" s="1">
        <f t="shared" si="31"/>
        <v>1.3027683352127579</v>
      </c>
      <c r="O35" s="1">
        <f t="shared" si="31"/>
        <v>1.1739764653971603</v>
      </c>
      <c r="P35" s="1">
        <f>IF(P31-MAX(K31:O31)&lt;0,P31,MAX(K31:O31))</f>
        <v>1.0719830904542269</v>
      </c>
      <c r="Q35" s="1">
        <f>IF(Q31-MAX(L31:P31)&lt;0,Q31,MAX(L31:P31))</f>
        <v>0.91102408939170598</v>
      </c>
      <c r="S35" s="3"/>
    </row>
    <row r="36" spans="1:19" x14ac:dyDescent="0.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8.5270480034799396E-4</v>
      </c>
      <c r="G36" s="1">
        <f>SUM([1]Transport!C$28,[1]Transport_Aviation_Intl!C$12)</f>
        <v>1.56066497904678E-5</v>
      </c>
      <c r="H36" s="1">
        <f>SUM([1]Transport!D$28,[1]Transport_Aviation_Intl!D$12)</f>
        <v>1.0871238673764399E-3</v>
      </c>
      <c r="I36" s="1">
        <f>SUM([1]Transport!E$28,[1]Transport_Aviation_Intl!E$12)</f>
        <v>5.3306678662560181</v>
      </c>
      <c r="J36" s="1">
        <f>IF(J32-MAX(F32:I32)&lt;0,J32,MAX(F32:I32))</f>
        <v>5.3306678662560181</v>
      </c>
      <c r="K36" s="1">
        <f>IF(K32-MAX(G32:J32)&lt;0,K32,MAX(G32:J32))</f>
        <v>18.513486643391385</v>
      </c>
      <c r="L36" s="1">
        <f t="shared" ref="L36:O36" si="32">IF(L32-MAX(H32:K32)&lt;0,L32,MAX(H32:K32))</f>
        <v>38.847445785479252</v>
      </c>
      <c r="M36" s="1">
        <f t="shared" si="32"/>
        <v>68.667311140125989</v>
      </c>
      <c r="N36" s="1">
        <f t="shared" si="32"/>
        <v>95.362658376664115</v>
      </c>
      <c r="O36" s="1">
        <f t="shared" si="32"/>
        <v>95.543984383242602</v>
      </c>
      <c r="P36" s="1">
        <f>IF(P32-MAX(L32:O32)&lt;0,P32,MAX(L32:O32))</f>
        <v>96.256507534484768</v>
      </c>
      <c r="Q36" s="1">
        <f>IF(Q32-MAX(M32:P32)&lt;0,Q32,MAX(M32:P32))</f>
        <v>97.823735322835617</v>
      </c>
      <c r="S36" s="3"/>
    </row>
    <row r="37" spans="1:19" x14ac:dyDescent="0.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33">SUM(G38:G40)</f>
        <v>0</v>
      </c>
      <c r="H37" s="1">
        <f t="shared" si="33"/>
        <v>0</v>
      </c>
      <c r="I37" s="1">
        <f t="shared" si="33"/>
        <v>0</v>
      </c>
      <c r="J37" s="1">
        <f t="shared" si="33"/>
        <v>13.182818777135367</v>
      </c>
      <c r="K37" s="1">
        <f t="shared" si="33"/>
        <v>20.333959142087867</v>
      </c>
      <c r="L37" s="1">
        <f t="shared" ref="L37:O37" si="34">SUM(L38:L40)</f>
        <v>30.827366711097572</v>
      </c>
      <c r="M37" s="1">
        <f t="shared" si="34"/>
        <v>35.395784338693247</v>
      </c>
      <c r="N37" s="1">
        <f t="shared" si="34"/>
        <v>0</v>
      </c>
      <c r="O37" s="1">
        <f t="shared" si="34"/>
        <v>0.71252315124216636</v>
      </c>
      <c r="P37" s="1">
        <f>SUM(P38:P40)</f>
        <v>1.5672277883508485</v>
      </c>
      <c r="Q37" s="1">
        <f>SUM(Q38:Q40)</f>
        <v>1.5793309038765102</v>
      </c>
      <c r="S37" s="3"/>
    </row>
    <row r="38" spans="1:19" x14ac:dyDescent="0.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5">J30-J34</f>
        <v>0</v>
      </c>
      <c r="K38" s="1">
        <f t="shared" si="35"/>
        <v>0</v>
      </c>
      <c r="L38" s="1">
        <f t="shared" ref="L38:O38" si="36">L30-L34</f>
        <v>0.85020991351814246</v>
      </c>
      <c r="M38" s="1">
        <f t="shared" si="36"/>
        <v>8.5191110955766334</v>
      </c>
      <c r="N38" s="1">
        <f t="shared" si="36"/>
        <v>0</v>
      </c>
      <c r="O38" s="1">
        <f t="shared" si="36"/>
        <v>0</v>
      </c>
      <c r="P38" s="1">
        <f t="shared" ref="P38:Q40" si="37">P30-P34</f>
        <v>0</v>
      </c>
      <c r="Q38" s="1">
        <f t="shared" si="37"/>
        <v>0</v>
      </c>
      <c r="S38" s="3"/>
    </row>
    <row r="39" spans="1:19" x14ac:dyDescent="0.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5"/>
        <v>0</v>
      </c>
      <c r="K39" s="1">
        <f t="shared" si="35"/>
        <v>0</v>
      </c>
      <c r="L39" s="1">
        <f t="shared" ref="L39:O39" si="38">L31-L35</f>
        <v>0.15729144293269215</v>
      </c>
      <c r="M39" s="1">
        <f t="shared" si="38"/>
        <v>0</v>
      </c>
      <c r="N39" s="1">
        <f t="shared" si="38"/>
        <v>0</v>
      </c>
      <c r="O39" s="1">
        <f t="shared" si="38"/>
        <v>0</v>
      </c>
      <c r="P39" s="1">
        <f t="shared" si="37"/>
        <v>0</v>
      </c>
      <c r="Q39" s="1">
        <f t="shared" si="37"/>
        <v>0</v>
      </c>
      <c r="S39" s="3"/>
    </row>
    <row r="40" spans="1:19" x14ac:dyDescent="0.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5"/>
        <v>13.182818777135367</v>
      </c>
      <c r="K40" s="1">
        <f t="shared" si="35"/>
        <v>20.333959142087867</v>
      </c>
      <c r="L40" s="1">
        <f t="shared" ref="L40:O40" si="39">L32-L36</f>
        <v>29.819865354646737</v>
      </c>
      <c r="M40" s="1">
        <f t="shared" si="39"/>
        <v>26.876673243116613</v>
      </c>
      <c r="N40" s="1">
        <f t="shared" si="39"/>
        <v>0</v>
      </c>
      <c r="O40" s="1">
        <f t="shared" si="39"/>
        <v>0.71252315124216636</v>
      </c>
      <c r="P40" s="1">
        <f t="shared" si="37"/>
        <v>1.5672277883508485</v>
      </c>
      <c r="Q40" s="1">
        <f t="shared" si="37"/>
        <v>1.5793309038765102</v>
      </c>
      <c r="S40" s="3"/>
    </row>
    <row r="41" spans="1:19" x14ac:dyDescent="0.5">
      <c r="A41" s="5" t="str">
        <f t="shared" ref="A41:C42" si="40">A28</f>
        <v>STEM</v>
      </c>
      <c r="B41" s="5" t="str">
        <f t="shared" si="40"/>
        <v>SPS1</v>
      </c>
      <c r="C41" s="5" t="str">
        <f t="shared" si="40"/>
        <v>CH</v>
      </c>
      <c r="D41" t="s">
        <v>783</v>
      </c>
      <c r="E41" t="s">
        <v>8</v>
      </c>
      <c r="F41" s="1">
        <f>F42+F45</f>
        <v>117.02214309978052</v>
      </c>
      <c r="G41" s="1">
        <f t="shared" ref="G41:K41" si="41">G42+G45</f>
        <v>107.23650060008885</v>
      </c>
      <c r="H41" s="1">
        <f t="shared" si="41"/>
        <v>113.20269652541485</v>
      </c>
      <c r="I41" s="1">
        <f t="shared" si="41"/>
        <v>109.99426752549738</v>
      </c>
      <c r="J41" s="1">
        <f t="shared" si="41"/>
        <v>97.971280990002811</v>
      </c>
      <c r="K41" s="1">
        <f t="shared" si="41"/>
        <v>99.347276935313204</v>
      </c>
      <c r="L41" s="1">
        <f t="shared" ref="L41:O41" si="42">L42+L45</f>
        <v>85.811461303943219</v>
      </c>
      <c r="M41" s="1">
        <f t="shared" si="42"/>
        <v>44.340545440620019</v>
      </c>
      <c r="N41" s="1">
        <f t="shared" si="42"/>
        <v>31.420282054672462</v>
      </c>
      <c r="O41" s="1">
        <f t="shared" si="42"/>
        <v>35.21679644603072</v>
      </c>
      <c r="P41" s="1">
        <f>P42+P45</f>
        <v>39.355143593728457</v>
      </c>
      <c r="Q41" s="1">
        <f>Q42+Q45</f>
        <v>41.173956096959976</v>
      </c>
      <c r="S41" s="3"/>
    </row>
    <row r="42" spans="1:19" x14ac:dyDescent="0.5">
      <c r="A42" s="5" t="str">
        <f t="shared" si="40"/>
        <v>STEM</v>
      </c>
      <c r="B42" s="5" t="str">
        <f t="shared" si="40"/>
        <v>SPS1</v>
      </c>
      <c r="C42" s="5" t="str">
        <f t="shared" si="40"/>
        <v>CH</v>
      </c>
      <c r="D42" t="s">
        <v>549</v>
      </c>
      <c r="E42" t="s">
        <v>8</v>
      </c>
      <c r="F42" s="1">
        <f>F43+F44</f>
        <v>117.02214309978052</v>
      </c>
      <c r="G42" s="1">
        <f t="shared" ref="G42:K42" si="43">G43+G44</f>
        <v>106.72000036986759</v>
      </c>
      <c r="H42" s="1">
        <f t="shared" si="43"/>
        <v>112.03555507471447</v>
      </c>
      <c r="I42" s="1">
        <f t="shared" si="43"/>
        <v>105.62750955198365</v>
      </c>
      <c r="J42" s="1">
        <f t="shared" si="43"/>
        <v>92.041779859627297</v>
      </c>
      <c r="K42" s="1">
        <f t="shared" si="43"/>
        <v>91.119583199691647</v>
      </c>
      <c r="L42" s="1">
        <f t="shared" ref="L42:O42" si="44">L43+L44</f>
        <v>74.207450914652782</v>
      </c>
      <c r="M42" s="1">
        <f t="shared" si="44"/>
        <v>27.775893973264321</v>
      </c>
      <c r="N42" s="1">
        <f t="shared" si="44"/>
        <v>7.5671826911839801</v>
      </c>
      <c r="O42" s="1">
        <f t="shared" si="44"/>
        <v>2.8309847025674197</v>
      </c>
      <c r="P42" s="1">
        <f>P43+P44</f>
        <v>1.7987827623304833</v>
      </c>
      <c r="Q42" s="1">
        <f>Q43+Q44</f>
        <v>6.6456295767210643E-3</v>
      </c>
      <c r="S42" s="3"/>
    </row>
    <row r="43" spans="1:19" x14ac:dyDescent="0.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117.02214309978052</v>
      </c>
      <c r="G43" s="1" cm="1">
        <f t="array" ref="G43">SUMPRODUCT(("NGA"=[1]OUT_PrimaryEnergyCons!$C$4:$C$10000)*1,[1]OUT_PrimaryEnergyCons!E$4:E$10000)</f>
        <v>106.72000036986759</v>
      </c>
      <c r="H43" s="1" cm="1">
        <f t="array" ref="H43">SUMPRODUCT(("NGA"=[1]OUT_PrimaryEnergyCons!$C$4:$C$10000)*1,[1]OUT_PrimaryEnergyCons!F$4:F$10000)</f>
        <v>112.03555507471447</v>
      </c>
      <c r="I43" s="1" cm="1">
        <f t="array" ref="I43">SUMPRODUCT(("NGA"=[1]OUT_PrimaryEnergyCons!$C$4:$C$10000)*1,[1]OUT_PrimaryEnergyCons!G$4:G$10000)</f>
        <v>105.62715434040136</v>
      </c>
      <c r="J43" s="1" cm="1">
        <f t="array" ref="J43">SUMPRODUCT(("NGA"=[1]OUT_PrimaryEnergyCons!$C$4:$C$10000)*1,[1]OUT_PrimaryEnergyCons!H$4:H$10000)</f>
        <v>92.040410439736192</v>
      </c>
      <c r="K43" s="1" cm="1">
        <f t="array" ref="K43">SUMPRODUCT(("NGA"=[1]OUT_PrimaryEnergyCons!$C$4:$C$10000)*1,[1]OUT_PrimaryEnergyCons!I$4:I$10000)</f>
        <v>91.118716356175369</v>
      </c>
      <c r="L43" s="1" cm="1">
        <f t="array" ref="L43">SUMPRODUCT(("NGA"=[1]OUT_PrimaryEnergyCons!$C$4:$C$10000)*1,[1]OUT_PrimaryEnergyCons!J$4:J$10000)</f>
        <v>74.206848820937779</v>
      </c>
      <c r="M43" s="1" cm="1">
        <f t="array" ref="M43">SUMPRODUCT(("NGA"=[1]OUT_PrimaryEnergyCons!$C$4:$C$10000)*1,[1]OUT_PrimaryEnergyCons!K$4:K$10000)</f>
        <v>27.775405035098963</v>
      </c>
      <c r="N43" s="1" cm="1">
        <f t="array" ref="N43">SUMPRODUCT(("NGA"=[1]OUT_PrimaryEnergyCons!$C$4:$C$10000)*1,[1]OUT_PrimaryEnergyCons!L$4:L$10000)</f>
        <v>7.5665043891983572</v>
      </c>
      <c r="O43" s="1" cm="1">
        <f t="array" ref="O43">SUMPRODUCT(("NGA"=[1]OUT_PrimaryEnergyCons!$C$4:$C$10000)*1,[1]OUT_PrimaryEnergyCons!M$4:M$10000)</f>
        <v>2.8274550878010878</v>
      </c>
      <c r="P43" s="1" cm="1">
        <f t="array" ref="P43">SUMPRODUCT(("NGA"=[1]OUT_PrimaryEnergyCons!$C$4:$C$10000)*1,[1]OUT_PrimaryEnergyCons!N$4:N$10000)</f>
        <v>1.7961803982808688</v>
      </c>
      <c r="Q43" s="1" cm="1">
        <f t="array" ref="Q43">SUMPRODUCT(("NGA"=[1]OUT_PrimaryEnergyCons!$C$4:$C$10000)*1,[1]OUT_PrimaryEnergyCons!O$4:O$10000)</f>
        <v>3.1654035029804154E-3</v>
      </c>
      <c r="S43" s="3"/>
    </row>
    <row r="44" spans="1:19" x14ac:dyDescent="0.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3.5521158228773514E-4</v>
      </c>
      <c r="J44" s="1" cm="1">
        <f t="array" ref="J44">SUMPRODUCT(("LNGA"=[1]OUT_PrimaryEnergyCons!$C$4:$C$10000)*1,[1]OUT_PrimaryEnergyCons!H$4:H$10000)</f>
        <v>1.3694198911072901E-3</v>
      </c>
      <c r="K44" s="1" cm="1">
        <f t="array" ref="K44">SUMPRODUCT(("LNGA"=[1]OUT_PrimaryEnergyCons!$C$4:$C$10000)*1,[1]OUT_PrimaryEnergyCons!I$4:I$10000)</f>
        <v>8.6684351627615741E-4</v>
      </c>
      <c r="L44" s="1" cm="1">
        <f t="array" ref="L44">SUMPRODUCT(("LNGA"=[1]OUT_PrimaryEnergyCons!$C$4:$C$10000)*1,[1]OUT_PrimaryEnergyCons!J$4:J$10000)</f>
        <v>6.0209371500042643E-4</v>
      </c>
      <c r="M44" s="1" cm="1">
        <f t="array" ref="M44">SUMPRODUCT(("LNGA"=[1]OUT_PrimaryEnergyCons!$C$4:$C$10000)*1,[1]OUT_PrimaryEnergyCons!K$4:K$10000)</f>
        <v>4.8893816535909216E-4</v>
      </c>
      <c r="N44" s="1" cm="1">
        <f t="array" ref="N44">SUMPRODUCT(("LNGA"=[1]OUT_PrimaryEnergyCons!$C$4:$C$10000)*1,[1]OUT_PrimaryEnergyCons!L$4:L$10000)</f>
        <v>6.7830198562312746E-4</v>
      </c>
      <c r="O44" s="1" cm="1">
        <f t="array" ref="O44">SUMPRODUCT(("LNGA"=[1]OUT_PrimaryEnergyCons!$C$4:$C$10000)*1,[1]OUT_PrimaryEnergyCons!M$4:M$10000)</f>
        <v>3.5296147663317909E-3</v>
      </c>
      <c r="P44" s="1" cm="1">
        <f t="array" ref="P44">SUMPRODUCT(("LNGA"=[1]OUT_PrimaryEnergyCons!$C$4:$C$10000)*1,[1]OUT_PrimaryEnergyCons!N$4:N$10000)</f>
        <v>2.6023640496144894E-3</v>
      </c>
      <c r="Q44" s="1" cm="1">
        <f t="array" ref="Q44">SUMPRODUCT(("LNGA"=[1]OUT_PrimaryEnergyCons!$C$4:$C$10000)*1,[1]OUT_PrimaryEnergyCons!O$4:O$10000)</f>
        <v>3.4802260737406489E-3</v>
      </c>
      <c r="S44" s="3"/>
    </row>
    <row r="45" spans="1:19" x14ac:dyDescent="0.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0.51650023022125924</v>
      </c>
      <c r="H45" s="1" cm="1">
        <f t="array" ref="H45">SUMPRODUCT(("BIO"=[1]OUT_PrimaryEnergyCons!$C$4:$C$10000)*1+("LBIO"=[1]OUT_PrimaryEnergyCons!$C$4:$C$10000)*1,[1]OUT_PrimaryEnergyCons!F$4:F$10000)</f>
        <v>1.1671414507003803</v>
      </c>
      <c r="I45" s="1" cm="1">
        <f t="array" ref="I45">SUMPRODUCT(("BIO"=[1]OUT_PrimaryEnergyCons!$C$4:$C$10000)*1+("LBIO"=[1]OUT_PrimaryEnergyCons!$C$4:$C$10000)*1,[1]OUT_PrimaryEnergyCons!G$4:G$10000)</f>
        <v>4.3667579735137281</v>
      </c>
      <c r="J45" s="1" cm="1">
        <f t="array" ref="J45">SUMPRODUCT(("BIO"=[1]OUT_PrimaryEnergyCons!$C$4:$C$10000)*1+("LBIO"=[1]OUT_PrimaryEnergyCons!$C$4:$C$10000)*1,[1]OUT_PrimaryEnergyCons!H$4:H$10000)</f>
        <v>5.9295011303755096</v>
      </c>
      <c r="K45" s="1" cm="1">
        <f t="array" ref="K45">SUMPRODUCT(("BIO"=[1]OUT_PrimaryEnergyCons!$C$4:$C$10000)*1+("LBIO"=[1]OUT_PrimaryEnergyCons!$C$4:$C$10000)*1,[1]OUT_PrimaryEnergyCons!I$4:I$10000)</f>
        <v>8.2276937356215587</v>
      </c>
      <c r="L45" s="1" cm="1">
        <f t="array" ref="L45">SUMPRODUCT(("BIO"=[1]OUT_PrimaryEnergyCons!$C$4:$C$10000)*1+("LBIO"=[1]OUT_PrimaryEnergyCons!$C$4:$C$10000)*1,[1]OUT_PrimaryEnergyCons!J$4:J$10000)</f>
        <v>11.604010389290444</v>
      </c>
      <c r="M45" s="1" cm="1">
        <f t="array" ref="M45">SUMPRODUCT(("BIO"=[1]OUT_PrimaryEnergyCons!$C$4:$C$10000)*1+("LBIO"=[1]OUT_PrimaryEnergyCons!$C$4:$C$10000)*1,[1]OUT_PrimaryEnergyCons!K$4:K$10000)</f>
        <v>16.564651467355699</v>
      </c>
      <c r="N45" s="1" cm="1">
        <f t="array" ref="N45">SUMPRODUCT(("BIO"=[1]OUT_PrimaryEnergyCons!$C$4:$C$10000)*1+("LBIO"=[1]OUT_PrimaryEnergyCons!$C$4:$C$10000)*1,[1]OUT_PrimaryEnergyCons!L$4:L$10000)</f>
        <v>23.853099363488482</v>
      </c>
      <c r="O45" s="1" cm="1">
        <f t="array" ref="O45">SUMPRODUCT(("BIO"=[1]OUT_PrimaryEnergyCons!$C$4:$C$10000)*1+("LBIO"=[1]OUT_PrimaryEnergyCons!$C$4:$C$10000)*1,[1]OUT_PrimaryEnergyCons!M$4:M$10000)</f>
        <v>32.3858117434633</v>
      </c>
      <c r="P45" s="1" cm="1">
        <f t="array" ref="P45">SUMPRODUCT(("BIO"=[1]OUT_PrimaryEnergyCons!$C$4:$C$10000)*1+("LBIO"=[1]OUT_PrimaryEnergyCons!$C$4:$C$10000)*1,[1]OUT_PrimaryEnergyCons!N$4:N$10000)</f>
        <v>37.556360831397974</v>
      </c>
      <c r="Q45" s="1" cm="1">
        <f t="array" ref="Q45">SUMPRODUCT(("BIO"=[1]OUT_PrimaryEnergyCons!$C$4:$C$10000)*1+("LBIO"=[1]OUT_PrimaryEnergyCons!$C$4:$C$10000)*1,[1]OUT_PrimaryEnergyCons!O$4:O$10000)</f>
        <v>41.167310467383253</v>
      </c>
      <c r="S45" s="3"/>
    </row>
    <row r="46" spans="1:19" x14ac:dyDescent="0.5">
      <c r="A46" s="5" t="str">
        <f t="shared" ref="A46:C47" si="45">A45</f>
        <v>STEM</v>
      </c>
      <c r="B46" s="5" t="str">
        <f t="shared" si="45"/>
        <v>SPS1</v>
      </c>
      <c r="C46" s="5" t="str">
        <f t="shared" si="45"/>
        <v>CH</v>
      </c>
      <c r="D46" t="s">
        <v>785</v>
      </c>
      <c r="E46" t="s">
        <v>8</v>
      </c>
      <c r="F46" s="1">
        <f t="shared" ref="F46:O46" si="46">F47</f>
        <v>0</v>
      </c>
      <c r="G46" s="1">
        <f t="shared" si="46"/>
        <v>0.51650023022125924</v>
      </c>
      <c r="H46" s="1">
        <f t="shared" si="46"/>
        <v>1.1671414507003803</v>
      </c>
      <c r="I46" s="1">
        <f t="shared" si="46"/>
        <v>4.3667579735137281</v>
      </c>
      <c r="J46" s="1">
        <f t="shared" si="46"/>
        <v>4.3667579735137281</v>
      </c>
      <c r="K46" s="1">
        <f t="shared" si="46"/>
        <v>5.9295011303755096</v>
      </c>
      <c r="L46" s="1">
        <f t="shared" si="46"/>
        <v>8.2276937356215587</v>
      </c>
      <c r="M46" s="1">
        <f t="shared" si="46"/>
        <v>11.604010389290444</v>
      </c>
      <c r="N46" s="1">
        <f t="shared" si="46"/>
        <v>16.564651467355699</v>
      </c>
      <c r="O46" s="1">
        <f t="shared" si="46"/>
        <v>23.853099363488482</v>
      </c>
      <c r="P46" s="1">
        <f>P47</f>
        <v>32.3858117434633</v>
      </c>
      <c r="Q46" s="1">
        <f>Q47</f>
        <v>37.556360831397974</v>
      </c>
      <c r="S46" s="3"/>
    </row>
    <row r="47" spans="1:19" x14ac:dyDescent="0.5">
      <c r="A47" s="5" t="str">
        <f t="shared" si="45"/>
        <v>STEM</v>
      </c>
      <c r="B47" s="5" t="str">
        <f t="shared" si="45"/>
        <v>SPS1</v>
      </c>
      <c r="C47" s="5" t="str">
        <f t="shared" si="45"/>
        <v>CH</v>
      </c>
      <c r="D47" t="s">
        <v>611</v>
      </c>
      <c r="E47" t="s">
        <v>8</v>
      </c>
      <c r="F47" s="1">
        <f>F45</f>
        <v>0</v>
      </c>
      <c r="G47" s="1">
        <f>G45</f>
        <v>0.51650023022125924</v>
      </c>
      <c r="H47" s="1">
        <f>H45</f>
        <v>1.1671414507003803</v>
      </c>
      <c r="I47" s="1">
        <f>I45</f>
        <v>4.3667579735137281</v>
      </c>
      <c r="J47" s="1">
        <f>IF(J45-MAX(F45:I45)&lt;0,J45,MAX(F45:I45))</f>
        <v>4.3667579735137281</v>
      </c>
      <c r="K47" s="1">
        <f>IF(K45-MAX(G45:J45)&lt;0,K45,MAX(G45:J45))</f>
        <v>5.9295011303755096</v>
      </c>
      <c r="L47" s="1">
        <f t="shared" ref="L47:O47" si="47">IF(L45-MAX(H45:K45)&lt;0,L45,MAX(H45:K45))</f>
        <v>8.2276937356215587</v>
      </c>
      <c r="M47" s="1">
        <f t="shared" si="47"/>
        <v>11.604010389290444</v>
      </c>
      <c r="N47" s="1">
        <f t="shared" si="47"/>
        <v>16.564651467355699</v>
      </c>
      <c r="O47" s="1">
        <f t="shared" si="47"/>
        <v>23.853099363488482</v>
      </c>
      <c r="P47" s="1">
        <f>IF(P45-MAX(L45:O45)&lt;0,P45,MAX(L45:O45))</f>
        <v>32.3858117434633</v>
      </c>
      <c r="Q47" s="1">
        <f>IF(Q45-MAX(M45:P45)&lt;0,Q45,MAX(M45:P45))</f>
        <v>37.556360831397974</v>
      </c>
      <c r="S47" s="3"/>
    </row>
    <row r="48" spans="1:19" x14ac:dyDescent="0.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O48" si="48">F49</f>
        <v>0</v>
      </c>
      <c r="G48" s="1">
        <f t="shared" si="48"/>
        <v>0</v>
      </c>
      <c r="H48" s="1">
        <f t="shared" si="48"/>
        <v>0</v>
      </c>
      <c r="I48" s="1">
        <f t="shared" si="48"/>
        <v>0</v>
      </c>
      <c r="J48" s="1">
        <f t="shared" si="48"/>
        <v>1.5627431568617816</v>
      </c>
      <c r="K48" s="1">
        <f t="shared" si="48"/>
        <v>2.2981926052460491</v>
      </c>
      <c r="L48" s="1">
        <f t="shared" si="48"/>
        <v>3.3763166536688853</v>
      </c>
      <c r="M48" s="1">
        <f t="shared" si="48"/>
        <v>4.9606410780652546</v>
      </c>
      <c r="N48" s="1">
        <f t="shared" si="48"/>
        <v>7.2884478961327837</v>
      </c>
      <c r="O48" s="1">
        <f t="shared" si="48"/>
        <v>8.5327123799748179</v>
      </c>
      <c r="P48" s="1">
        <f>P49</f>
        <v>5.170549087934674</v>
      </c>
      <c r="Q48" s="1">
        <f>Q49</f>
        <v>3.6109496359852784</v>
      </c>
      <c r="S48" s="3"/>
    </row>
    <row r="49" spans="1:19" x14ac:dyDescent="0.5">
      <c r="A49" s="5" t="str">
        <f t="shared" ref="A49" si="49">A47</f>
        <v>STEM</v>
      </c>
      <c r="B49" s="5" t="str">
        <f t="shared" ref="B49" si="50">B47</f>
        <v>SPS1</v>
      </c>
      <c r="C49" s="5" t="str">
        <f t="shared" ref="C49" si="51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1.5627431568617816</v>
      </c>
      <c r="K49" s="1">
        <f>K45-K47</f>
        <v>2.2981926052460491</v>
      </c>
      <c r="L49" s="1">
        <f t="shared" ref="L49:O49" si="52">L45-L47</f>
        <v>3.3763166536688853</v>
      </c>
      <c r="M49" s="1">
        <f t="shared" si="52"/>
        <v>4.9606410780652546</v>
      </c>
      <c r="N49" s="1">
        <f t="shared" si="52"/>
        <v>7.2884478961327837</v>
      </c>
      <c r="O49" s="1">
        <f t="shared" si="52"/>
        <v>8.5327123799748179</v>
      </c>
      <c r="P49" s="1">
        <f>P45-P47</f>
        <v>5.170549087934674</v>
      </c>
      <c r="Q49" s="1">
        <f>Q45-Q47</f>
        <v>3.6109496359852784</v>
      </c>
      <c r="S49" s="3"/>
    </row>
    <row r="50" spans="1:19" x14ac:dyDescent="0.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250.94818047858206</v>
      </c>
      <c r="G50" s="1" cm="1">
        <f t="array" ref="G50">SUMPRODUCT(("urn"=[1]OUT_PrimaryEnergyCons!$C$4:$C$10000)*1,[1]OUT_PrimaryEnergyCons!E$4:E$10000)</f>
        <v>254.39245084282283</v>
      </c>
      <c r="H50" s="1" cm="1">
        <f t="array" ref="H50">SUMPRODUCT(("urn"=[1]OUT_PrimaryEnergyCons!$C$4:$C$10000)*1,[1]OUT_PrimaryEnergyCons!F$4:F$10000)</f>
        <v>224.18651727165297</v>
      </c>
      <c r="I50" s="1" cm="1">
        <f t="array" ref="I50">SUMPRODUCT(("urn"=[1]OUT_PrimaryEnergyCons!$C$4:$C$10000)*1,[1]OUT_PrimaryEnergyCons!G$4:G$10000)</f>
        <v>221.53741709702854</v>
      </c>
      <c r="J50" s="1" cm="1">
        <f t="array" ref="J50">SUMPRODUCT(("urn"=[1]OUT_PrimaryEnergyCons!$C$4:$C$10000)*1,[1]OUT_PrimaryEnergyCons!H$4:H$10000)</f>
        <v>190.48232501039533</v>
      </c>
      <c r="K50" s="1" cm="1">
        <f t="array" ref="K50">SUMPRODUCT(("urn"=[1]OUT_PrimaryEnergyCons!$C$4:$C$10000)*1,[1]OUT_PrimaryEnergyCons!I$4:I$10000)</f>
        <v>100.03205193756989</v>
      </c>
      <c r="L50" s="1" cm="1">
        <f t="array" ref="L50">SUMPRODUCT(("urn"=[1]OUT_PrimaryEnergyCons!$C$4:$C$10000)*1,[1]OUT_PrimaryEnergyCons!J$4:J$10000)</f>
        <v>0</v>
      </c>
      <c r="M50" s="1" cm="1">
        <f t="array" ref="M50">SUMPRODUCT(("urn"=[1]OUT_PrimaryEnergyCons!$C$4:$C$10000)*1,[1]OUT_PrimaryEnergyCons!K$4:K$10000)</f>
        <v>0</v>
      </c>
      <c r="N50" s="1" cm="1">
        <f t="array" ref="N50">SUMPRODUCT(("urn"=[1]OUT_PrimaryEnergyCons!$C$4:$C$10000)*1,[1]OUT_PrimaryEnergyCons!L$4:L$10000)</f>
        <v>50.720508217805836</v>
      </c>
      <c r="O50" s="1" cm="1">
        <f t="array" ref="O50">SUMPRODUCT(("urn"=[1]OUT_PrimaryEnergyCons!$C$4:$C$10000)*1,[1]OUT_PrimaryEnergyCons!M$4:M$10000)</f>
        <v>111.87545287452093</v>
      </c>
      <c r="P50" s="1" cm="1">
        <f t="array" ref="P50">SUMPRODUCT(("urn"=[1]OUT_PrimaryEnergyCons!$C$4:$C$10000)*1,[1]OUT_PrimaryEnergyCons!N$4:N$10000)</f>
        <v>112.12350870515093</v>
      </c>
      <c r="Q50" s="1" cm="1">
        <f t="array" ref="Q50">SUMPRODUCT(("urn"=[1]OUT_PrimaryEnergyCons!$C$4:$C$10000)*1,[1]OUT_PrimaryEnergyCons!O$4:O$10000)</f>
        <v>112.18734343512277</v>
      </c>
      <c r="S50" s="3"/>
    </row>
    <row r="51" spans="1:19" x14ac:dyDescent="0.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97.16000281337827</v>
      </c>
      <c r="G51" s="1">
        <f t="shared" ref="G51:K51" si="53">SUM(G52:G55)</f>
        <v>50.274204743846212</v>
      </c>
      <c r="H51" s="1">
        <f t="shared" si="53"/>
        <v>50.45179117508836</v>
      </c>
      <c r="I51" s="1">
        <f t="shared" si="53"/>
        <v>45.977746241158918</v>
      </c>
      <c r="J51" s="1">
        <f t="shared" si="53"/>
        <v>42.203356648214083</v>
      </c>
      <c r="K51" s="1">
        <f t="shared" si="53"/>
        <v>55.697842614141379</v>
      </c>
      <c r="L51" s="1">
        <f t="shared" ref="L51:O51" si="54">SUM(L52:L55)</f>
        <v>65.543789056000477</v>
      </c>
      <c r="M51" s="1">
        <f t="shared" si="54"/>
        <v>69.215530832116187</v>
      </c>
      <c r="N51" s="1">
        <f t="shared" si="54"/>
        <v>69.204820764901115</v>
      </c>
      <c r="O51" s="1">
        <f t="shared" si="54"/>
        <v>60.1304959533378</v>
      </c>
      <c r="P51" s="1">
        <f>SUM(P52:P55)</f>
        <v>57.698786831680565</v>
      </c>
      <c r="Q51" s="1">
        <f>SUM(Q52:Q55)</f>
        <v>55.199304920655564</v>
      </c>
      <c r="S51" s="3"/>
    </row>
    <row r="52" spans="1:19" x14ac:dyDescent="0.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15.013806362503384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1.6843048401183881E-2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9.7143289720811304E-3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1.4992718360131139E-2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4.037904235502641E-3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6.2991157495742153E-3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1.0666043405760479E-2</v>
      </c>
      <c r="M52" s="1" cm="1">
        <f t="array" ref="M52">SUMPRODUCT(([1]OUT_Electricity_CHP!$B$1:$B$10000="G-INTC-IMP00-AT")*1,([1]OUT_Electricity_CHP!$C$1:$C$10000="Var_Fout")*1,ISNUMBER(SEARCH("ELC",[1]OUT_Electricity_CHP!$D$1:$D$10000))*1,[1]OUT_Electricity_CHP!L$1:L$10000)</f>
        <v>1.0521332451056294E-2</v>
      </c>
      <c r="N52" s="1" cm="1">
        <f t="array" ref="N52">SUMPRODUCT(([1]OUT_Electricity_CHP!$B$1:$B$10000="G-INTC-IMP00-AT")*1,([1]OUT_Electricity_CHP!$C$1:$C$10000="Var_Fout")*1,ISNUMBER(SEARCH("ELC",[1]OUT_Electricity_CHP!$D$1:$D$10000))*1,[1]OUT_Electricity_CHP!M$1:M$10000)</f>
        <v>1.777890069908876</v>
      </c>
      <c r="O52" s="1" cm="1">
        <f t="array" ref="O52">SUMPRODUCT(([1]OUT_Electricity_CHP!$B$1:$B$10000="G-INTC-IMP00-AT")*1,([1]OUT_Electricity_CHP!$C$1:$C$10000="Var_Fout")*1,ISNUMBER(SEARCH("ELC",[1]OUT_Electricity_CHP!$D$1:$D$10000))*1,[1]OUT_Electricity_CHP!N$1:N$10000)</f>
        <v>8.8778644615239326</v>
      </c>
      <c r="P52" s="1" cm="1">
        <f t="array" ref="P52">SUMPRODUCT(([1]OUT_Electricity_CHP!$B$1:$B$10000="G-INTC-IMP00-AT")*1,([1]OUT_Electricity_CHP!$C$1:$C$10000="Var_Fout")*1,ISNUMBER(SEARCH("ELC",[1]OUT_Electricity_CHP!$D$1:$D$10000))*1,[1]OUT_Electricity_CHP!O$1:O$10000)</f>
        <v>9.2010164753305368</v>
      </c>
      <c r="Q52" s="1" cm="1">
        <f t="array" ref="Q52">SUMPRODUCT(([1]OUT_Electricity_CHP!$B$1:$B$10000="G-INTC-IMP00-AT")*1,([1]OUT_Electricity_CHP!$C$1:$C$10000="Var_Fout")*1,ISNUMBER(SEARCH("ELC",[1]OUT_Electricity_CHP!$D$1:$D$10000))*1,[1]OUT_Electricity_CHP!P$1:P$10000)</f>
        <v>8.2404986013922592</v>
      </c>
      <c r="S52" s="3"/>
    </row>
    <row r="53" spans="1:19" x14ac:dyDescent="0.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28.948621866347789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21.31304504423159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26.506195347079775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15.516188633606582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23.906982859771272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30.096243590167081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38.588206615034615</v>
      </c>
      <c r="M53" s="1" cm="1">
        <f t="array" ref="M53">SUMPRODUCT(([1]OUT_Electricity_CHP!$B$1:$B$10000="G-INTC-IMP00-fr")*1,([1]OUT_Electricity_CHP!$C$1:$C$10000="Var_Fout")*1,ISNUMBER(SEARCH("ELC",[1]OUT_Electricity_CHP!$D$1:$D$10000))*1,[1]OUT_Electricity_CHP!L$1:L$10000)</f>
        <v>50.548370994261781</v>
      </c>
      <c r="N53" s="1" cm="1">
        <f t="array" ref="N53">SUMPRODUCT(([1]OUT_Electricity_CHP!$B$1:$B$10000="G-INTC-IMP00-fr")*1,([1]OUT_Electricity_CHP!$C$1:$C$10000="Var_Fout")*1,ISNUMBER(SEARCH("ELC",[1]OUT_Electricity_CHP!$D$1:$D$10000))*1,[1]OUT_Electricity_CHP!M$1:M$10000)</f>
        <v>49.655671029404324</v>
      </c>
      <c r="O53" s="1" cm="1">
        <f t="array" ref="O53">SUMPRODUCT(([1]OUT_Electricity_CHP!$B$1:$B$10000="G-INTC-IMP00-fr")*1,([1]OUT_Electricity_CHP!$C$1:$C$10000="Var_Fout")*1,ISNUMBER(SEARCH("ELC",[1]OUT_Electricity_CHP!$D$1:$D$10000))*1,[1]OUT_Electricity_CHP!N$1:N$10000)</f>
        <v>47.248198634714392</v>
      </c>
      <c r="P53" s="1" cm="1">
        <f t="array" ref="P53">SUMPRODUCT(([1]OUT_Electricity_CHP!$B$1:$B$10000="G-INTC-IMP00-fr")*1,([1]OUT_Electricity_CHP!$C$1:$C$10000="Var_Fout")*1,ISNUMBER(SEARCH("ELC",[1]OUT_Electricity_CHP!$D$1:$D$10000))*1,[1]OUT_Electricity_CHP!O$1:O$10000)</f>
        <v>46.672101736545997</v>
      </c>
      <c r="Q53" s="1" cm="1">
        <f t="array" ref="Q53">SUMPRODUCT(([1]OUT_Electricity_CHP!$B$1:$B$10000="G-INTC-IMP00-fr")*1,([1]OUT_Electricity_CHP!$C$1:$C$10000="Var_Fout")*1,ISNUMBER(SEARCH("ELC",[1]OUT_Electricity_CHP!$D$1:$D$10000))*1,[1]OUT_Electricity_CHP!P$1:P$10000)</f>
        <v>45.243379037105584</v>
      </c>
      <c r="S53" s="3"/>
    </row>
    <row r="54" spans="1:19" x14ac:dyDescent="0.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46.398476296235636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28.943969240112633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23.935571352214847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30.446421884846163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18.29214094634213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25.595077148884414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26.944676526101755</v>
      </c>
      <c r="M54" s="1" cm="1">
        <f t="array" ref="M54">SUMPRODUCT(([1]OUT_Electricity_CHP!$B$1:$B$10000="G-INTC-IMP00-de")*1,([1]OUT_Electricity_CHP!$C$1:$C$10000="Var_Fout")*1,ISNUMBER(SEARCH("ELC",[1]OUT_Electricity_CHP!$D$1:$D$10000))*1,[1]OUT_Electricity_CHP!L$1:L$10000)</f>
        <v>18.656397826821586</v>
      </c>
      <c r="N54" s="1" cm="1">
        <f t="array" ref="N54">SUMPRODUCT(([1]OUT_Electricity_CHP!$B$1:$B$10000="G-INTC-IMP00-de")*1,([1]OUT_Electricity_CHP!$C$1:$C$10000="Var_Fout")*1,ISNUMBER(SEARCH("ELC",[1]OUT_Electricity_CHP!$D$1:$D$10000))*1,[1]OUT_Electricity_CHP!M$1:M$10000)</f>
        <v>17.771069792529804</v>
      </c>
      <c r="O54" s="1" cm="1">
        <f t="array" ref="O54">SUMPRODUCT(([1]OUT_Electricity_CHP!$B$1:$B$10000="G-INTC-IMP00-de")*1,([1]OUT_Electricity_CHP!$C$1:$C$10000="Var_Fout")*1,ISNUMBER(SEARCH("ELC",[1]OUT_Electricity_CHP!$D$1:$D$10000))*1,[1]OUT_Electricity_CHP!N$1:N$10000)</f>
        <v>4.0042178471440852</v>
      </c>
      <c r="P54" s="1" cm="1">
        <f t="array" ref="P54">SUMPRODUCT(([1]OUT_Electricity_CHP!$B$1:$B$10000="G-INTC-IMP00-de")*1,([1]OUT_Electricity_CHP!$C$1:$C$10000="Var_Fout")*1,ISNUMBER(SEARCH("ELC",[1]OUT_Electricity_CHP!$D$1:$D$10000))*1,[1]OUT_Electricity_CHP!O$1:O$10000)</f>
        <v>1.8254606981216426</v>
      </c>
      <c r="Q54" s="1" cm="1">
        <f t="array" ref="Q54">SUMPRODUCT(([1]OUT_Electricity_CHP!$B$1:$B$10000="G-INTC-IMP00-de")*1,([1]OUT_Electricity_CHP!$C$1:$C$10000="Var_Fout")*1,ISNUMBER(SEARCH("ELC",[1]OUT_Electricity_CHP!$D$1:$D$10000))*1,[1]OUT_Electricity_CHP!P$1:P$10000)</f>
        <v>1.715075502174054</v>
      </c>
      <c r="S54" s="3"/>
    </row>
    <row r="55" spans="1:19" x14ac:dyDescent="0.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6.7990982882914626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3.474111008020381E-4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3.1014682166350332E-4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1.4300434604661304E-4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1.9493786517779297E-4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2.2275934030754449E-4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2.3987145834649079E-4</v>
      </c>
      <c r="M55" s="1" cm="1">
        <f t="array" ref="M55">SUMPRODUCT(([1]OUT_Electricity_CHP!$B$1:$B$10000="G-INTC-IMP00-it")*1,([1]OUT_Electricity_CHP!$C$1:$C$10000="Var_Fout")*1,ISNUMBER(SEARCH("ELC",[1]OUT_Electricity_CHP!$D$1:$D$10000))*1,[1]OUT_Electricity_CHP!L$1:L$10000)</f>
        <v>2.4067858176497964E-4</v>
      </c>
      <c r="N55" s="1" cm="1">
        <f t="array" ref="N55">SUMPRODUCT(([1]OUT_Electricity_CHP!$B$1:$B$10000="G-INTC-IMP00-it")*1,([1]OUT_Electricity_CHP!$C$1:$C$10000="Var_Fout")*1,ISNUMBER(SEARCH("ELC",[1]OUT_Electricity_CHP!$D$1:$D$10000))*1,[1]OUT_Electricity_CHP!M$1:M$10000)</f>
        <v>1.8987305811119751E-4</v>
      </c>
      <c r="O55" s="1" cm="1">
        <f t="array" ref="O55">SUMPRODUCT(([1]OUT_Electricity_CHP!$B$1:$B$10000="G-INTC-IMP00-it")*1,([1]OUT_Electricity_CHP!$C$1:$C$10000="Var_Fout")*1,ISNUMBER(SEARCH("ELC",[1]OUT_Electricity_CHP!$D$1:$D$10000))*1,[1]OUT_Electricity_CHP!N$1:N$10000)</f>
        <v>2.1500995538750937E-4</v>
      </c>
      <c r="P55" s="1" cm="1">
        <f t="array" ref="P55">SUMPRODUCT(([1]OUT_Electricity_CHP!$B$1:$B$10000="G-INTC-IMP00-it")*1,([1]OUT_Electricity_CHP!$C$1:$C$10000="Var_Fout")*1,ISNUMBER(SEARCH("ELC",[1]OUT_Electricity_CHP!$D$1:$D$10000))*1,[1]OUT_Electricity_CHP!O$1:O$10000)</f>
        <v>2.0792168238955558E-4</v>
      </c>
      <c r="Q55" s="1" cm="1">
        <f t="array" ref="Q55">SUMPRODUCT(([1]OUT_Electricity_CHP!$B$1:$B$10000="G-INTC-IMP00-it")*1,([1]OUT_Electricity_CHP!$C$1:$C$10000="Var_Fout")*1,ISNUMBER(SEARCH("ELC",[1]OUT_Electricity_CHP!$D$1:$D$10000))*1,[1]OUT_Electricity_CHP!P$1:P$10000)</f>
        <v>3.5177998367068184E-4</v>
      </c>
      <c r="S55" s="3"/>
    </row>
    <row r="56" spans="1:19" x14ac:dyDescent="0.5">
      <c r="A56" s="5" t="str">
        <f t="shared" ref="A56" si="55">A55</f>
        <v>STEM</v>
      </c>
      <c r="B56" s="5" t="str">
        <f t="shared" ref="B56" si="56">B55</f>
        <v>SPS1</v>
      </c>
      <c r="C56" s="5" t="str">
        <f t="shared" ref="C56" si="57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5.4832120619479729</v>
      </c>
      <c r="L56" s="1" cm="1">
        <f t="array" ref="L56">SUMPRODUCT(("h2"=[1]OUT_PrimaryEnergyCons!$C$4:$C$10000)*1,[1]OUT_PrimaryEnergyCons!J$4:J$10000)</f>
        <v>9.2130894171516964</v>
      </c>
      <c r="M56" s="1" cm="1">
        <f t="array" ref="M56">SUMPRODUCT(("h2"=[1]OUT_PrimaryEnergyCons!$C$4:$C$10000)*1,[1]OUT_PrimaryEnergyCons!K$4:K$10000)</f>
        <v>9.983166329304618</v>
      </c>
      <c r="N56" s="1" cm="1">
        <f t="array" ref="N56">SUMPRODUCT(("h2"=[1]OUT_PrimaryEnergyCons!$C$4:$C$10000)*1,[1]OUT_PrimaryEnergyCons!L$4:L$10000)</f>
        <v>6.7781602497908251</v>
      </c>
      <c r="O56" s="1" cm="1">
        <f t="array" ref="O56">SUMPRODUCT(("h2"=[1]OUT_PrimaryEnergyCons!$C$4:$C$10000)*1,[1]OUT_PrimaryEnergyCons!M$4:M$10000)</f>
        <v>5.0933526685761707</v>
      </c>
      <c r="P56" s="1" cm="1">
        <f t="array" ref="P56">SUMPRODUCT(("h2"=[1]OUT_PrimaryEnergyCons!$C$4:$C$10000)*1,[1]OUT_PrimaryEnergyCons!N$4:N$10000)</f>
        <v>5.1804148504070104</v>
      </c>
      <c r="Q56" s="1" cm="1">
        <f t="array" ref="Q56">SUMPRODUCT(("h2"=[1]OUT_PrimaryEnergyCons!$C$4:$C$10000)*1,[1]OUT_PrimaryEnergyCons!O$4:O$10000)</f>
        <v>5.0701936112871593</v>
      </c>
      <c r="S56" s="3"/>
    </row>
    <row r="57" spans="1:19" x14ac:dyDescent="0.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117.17000367231168</v>
      </c>
      <c r="G57" s="3">
        <f t="shared" ref="G57:O57" si="58">G58</f>
        <v>35.633049892399249</v>
      </c>
      <c r="H57" s="3">
        <f t="shared" si="58"/>
        <v>64.430559319954995</v>
      </c>
      <c r="I57" s="3">
        <f t="shared" si="58"/>
        <v>69.844065671203708</v>
      </c>
      <c r="J57" s="3">
        <f t="shared" si="58"/>
        <v>50.635688360714759</v>
      </c>
      <c r="K57" s="3">
        <f t="shared" si="58"/>
        <v>36.223698384720699</v>
      </c>
      <c r="L57" s="3">
        <f t="shared" si="58"/>
        <v>19.052904900610276</v>
      </c>
      <c r="M57" s="3">
        <f t="shared" si="58"/>
        <v>14.015880045901506</v>
      </c>
      <c r="N57" s="3">
        <f t="shared" si="58"/>
        <v>23.702734602864322</v>
      </c>
      <c r="O57" s="3">
        <f t="shared" si="58"/>
        <v>37.849362506583354</v>
      </c>
      <c r="P57" s="3">
        <f>P58</f>
        <v>37.586509669262519</v>
      </c>
      <c r="Q57" s="3">
        <f>Q58</f>
        <v>37.896052517501268</v>
      </c>
      <c r="R57" s="1"/>
      <c r="S57" s="3"/>
    </row>
    <row r="58" spans="1:19" x14ac:dyDescent="0.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117.17000367231168</v>
      </c>
      <c r="G58" s="1">
        <f t="shared" ref="G58:K58" si="59">SUM(G59:G62)</f>
        <v>35.633049892399249</v>
      </c>
      <c r="H58" s="1">
        <f t="shared" si="59"/>
        <v>64.430559319954995</v>
      </c>
      <c r="I58" s="1">
        <f t="shared" si="59"/>
        <v>69.844065671203708</v>
      </c>
      <c r="J58" s="1">
        <f t="shared" si="59"/>
        <v>50.635688360714759</v>
      </c>
      <c r="K58" s="1">
        <f t="shared" si="59"/>
        <v>36.223698384720699</v>
      </c>
      <c r="L58" s="1">
        <f t="shared" ref="L58:O58" si="60">SUM(L59:L62)</f>
        <v>19.052904900610276</v>
      </c>
      <c r="M58" s="1">
        <f t="shared" si="60"/>
        <v>14.015880045901506</v>
      </c>
      <c r="N58" s="1">
        <f t="shared" si="60"/>
        <v>23.702734602864322</v>
      </c>
      <c r="O58" s="1">
        <f t="shared" si="60"/>
        <v>37.849362506583354</v>
      </c>
      <c r="P58" s="1">
        <f>SUM(P59:P62)</f>
        <v>37.586509669262519</v>
      </c>
      <c r="Q58" s="1">
        <f>SUM(Q59:Q62)</f>
        <v>37.896052517501268</v>
      </c>
      <c r="S58" s="3"/>
    </row>
    <row r="59" spans="1:19" x14ac:dyDescent="0.5">
      <c r="A59" s="5" t="str">
        <f t="shared" ref="A59:A63" si="61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62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6.2295561852677572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5.1680798113074586E-4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6.6061671306732691E-4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1.6475798015434611E-4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2.4052570758595297E-4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2.1499219052170535E-4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1.6942554318527658E-4</v>
      </c>
      <c r="M59" s="1" cm="1">
        <f t="array" ref="M59">SUMPRODUCT(([1]OUT_Electricity_CHP!$B$1:$B$10000="G-INTC-exp00-AT")*1,([1]OUT_Electricity_CHP!$C$1:$C$10000="Var_Fout")*1,ISNUMBER(SEARCH("ELC",[1]OUT_Electricity_CHP!$D$1:$D$10000))*1,[1]OUT_Electricity_CHP!L$1:L$10000)</f>
        <v>1.5336443891983824E-4</v>
      </c>
      <c r="N59" s="1" cm="1">
        <f t="array" ref="N59">SUMPRODUCT(([1]OUT_Electricity_CHP!$B$1:$B$10000="G-INTC-exp00-AT")*1,([1]OUT_Electricity_CHP!$C$1:$C$10000="Var_Fout")*1,ISNUMBER(SEARCH("ELC",[1]OUT_Electricity_CHP!$D$1:$D$10000))*1,[1]OUT_Electricity_CHP!M$1:M$10000)</f>
        <v>8.8925420043909316E-5</v>
      </c>
      <c r="O59" s="1" cm="1">
        <f t="array" ref="O59">SUMPRODUCT(([1]OUT_Electricity_CHP!$B$1:$B$10000="G-INTC-exp00-AT")*1,([1]OUT_Electricity_CHP!$C$1:$C$10000="Var_Fout")*1,ISNUMBER(SEARCH("ELC",[1]OUT_Electricity_CHP!$D$1:$D$10000))*1,[1]OUT_Electricity_CHP!N$1:N$10000)</f>
        <v>1.123932610713685E-4</v>
      </c>
      <c r="P59" s="1" cm="1">
        <f t="array" ref="P59">SUMPRODUCT(([1]OUT_Electricity_CHP!$B$1:$B$10000="G-INTC-exp00-AT")*1,([1]OUT_Electricity_CHP!$C$1:$C$10000="Var_Fout")*1,ISNUMBER(SEARCH("ELC",[1]OUT_Electricity_CHP!$D$1:$D$10000))*1,[1]OUT_Electricity_CHP!O$1:O$10000)</f>
        <v>1.0602078086032926E-4</v>
      </c>
      <c r="Q59" s="1" cm="1">
        <f t="array" ref="Q59">SUMPRODUCT(([1]OUT_Electricity_CHP!$B$1:$B$10000="G-INTC-exp00-AT")*1,([1]OUT_Electricity_CHP!$C$1:$C$10000="Var_Fout")*1,ISNUMBER(SEARCH("ELC",[1]OUT_Electricity_CHP!$D$1:$D$10000))*1,[1]OUT_Electricity_CHP!P$1:P$10000)</f>
        <v>1.7964122028944673E-4</v>
      </c>
      <c r="S59" s="3"/>
    </row>
    <row r="60" spans="1:19" x14ac:dyDescent="0.5">
      <c r="A60" s="5" t="str">
        <f t="shared" si="61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62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12.753359335635624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3.8092872286710227E-4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3.8611674132682815E-4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3.3085825821208383E-4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4.8050022933375779E-4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2.7246111996884621E-4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2.1328123702337077E-4</v>
      </c>
      <c r="M60" s="1" cm="1">
        <f t="array" ref="M60">SUMPRODUCT(([1]OUT_Electricity_CHP!$B$1:$B$10000="G-INTC-exp00-fr")*1,([1]OUT_Electricity_CHP!$C$1:$C$10000="Var_Fout")*1,ISNUMBER(SEARCH("ELC",[1]OUT_Electricity_CHP!$D$1:$D$10000))*1,[1]OUT_Electricity_CHP!L$1:L$10000)</f>
        <v>2.7068711674010487E-4</v>
      </c>
      <c r="N60" s="1" cm="1">
        <f t="array" ref="N60">SUMPRODUCT(([1]OUT_Electricity_CHP!$B$1:$B$10000="G-INTC-exp00-fr")*1,([1]OUT_Electricity_CHP!$C$1:$C$10000="Var_Fout")*1,ISNUMBER(SEARCH("ELC",[1]OUT_Electricity_CHP!$D$1:$D$10000))*1,[1]OUT_Electricity_CHP!M$1:M$10000)</f>
        <v>2.6715901539482359E-4</v>
      </c>
      <c r="O60" s="1" cm="1">
        <f t="array" ref="O60">SUMPRODUCT(([1]OUT_Electricity_CHP!$B$1:$B$10000="G-INTC-exp00-fr")*1,([1]OUT_Electricity_CHP!$C$1:$C$10000="Var_Fout")*1,ISNUMBER(SEARCH("ELC",[1]OUT_Electricity_CHP!$D$1:$D$10000))*1,[1]OUT_Electricity_CHP!N$1:N$10000)</f>
        <v>3.9291538262841216E-4</v>
      </c>
      <c r="P60" s="1" cm="1">
        <f t="array" ref="P60">SUMPRODUCT(([1]OUT_Electricity_CHP!$B$1:$B$10000="G-INTC-exp00-fr")*1,([1]OUT_Electricity_CHP!$C$1:$C$10000="Var_Fout")*1,ISNUMBER(SEARCH("ELC",[1]OUT_Electricity_CHP!$D$1:$D$10000))*1,[1]OUT_Electricity_CHP!O$1:O$10000)</f>
        <v>3.7766044922678716E-4</v>
      </c>
      <c r="Q60" s="1" cm="1">
        <f t="array" ref="Q60">SUMPRODUCT(([1]OUT_Electricity_CHP!$B$1:$B$10000="G-INTC-exp00-fr")*1,([1]OUT_Electricity_CHP!$C$1:$C$10000="Var_Fout")*1,ISNUMBER(SEARCH("ELC",[1]OUT_Electricity_CHP!$D$1:$D$10000))*1,[1]OUT_Electricity_CHP!P$1:P$10000)</f>
        <v>7.9636940975393185E-4</v>
      </c>
      <c r="S60" s="3"/>
    </row>
    <row r="61" spans="1:19" x14ac:dyDescent="0.5">
      <c r="A61" s="5" t="str">
        <f t="shared" si="61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62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26.492980027562634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2.8537975639579251E-4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3.2335649985986196E-4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5.427897043750031E-4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6.4861520254409831E-4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3.8145112045540573E-4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2.7053619071649212E-4</v>
      </c>
      <c r="M61" s="1" cm="1">
        <f t="array" ref="M61">SUMPRODUCT(([1]OUT_Electricity_CHP!$B$1:$B$10000="G-INTC-exp00-de")*1,([1]OUT_Electricity_CHP!$C$1:$C$10000="Var_Fout")*1,ISNUMBER(SEARCH("ELC",[1]OUT_Electricity_CHP!$D$1:$D$10000))*1,[1]OUT_Electricity_CHP!L$1:L$10000)</f>
        <v>2.1973009144588931E-4</v>
      </c>
      <c r="N61" s="1" cm="1">
        <f t="array" ref="N61">SUMPRODUCT(([1]OUT_Electricity_CHP!$B$1:$B$10000="G-INTC-exp00-de")*1,([1]OUT_Electricity_CHP!$C$1:$C$10000="Var_Fout")*1,ISNUMBER(SEARCH("ELC",[1]OUT_Electricity_CHP!$D$1:$D$10000))*1,[1]OUT_Electricity_CHP!M$1:M$10000)</f>
        <v>1.5810332893785857E-4</v>
      </c>
      <c r="O61" s="1" cm="1">
        <f t="array" ref="O61">SUMPRODUCT(([1]OUT_Electricity_CHP!$B$1:$B$10000="G-INTC-exp00-de")*1,([1]OUT_Electricity_CHP!$C$1:$C$10000="Var_Fout")*1,ISNUMBER(SEARCH("ELC",[1]OUT_Electricity_CHP!$D$1:$D$10000))*1,[1]OUT_Electricity_CHP!N$1:N$10000)</f>
        <v>2.9966313140944055E-4</v>
      </c>
      <c r="P61" s="1" cm="1">
        <f t="array" ref="P61">SUMPRODUCT(([1]OUT_Electricity_CHP!$B$1:$B$10000="G-INTC-exp00-de")*1,([1]OUT_Electricity_CHP!$C$1:$C$10000="Var_Fout")*1,ISNUMBER(SEARCH("ELC",[1]OUT_Electricity_CHP!$D$1:$D$10000))*1,[1]OUT_Electricity_CHP!O$1:O$10000)</f>
        <v>2.9752853764822626E-4</v>
      </c>
      <c r="Q61" s="1" cm="1">
        <f t="array" ref="Q61">SUMPRODUCT(([1]OUT_Electricity_CHP!$B$1:$B$10000="G-INTC-exp00-de")*1,([1]OUT_Electricity_CHP!$C$1:$C$10000="Var_Fout")*1,ISNUMBER(SEARCH("ELC",[1]OUT_Electricity_CHP!$D$1:$D$10000))*1,[1]OUT_Electricity_CHP!P$1:P$10000)</f>
        <v>6.1355706226076288E-4</v>
      </c>
      <c r="S61" s="3"/>
    </row>
    <row r="62" spans="1:19" x14ac:dyDescent="0.5">
      <c r="A62" s="5" t="str">
        <f t="shared" si="61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62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71.694108123845666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35.631866775938853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64.429189230000745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69.843027265260972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50.634318719575298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36.222829480289754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19.052251657639349</v>
      </c>
      <c r="M62" s="1" cm="1">
        <f t="array" ref="M62">SUMPRODUCT(([1]OUT_Electricity_CHP!$B$1:$B$10000="G-INTC-exp00-it")*1,([1]OUT_Electricity_CHP!$C$1:$C$10000="Var_Fout")*1,ISNUMBER(SEARCH("ELC",[1]OUT_Electricity_CHP!$D$1:$D$10000))*1,[1]OUT_Electricity_CHP!L$1:L$10000)</f>
        <v>14.0152362642544</v>
      </c>
      <c r="N62" s="1" cm="1">
        <f t="array" ref="N62">SUMPRODUCT(([1]OUT_Electricity_CHP!$B$1:$B$10000="G-INTC-exp00-it")*1,([1]OUT_Electricity_CHP!$C$1:$C$10000="Var_Fout")*1,ISNUMBER(SEARCH("ELC",[1]OUT_Electricity_CHP!$D$1:$D$10000))*1,[1]OUT_Electricity_CHP!M$1:M$10000)</f>
        <v>23.702220415099944</v>
      </c>
      <c r="O62" s="1" cm="1">
        <f t="array" ref="O62">SUMPRODUCT(([1]OUT_Electricity_CHP!$B$1:$B$10000="G-INTC-exp00-it")*1,([1]OUT_Electricity_CHP!$C$1:$C$10000="Var_Fout")*1,ISNUMBER(SEARCH("ELC",[1]OUT_Electricity_CHP!$D$1:$D$10000))*1,[1]OUT_Electricity_CHP!N$1:N$10000)</f>
        <v>37.848557534808243</v>
      </c>
      <c r="P62" s="1" cm="1">
        <f t="array" ref="P62">SUMPRODUCT(([1]OUT_Electricity_CHP!$B$1:$B$10000="G-INTC-exp00-it")*1,([1]OUT_Electricity_CHP!$C$1:$C$10000="Var_Fout")*1,ISNUMBER(SEARCH("ELC",[1]OUT_Electricity_CHP!$D$1:$D$10000))*1,[1]OUT_Electricity_CHP!O$1:O$10000)</f>
        <v>37.585728459494781</v>
      </c>
      <c r="Q62" s="1" cm="1">
        <f t="array" ref="Q62">SUMPRODUCT(([1]OUT_Electricity_CHP!$B$1:$B$10000="G-INTC-exp00-it")*1,([1]OUT_Electricity_CHP!$C$1:$C$10000="Var_Fout")*1,ISNUMBER(SEARCH("ELC",[1]OUT_Electricity_CHP!$D$1:$D$10000))*1,[1]OUT_Electricity_CHP!P$1:P$10000)</f>
        <v>37.894462949808961</v>
      </c>
      <c r="S62" s="3"/>
    </row>
    <row r="63" spans="1:19" x14ac:dyDescent="0.5">
      <c r="A63" s="9" t="str">
        <f t="shared" si="61"/>
        <v>STEM</v>
      </c>
      <c r="B63" s="9" t="str">
        <f t="shared" ref="B63:B64" si="63">B62</f>
        <v>SPS1</v>
      </c>
      <c r="C63" s="2" t="str">
        <f t="shared" ref="C63:C64" si="64">C62</f>
        <v>CH</v>
      </c>
      <c r="D63" s="2" t="s">
        <v>29</v>
      </c>
      <c r="E63" s="2" t="s">
        <v>8</v>
      </c>
      <c r="F63" s="3">
        <f>SUM(F64,F66,F70,F82,F130,F151,F159,F161,F169,F173,F167)</f>
        <v>250.83772510251185</v>
      </c>
      <c r="G63" s="3">
        <f t="shared" ref="G63:K63" si="65">SUM(G64,G66,G74,G82,G130,G151,G159,G161,G169,G173,G167)</f>
        <v>229.64701228502261</v>
      </c>
      <c r="H63" s="3">
        <f t="shared" si="65"/>
        <v>255.08411815548823</v>
      </c>
      <c r="I63" s="3">
        <f t="shared" si="65"/>
        <v>290.88731111807249</v>
      </c>
      <c r="J63" s="3">
        <f t="shared" si="65"/>
        <v>309.08728616173204</v>
      </c>
      <c r="K63" s="3">
        <f t="shared" si="65"/>
        <v>289.68761195332149</v>
      </c>
      <c r="L63" s="3">
        <f t="shared" ref="L63:O63" si="66">SUM(L64,L66,L74,L82,L130,L151,L159,L161,L169,L173,L167)</f>
        <v>270.64382449060219</v>
      </c>
      <c r="M63" s="3">
        <f t="shared" si="66"/>
        <v>281.37297503200114</v>
      </c>
      <c r="N63" s="3">
        <f t="shared" si="66"/>
        <v>306.4632516479889</v>
      </c>
      <c r="O63" s="3">
        <f t="shared" si="66"/>
        <v>335.30819136744509</v>
      </c>
      <c r="P63" s="3">
        <f>SUM(P64,P66,P74,P82,P130,P151,P159,P161,P169,P173,P167)</f>
        <v>338.94465408671289</v>
      </c>
      <c r="Q63" s="3">
        <f>SUM(Q64,Q66,Q74,Q82,Q130,Q151,Q159,Q161,Q169,Q173,Q167)</f>
        <v>341.4672399856147</v>
      </c>
      <c r="S63" s="3"/>
    </row>
    <row r="64" spans="1:19" x14ac:dyDescent="0.5">
      <c r="A64" s="5" t="str">
        <f>A63</f>
        <v>STEM</v>
      </c>
      <c r="B64" s="5" t="str">
        <f t="shared" si="63"/>
        <v>SPS1</v>
      </c>
      <c r="C64" s="5" t="str">
        <f t="shared" si="64"/>
        <v>CH</v>
      </c>
      <c r="D64" t="s">
        <v>791</v>
      </c>
      <c r="E64" t="str">
        <f>E62</f>
        <v>PJ/yr.</v>
      </c>
      <c r="F64" s="1">
        <f>+F65</f>
        <v>82.760001048630002</v>
      </c>
      <c r="G64" s="1">
        <f t="shared" ref="G64:O64" si="67">+G65</f>
        <v>83.109714825674843</v>
      </c>
      <c r="H64" s="1">
        <f t="shared" si="67"/>
        <v>73.079953488373633</v>
      </c>
      <c r="I64" s="1">
        <f t="shared" si="67"/>
        <v>73.079999208152969</v>
      </c>
      <c r="J64" s="1">
        <f t="shared" si="67"/>
        <v>62.876117038081205</v>
      </c>
      <c r="K64" s="1">
        <f t="shared" si="67"/>
        <v>33.168560961832526</v>
      </c>
      <c r="L64" s="1">
        <f t="shared" si="67"/>
        <v>0</v>
      </c>
      <c r="M64" s="1">
        <f t="shared" si="67"/>
        <v>0</v>
      </c>
      <c r="N64" s="1">
        <f t="shared" si="67"/>
        <v>20.054415318973909</v>
      </c>
      <c r="O64" s="1">
        <f t="shared" si="67"/>
        <v>44.116716941345281</v>
      </c>
      <c r="P64" s="1">
        <f>+P65</f>
        <v>44.677768868222245</v>
      </c>
      <c r="Q64" s="1">
        <f>+Q65</f>
        <v>44.778922627620368</v>
      </c>
      <c r="S64" s="3"/>
    </row>
    <row r="65" spans="1:19" x14ac:dyDescent="0.5">
      <c r="A65" s="5" t="str">
        <f t="shared" ref="A65:A149" si="68">A64</f>
        <v>STEM</v>
      </c>
      <c r="B65" s="5" t="str">
        <f t="shared" ref="B65:B149" si="69">B64</f>
        <v>SPS1</v>
      </c>
      <c r="C65" s="5" t="str">
        <f t="shared" ref="C65:C149" si="70">C64</f>
        <v>CH</v>
      </c>
      <c r="D65" t="s">
        <v>30</v>
      </c>
      <c r="E65" t="str">
        <f>E63</f>
        <v>PJ/yr.</v>
      </c>
      <c r="F65" s="1">
        <f>'[1]Electricity and CHPs'!B14</f>
        <v>82.760001048630002</v>
      </c>
      <c r="G65" s="1">
        <f>'[1]Electricity and CHPs'!C14</f>
        <v>83.109714825674843</v>
      </c>
      <c r="H65" s="1">
        <f>'[1]Electricity and CHPs'!D14</f>
        <v>73.079953488373633</v>
      </c>
      <c r="I65" s="1">
        <f>'[1]Electricity and CHPs'!E14</f>
        <v>73.079999208152969</v>
      </c>
      <c r="J65" s="1">
        <f>'[1]Electricity and CHPs'!F14</f>
        <v>62.876117038081205</v>
      </c>
      <c r="K65" s="1">
        <f>'[1]Electricity and CHPs'!G14</f>
        <v>33.168560961832526</v>
      </c>
      <c r="L65" s="1">
        <f>'[1]Electricity and CHPs'!H14</f>
        <v>0</v>
      </c>
      <c r="M65" s="1">
        <f>'[1]Electricity and CHPs'!I14</f>
        <v>0</v>
      </c>
      <c r="N65" s="1">
        <f>'[1]Electricity and CHPs'!J14</f>
        <v>20.054415318973909</v>
      </c>
      <c r="O65" s="1">
        <f>'[1]Electricity and CHPs'!K14</f>
        <v>44.116716941345281</v>
      </c>
      <c r="P65" s="1">
        <f>'[1]Electricity and CHPs'!L14</f>
        <v>44.677768868222245</v>
      </c>
      <c r="Q65" s="1">
        <f>'[1]Electricity and CHPs'!M14</f>
        <v>44.778922627620368</v>
      </c>
      <c r="S65" s="3"/>
    </row>
    <row r="66" spans="1:19" x14ac:dyDescent="0.5">
      <c r="A66" s="5" t="str">
        <f t="shared" si="68"/>
        <v>STEM</v>
      </c>
      <c r="B66" s="5" t="str">
        <f t="shared" si="69"/>
        <v>SPS1</v>
      </c>
      <c r="C66" s="5" t="str">
        <f t="shared" si="70"/>
        <v>CH</v>
      </c>
      <c r="D66" t="s">
        <v>792</v>
      </c>
      <c r="E66" t="str">
        <f>E65</f>
        <v>PJ/yr.</v>
      </c>
      <c r="F66" s="1">
        <f>SUM(F67:F69)</f>
        <v>146.22000217667326</v>
      </c>
      <c r="G66" s="1">
        <f t="shared" ref="G66:K66" si="71">SUM(G67:G69)</f>
        <v>121.59710166301467</v>
      </c>
      <c r="H66" s="1">
        <f t="shared" si="71"/>
        <v>139.78359111273943</v>
      </c>
      <c r="I66" s="1">
        <f t="shared" si="71"/>
        <v>147.93243830678864</v>
      </c>
      <c r="J66" s="1">
        <f t="shared" si="71"/>
        <v>148.22408837805335</v>
      </c>
      <c r="K66" s="1">
        <f t="shared" si="71"/>
        <v>148.27872763368114</v>
      </c>
      <c r="L66" s="1">
        <f t="shared" ref="L66:O66" si="72">SUM(L67:L69)</f>
        <v>148.53381318564971</v>
      </c>
      <c r="M66" s="1">
        <f t="shared" si="72"/>
        <v>148.61454007264035</v>
      </c>
      <c r="N66" s="1">
        <f t="shared" si="72"/>
        <v>148.65496085080949</v>
      </c>
      <c r="O66" s="1">
        <f t="shared" si="72"/>
        <v>149.82745611259924</v>
      </c>
      <c r="P66" s="1">
        <f>SUM(P67:P69)</f>
        <v>150.18880226348031</v>
      </c>
      <c r="Q66" s="1">
        <f>SUM(Q67:Q69)</f>
        <v>150.13386162895034</v>
      </c>
      <c r="S66" s="3"/>
    </row>
    <row r="67" spans="1:19" x14ac:dyDescent="0.5">
      <c r="A67" s="5" t="str">
        <f t="shared" si="68"/>
        <v>STEM</v>
      </c>
      <c r="B67" s="5" t="str">
        <f t="shared" si="69"/>
        <v>SPS1</v>
      </c>
      <c r="C67" s="5" t="str">
        <f t="shared" si="70"/>
        <v>CH</v>
      </c>
      <c r="D67" t="s">
        <v>31</v>
      </c>
      <c r="E67" t="str">
        <f>E65</f>
        <v>PJ/yr.</v>
      </c>
      <c r="F67" s="1">
        <f>'[1]Electricity and CHPs'!B15</f>
        <v>66.745680087465431</v>
      </c>
      <c r="G67" s="1">
        <f>'[1]Electricity and CHPs'!C15</f>
        <v>49.798799106154775</v>
      </c>
      <c r="H67" s="1">
        <f>'[1]Electricity and CHPs'!D15</f>
        <v>68.756548342148591</v>
      </c>
      <c r="I67" s="1">
        <f>'[1]Electricity and CHPs'!E15</f>
        <v>70.431431991876849</v>
      </c>
      <c r="J67" s="1">
        <f>'[1]Electricity and CHPs'!F15</f>
        <v>71.413370097589095</v>
      </c>
      <c r="K67" s="1">
        <f>'[1]Electricity and CHPs'!G15</f>
        <v>72.497374580585273</v>
      </c>
      <c r="L67" s="1">
        <f>'[1]Electricity and CHPs'!H15</f>
        <v>73.751646859582706</v>
      </c>
      <c r="M67" s="1">
        <f>'[1]Electricity and CHPs'!I15</f>
        <v>74.835796597747816</v>
      </c>
      <c r="N67" s="1">
        <f>'[1]Electricity and CHPs'!J15</f>
        <v>74.835824674890546</v>
      </c>
      <c r="O67" s="1">
        <f>'[1]Electricity and CHPs'!K15</f>
        <v>74.835633381732961</v>
      </c>
      <c r="P67" s="1">
        <f>'[1]Electricity and CHPs'!L15</f>
        <v>74.835599397676688</v>
      </c>
      <c r="Q67" s="1">
        <f>'[1]Electricity and CHPs'!M15</f>
        <v>74.836042706184401</v>
      </c>
      <c r="S67" s="3"/>
    </row>
    <row r="68" spans="1:19" x14ac:dyDescent="0.5">
      <c r="A68" s="5" t="str">
        <f t="shared" si="68"/>
        <v>STEM</v>
      </c>
      <c r="B68" s="5" t="str">
        <f t="shared" si="69"/>
        <v>SPS1</v>
      </c>
      <c r="C68" s="5" t="str">
        <f t="shared" si="70"/>
        <v>CH</v>
      </c>
      <c r="D68" t="s">
        <v>32</v>
      </c>
      <c r="E68" t="str">
        <f t="shared" ref="E68:E69" si="73">E67</f>
        <v>PJ/yr.</v>
      </c>
      <c r="F68" s="1">
        <f>'[1]Electricity and CHPs'!B16</f>
        <v>66.632400805689144</v>
      </c>
      <c r="G68" s="1">
        <f>'[1]Electricity and CHPs'!C16</f>
        <v>55.763999647395103</v>
      </c>
      <c r="H68" s="1">
        <f>'[1]Electricity and CHPs'!D16</f>
        <v>65.553185207249157</v>
      </c>
      <c r="I68" s="1">
        <f>'[1]Electricity and CHPs'!E16</f>
        <v>64.716636921875647</v>
      </c>
      <c r="J68" s="1">
        <f>'[1]Electricity and CHPs'!F16</f>
        <v>63.735226441582611</v>
      </c>
      <c r="K68" s="1">
        <f>'[1]Electricity and CHPs'!G16</f>
        <v>62.651228130576513</v>
      </c>
      <c r="L68" s="1">
        <f>'[1]Electricity and CHPs'!H16</f>
        <v>61.5655219472916</v>
      </c>
      <c r="M68" s="1">
        <f>'[1]Electricity and CHPs'!I16</f>
        <v>60.481377772266136</v>
      </c>
      <c r="N68" s="1">
        <f>'[1]Electricity and CHPs'!J16</f>
        <v>60.481350320315187</v>
      </c>
      <c r="O68" s="1">
        <f>'[1]Electricity and CHPs'!K16</f>
        <v>60.4815432061556</v>
      </c>
      <c r="P68" s="1">
        <f>'[1]Electricity and CHPs'!L16</f>
        <v>60.481578029869766</v>
      </c>
      <c r="Q68" s="1">
        <f>'[1]Electricity and CHPs'!M16</f>
        <v>60.481139186772893</v>
      </c>
      <c r="S68" s="3"/>
    </row>
    <row r="69" spans="1:19" x14ac:dyDescent="0.5">
      <c r="A69" s="5" t="str">
        <f t="shared" si="68"/>
        <v>STEM</v>
      </c>
      <c r="B69" s="5" t="str">
        <f t="shared" si="69"/>
        <v>SPS1</v>
      </c>
      <c r="C69" s="5" t="str">
        <f t="shared" si="70"/>
        <v>CH</v>
      </c>
      <c r="D69" t="s">
        <v>33</v>
      </c>
      <c r="E69" t="str">
        <f t="shared" si="73"/>
        <v>PJ/yr.</v>
      </c>
      <c r="F69" s="1">
        <f>'[1]Electricity and CHPs'!B17</f>
        <v>12.841921283518701</v>
      </c>
      <c r="G69" s="1">
        <f>'[1]Electricity and CHPs'!C17</f>
        <v>16.034302909464788</v>
      </c>
      <c r="H69" s="1">
        <f>'[1]Electricity and CHPs'!D17</f>
        <v>5.4738575633416922</v>
      </c>
      <c r="I69" s="1">
        <f>'[1]Electricity and CHPs'!E17</f>
        <v>12.784369393036147</v>
      </c>
      <c r="J69" s="1">
        <f>'[1]Electricity and CHPs'!F17</f>
        <v>13.075491838881652</v>
      </c>
      <c r="K69" s="1">
        <f>'[1]Electricity and CHPs'!G17</f>
        <v>13.130124922519341</v>
      </c>
      <c r="L69" s="1">
        <f>'[1]Electricity and CHPs'!H17</f>
        <v>13.216644378775412</v>
      </c>
      <c r="M69" s="1">
        <f>'[1]Electricity and CHPs'!I17</f>
        <v>13.297365702626392</v>
      </c>
      <c r="N69" s="1">
        <f>'[1]Electricity and CHPs'!J17</f>
        <v>13.337785855603757</v>
      </c>
      <c r="O69" s="1">
        <f>'[1]Electricity and CHPs'!K17</f>
        <v>14.510279524710668</v>
      </c>
      <c r="P69" s="1">
        <f>'[1]Electricity and CHPs'!L17</f>
        <v>14.871624835933863</v>
      </c>
      <c r="Q69" s="1">
        <f>'[1]Electricity and CHPs'!M17</f>
        <v>14.816679735993024</v>
      </c>
      <c r="S69" s="3"/>
    </row>
    <row r="70" spans="1:19" x14ac:dyDescent="0.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0.11190229059280804</v>
      </c>
      <c r="G70" s="1">
        <f t="shared" ref="G70" si="74">SUM(G71:G73)</f>
        <v>0.17152837516938427</v>
      </c>
      <c r="H70" s="1">
        <f t="shared" ref="H70" si="75">SUM(H71:H73)</f>
        <v>1.1569006415999086E-2</v>
      </c>
      <c r="I70" s="1">
        <f t="shared" ref="I70" si="76">SUM(I71:I73)</f>
        <v>0.17152893941464173</v>
      </c>
      <c r="J70" s="1">
        <f t="shared" ref="J70" si="77">SUM(J71:J73)</f>
        <v>0.17152544115838475</v>
      </c>
      <c r="K70" s="1">
        <f t="shared" ref="K70" si="78">SUM(K71:K73)</f>
        <v>0.17153273772077088</v>
      </c>
      <c r="L70" s="1">
        <f t="shared" ref="L70:O70" si="79">SUM(L71:L73)</f>
        <v>0.17153325144089857</v>
      </c>
      <c r="M70" s="1">
        <f t="shared" si="79"/>
        <v>5.1529269883396504E-6</v>
      </c>
      <c r="N70" s="1">
        <f t="shared" si="79"/>
        <v>0.11945371582265761</v>
      </c>
      <c r="O70" s="1">
        <f t="shared" si="79"/>
        <v>0.11957351570407429</v>
      </c>
      <c r="P70" s="1">
        <f>SUM(P71:P73)</f>
        <v>0.17153205919034925</v>
      </c>
      <c r="Q70" s="1">
        <f>SUM(Q71:Q73)</f>
        <v>0.17153152228388879</v>
      </c>
      <c r="S70" s="3"/>
    </row>
    <row r="71" spans="1:19" x14ac:dyDescent="0.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3.9600719613498363E-2</v>
      </c>
      <c r="G71" s="1">
        <f>'[1]Electricity and CHPs'!C18</f>
        <v>3.4573710168363551E-5</v>
      </c>
      <c r="H71" s="1">
        <f>'[1]Electricity and CHPs'!D18</f>
        <v>2.1356280285754477E-3</v>
      </c>
      <c r="I71" s="1">
        <f>'[1]Electricity and CHPs'!E18</f>
        <v>3.0791320631184629E-4</v>
      </c>
      <c r="J71" s="1">
        <f>'[1]Electricity and CHPs'!F18</f>
        <v>2.594883797487872E-4</v>
      </c>
      <c r="K71" s="1">
        <f>'[1]Electricity and CHPs'!G18</f>
        <v>0.17090777586650757</v>
      </c>
      <c r="L71" s="1">
        <f>'[1]Electricity and CHPs'!H18</f>
        <v>0.17115383100646792</v>
      </c>
      <c r="M71" s="1">
        <f>'[1]Electricity and CHPs'!I18</f>
        <v>5.1529269883396504E-6</v>
      </c>
      <c r="N71" s="1">
        <f>'[1]Electricity and CHPs'!J18</f>
        <v>1.3450668968823893E-3</v>
      </c>
      <c r="O71" s="1">
        <f>'[1]Electricity and CHPs'!K18</f>
        <v>1.6872011540654656E-3</v>
      </c>
      <c r="P71" s="1">
        <f>'[1]Electricity and CHPs'!L18</f>
        <v>1.0490910856316277E-3</v>
      </c>
      <c r="Q71" s="1">
        <f>'[1]Electricity and CHPs'!M18</f>
        <v>2.2243426900692017E-3</v>
      </c>
      <c r="S71" s="3"/>
    </row>
    <row r="72" spans="1:19" x14ac:dyDescent="0.5">
      <c r="A72" s="5" t="str">
        <f t="shared" ref="A72:A73" si="80">A71</f>
        <v>STEM</v>
      </c>
      <c r="B72" s="5" t="str">
        <f t="shared" ref="B72:B73" si="81">B71</f>
        <v>SPS1</v>
      </c>
      <c r="C72" s="5" t="str">
        <f t="shared" ref="C72:C73" si="82">C71</f>
        <v>CH</v>
      </c>
      <c r="D72" t="s">
        <v>228</v>
      </c>
      <c r="E72" t="str">
        <f>E126</f>
        <v>PJ/yr.</v>
      </c>
      <c r="F72" s="1">
        <f>'[1]Electricity and CHPs'!B28</f>
        <v>1.8006281707011423E-3</v>
      </c>
      <c r="G72" s="1">
        <f>'[1]Electricity and CHPs'!C28</f>
        <v>2.2914824759534405E-5</v>
      </c>
      <c r="H72" s="1">
        <f>'[1]Electricity and CHPs'!D28</f>
        <v>7.1803470471217511E-4</v>
      </c>
      <c r="I72" s="1">
        <f>'[1]Electricity and CHPs'!E28</f>
        <v>2.4099895183947128E-4</v>
      </c>
      <c r="J72" s="1">
        <f>'[1]Electricity and CHPs'!F28</f>
        <v>9.5997979387524093E-5</v>
      </c>
      <c r="K72" s="1">
        <f>'[1]Electricity and CHPs'!G28</f>
        <v>6.2496185426329351E-4</v>
      </c>
      <c r="L72" s="1">
        <f>'[1]Electricity and CHPs'!H28</f>
        <v>3.7942043443066012E-4</v>
      </c>
      <c r="M72" s="1">
        <f>'[1]Electricity and CHPs'!I28</f>
        <v>0</v>
      </c>
      <c r="N72" s="1">
        <f>'[1]Electricity and CHPs'!J28</f>
        <v>4.4011247261742713E-5</v>
      </c>
      <c r="O72" s="1">
        <f>'[1]Electricity and CHPs'!K28</f>
        <v>4.3450455718655763E-5</v>
      </c>
      <c r="P72" s="1">
        <f>'[1]Electricity and CHPs'!L28</f>
        <v>4.3373775869563908E-5</v>
      </c>
      <c r="Q72" s="1">
        <f>'[1]Electricity and CHPs'!M28</f>
        <v>4.4985634682772928E-5</v>
      </c>
      <c r="S72" s="3"/>
    </row>
    <row r="73" spans="1:19" x14ac:dyDescent="0.5">
      <c r="A73" s="5" t="str">
        <f t="shared" si="80"/>
        <v>STEM</v>
      </c>
      <c r="B73" s="5" t="str">
        <f t="shared" si="81"/>
        <v>SPS1</v>
      </c>
      <c r="C73" s="5" t="str">
        <f t="shared" si="82"/>
        <v>CH</v>
      </c>
      <c r="D73" t="s">
        <v>40</v>
      </c>
      <c r="E73" t="str">
        <f>E81</f>
        <v>PJ/yr.</v>
      </c>
      <c r="F73" s="1">
        <f>'[1]Electricity and CHPs'!B41</f>
        <v>7.0500942808608538E-2</v>
      </c>
      <c r="G73" s="1">
        <f>'[1]Electricity and CHPs'!C41</f>
        <v>0.17147088663445637</v>
      </c>
      <c r="H73" s="1">
        <f>'[1]Electricity and CHPs'!D41</f>
        <v>8.7153436827114624E-3</v>
      </c>
      <c r="I73" s="1">
        <f>'[1]Electricity and CHPs'!E41</f>
        <v>0.17098002725649042</v>
      </c>
      <c r="J73" s="1">
        <f>'[1]Electricity and CHPs'!F41</f>
        <v>0.17116995479924843</v>
      </c>
      <c r="K73" s="1">
        <f>'[1]Electricity and CHPs'!G41</f>
        <v>0</v>
      </c>
      <c r="L73" s="1">
        <f>'[1]Electricity and CHPs'!H41</f>
        <v>0</v>
      </c>
      <c r="M73" s="1">
        <f>'[1]Electricity and CHPs'!I41</f>
        <v>0</v>
      </c>
      <c r="N73" s="1">
        <f>'[1]Electricity and CHPs'!J41</f>
        <v>0.11806463767851348</v>
      </c>
      <c r="O73" s="1">
        <f>'[1]Electricity and CHPs'!K41</f>
        <v>0.11784286409429016</v>
      </c>
      <c r="P73" s="1">
        <f>'[1]Electricity and CHPs'!L41</f>
        <v>0.17043959432884806</v>
      </c>
      <c r="Q73" s="1">
        <f>'[1]Electricity and CHPs'!M41</f>
        <v>0.16926219395913683</v>
      </c>
      <c r="S73" s="3"/>
    </row>
    <row r="74" spans="1:19" x14ac:dyDescent="0.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0.11190229059280804</v>
      </c>
      <c r="G74" s="1">
        <f t="shared" ref="G74:K74" si="83">SUM(G75:G77)</f>
        <v>0.17152837516938427</v>
      </c>
      <c r="H74" s="1">
        <f t="shared" si="83"/>
        <v>1.1569006415999086E-2</v>
      </c>
      <c r="I74" s="1">
        <f t="shared" si="83"/>
        <v>0.17152893941464173</v>
      </c>
      <c r="J74" s="1">
        <f t="shared" si="83"/>
        <v>0.17152544115838475</v>
      </c>
      <c r="K74" s="1">
        <f t="shared" si="83"/>
        <v>0.17153273772077088</v>
      </c>
      <c r="L74" s="1">
        <f t="shared" ref="L74:O74" si="84">SUM(L75:L77)</f>
        <v>0.17153325144089857</v>
      </c>
      <c r="M74" s="1">
        <f t="shared" si="84"/>
        <v>5.1529269883396504E-6</v>
      </c>
      <c r="N74" s="1">
        <f t="shared" si="84"/>
        <v>0.11945371582265761</v>
      </c>
      <c r="O74" s="1">
        <f t="shared" si="84"/>
        <v>0.11957351570407429</v>
      </c>
      <c r="P74" s="1">
        <f>SUM(P75:P77)</f>
        <v>0.17153205919034925</v>
      </c>
      <c r="Q74" s="1">
        <f>SUM(Q75:Q77)</f>
        <v>0.17153152228388879</v>
      </c>
      <c r="S74" s="3"/>
    </row>
    <row r="75" spans="1:19" x14ac:dyDescent="0.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3.9600719613498363E-2</v>
      </c>
      <c r="G75" s="1">
        <f t="shared" ref="G75:K75" si="85">G71</f>
        <v>3.4573710168363551E-5</v>
      </c>
      <c r="H75" s="1">
        <f t="shared" si="85"/>
        <v>2.1356280285754477E-3</v>
      </c>
      <c r="I75" s="1">
        <f t="shared" si="85"/>
        <v>3.0791320631184629E-4</v>
      </c>
      <c r="J75" s="1">
        <f t="shared" si="85"/>
        <v>2.594883797487872E-4</v>
      </c>
      <c r="K75" s="1">
        <f t="shared" si="85"/>
        <v>0.17090777586650757</v>
      </c>
      <c r="L75" s="1">
        <f t="shared" ref="L75:O75" si="86">L71</f>
        <v>0.17115383100646792</v>
      </c>
      <c r="M75" s="1">
        <f t="shared" si="86"/>
        <v>5.1529269883396504E-6</v>
      </c>
      <c r="N75" s="1">
        <f t="shared" si="86"/>
        <v>1.3450668968823893E-3</v>
      </c>
      <c r="O75" s="1">
        <f t="shared" si="86"/>
        <v>1.6872011540654656E-3</v>
      </c>
      <c r="P75" s="1">
        <f>P71</f>
        <v>1.0490910856316277E-3</v>
      </c>
      <c r="Q75" s="1">
        <f>Q71</f>
        <v>2.2243426900692017E-3</v>
      </c>
      <c r="S75" s="3"/>
    </row>
    <row r="76" spans="1:19" x14ac:dyDescent="0.5">
      <c r="A76" s="5" t="str">
        <f t="shared" si="68"/>
        <v>STEM</v>
      </c>
      <c r="B76" s="5" t="str">
        <f t="shared" si="69"/>
        <v>SPS1</v>
      </c>
      <c r="C76" s="5" t="str">
        <f t="shared" si="70"/>
        <v>CH</v>
      </c>
      <c r="D76" t="s">
        <v>515</v>
      </c>
      <c r="E76" t="str">
        <f>E134</f>
        <v>PJ/yr.</v>
      </c>
      <c r="F76" s="1">
        <f>'[1]Electricity and CHPs'!B28</f>
        <v>1.8006281707011423E-3</v>
      </c>
      <c r="G76" s="1">
        <f>'[1]Electricity and CHPs'!C28</f>
        <v>2.2914824759534405E-5</v>
      </c>
      <c r="H76" s="1">
        <f>'[1]Electricity and CHPs'!D28</f>
        <v>7.1803470471217511E-4</v>
      </c>
      <c r="I76" s="1">
        <f>'[1]Electricity and CHPs'!E28</f>
        <v>2.4099895183947128E-4</v>
      </c>
      <c r="J76" s="1">
        <f>'[1]Electricity and CHPs'!F28</f>
        <v>9.5997979387524093E-5</v>
      </c>
      <c r="K76" s="1">
        <f>'[1]Electricity and CHPs'!G28</f>
        <v>6.2496185426329351E-4</v>
      </c>
      <c r="L76" s="1">
        <f>'[1]Electricity and CHPs'!H28</f>
        <v>3.7942043443066012E-4</v>
      </c>
      <c r="M76" s="1">
        <f>'[1]Electricity and CHPs'!I28</f>
        <v>0</v>
      </c>
      <c r="N76" s="1">
        <f>'[1]Electricity and CHPs'!J28</f>
        <v>4.4011247261742713E-5</v>
      </c>
      <c r="O76" s="1">
        <f>'[1]Electricity and CHPs'!K28</f>
        <v>4.3450455718655763E-5</v>
      </c>
      <c r="P76" s="1">
        <f>'[1]Electricity and CHPs'!L28</f>
        <v>4.3373775869563908E-5</v>
      </c>
      <c r="Q76" s="1">
        <f>'[1]Electricity and CHPs'!M28</f>
        <v>4.4985634682772928E-5</v>
      </c>
      <c r="S76" s="3"/>
    </row>
    <row r="77" spans="1:19" x14ac:dyDescent="0.5">
      <c r="A77" s="5" t="str">
        <f t="shared" si="68"/>
        <v>STEM</v>
      </c>
      <c r="B77" s="5" t="str">
        <f t="shared" si="69"/>
        <v>SPS1</v>
      </c>
      <c r="C77" s="5" t="str">
        <f t="shared" si="70"/>
        <v>CH</v>
      </c>
      <c r="D77" t="s">
        <v>516</v>
      </c>
      <c r="E77" t="str">
        <f>E89</f>
        <v>PJ/yr.</v>
      </c>
      <c r="F77" s="1">
        <f>'[1]Electricity and CHPs'!B41</f>
        <v>7.0500942808608538E-2</v>
      </c>
      <c r="G77" s="1">
        <f>'[1]Electricity and CHPs'!C41</f>
        <v>0.17147088663445637</v>
      </c>
      <c r="H77" s="1">
        <f>'[1]Electricity and CHPs'!D41</f>
        <v>8.7153436827114624E-3</v>
      </c>
      <c r="I77" s="1">
        <f>'[1]Electricity and CHPs'!E41</f>
        <v>0.17098002725649042</v>
      </c>
      <c r="J77" s="1">
        <f>'[1]Electricity and CHPs'!F41</f>
        <v>0.17116995479924843</v>
      </c>
      <c r="K77" s="1">
        <f>'[1]Electricity and CHPs'!G41</f>
        <v>0</v>
      </c>
      <c r="L77" s="1">
        <f>'[1]Electricity and CHPs'!H41</f>
        <v>0</v>
      </c>
      <c r="M77" s="1">
        <f>'[1]Electricity and CHPs'!I41</f>
        <v>0</v>
      </c>
      <c r="N77" s="1">
        <f>'[1]Electricity and CHPs'!J41</f>
        <v>0.11806463767851348</v>
      </c>
      <c r="O77" s="1">
        <f>'[1]Electricity and CHPs'!K41</f>
        <v>0.11784286409429016</v>
      </c>
      <c r="P77" s="1">
        <f>'[1]Electricity and CHPs'!L41</f>
        <v>0.17043959432884806</v>
      </c>
      <c r="Q77" s="1">
        <f>'[1]Electricity and CHPs'!M41</f>
        <v>0.16926219395913683</v>
      </c>
      <c r="S77" s="3"/>
    </row>
    <row r="78" spans="1:19" x14ac:dyDescent="0.5">
      <c r="A78" s="5" t="str">
        <f t="shared" ref="A78:C79" si="87">A76</f>
        <v>STEM</v>
      </c>
      <c r="B78" s="5" t="str">
        <f t="shared" si="87"/>
        <v>SPS1</v>
      </c>
      <c r="C78" s="5" t="str">
        <f t="shared" si="87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8">SUM(G79:G81)</f>
        <v>0</v>
      </c>
      <c r="H78" s="1">
        <f t="shared" si="88"/>
        <v>0</v>
      </c>
      <c r="I78" s="1">
        <f t="shared" si="88"/>
        <v>0</v>
      </c>
      <c r="J78" s="1">
        <f t="shared" si="88"/>
        <v>0</v>
      </c>
      <c r="K78" s="1">
        <f t="shared" si="88"/>
        <v>0</v>
      </c>
      <c r="L78" s="1">
        <f t="shared" ref="L78:O78" si="89">SUM(L79:L81)</f>
        <v>0</v>
      </c>
      <c r="M78" s="1">
        <f t="shared" si="89"/>
        <v>0</v>
      </c>
      <c r="N78" s="1">
        <f t="shared" si="89"/>
        <v>0</v>
      </c>
      <c r="O78" s="1">
        <f t="shared" si="89"/>
        <v>0</v>
      </c>
      <c r="P78" s="1">
        <f>SUM(P79:P81)</f>
        <v>0</v>
      </c>
      <c r="Q78" s="1">
        <f>SUM(Q79:Q81)</f>
        <v>0</v>
      </c>
      <c r="S78" s="3"/>
    </row>
    <row r="79" spans="1:19" x14ac:dyDescent="0.5">
      <c r="A79" s="5" t="str">
        <f t="shared" si="87"/>
        <v>STEM</v>
      </c>
      <c r="B79" s="5" t="str">
        <f t="shared" si="87"/>
        <v>SPS1</v>
      </c>
      <c r="C79" s="5" t="str">
        <f t="shared" si="87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S79" s="3"/>
    </row>
    <row r="80" spans="1:19" x14ac:dyDescent="0.5">
      <c r="A80" s="5" t="str">
        <f t="shared" si="68"/>
        <v>STEM</v>
      </c>
      <c r="B80" s="5" t="str">
        <f t="shared" si="69"/>
        <v>SPS1</v>
      </c>
      <c r="C80" s="5" t="str">
        <f t="shared" si="70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S80" s="3"/>
    </row>
    <row r="81" spans="1:19" x14ac:dyDescent="0.5">
      <c r="A81" s="5" t="str">
        <f t="shared" si="68"/>
        <v>STEM</v>
      </c>
      <c r="B81" s="5" t="str">
        <f t="shared" si="69"/>
        <v>SPS1</v>
      </c>
      <c r="C81" s="5" t="str">
        <f t="shared" si="70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S81" s="3"/>
    </row>
    <row r="82" spans="1:19" x14ac:dyDescent="0.5">
      <c r="A82" s="5" t="str">
        <f t="shared" si="68"/>
        <v>STEM</v>
      </c>
      <c r="B82" s="5" t="str">
        <f t="shared" si="69"/>
        <v>SPS1</v>
      </c>
      <c r="C82" s="5" t="str">
        <f t="shared" si="70"/>
        <v>CH</v>
      </c>
      <c r="D82" t="s">
        <v>796</v>
      </c>
      <c r="E82" t="str">
        <f>E131</f>
        <v>PJ/yr.</v>
      </c>
      <c r="F82" s="1">
        <f>SUM(F83:F97)</f>
        <v>3.2314592608135113</v>
      </c>
      <c r="G82" s="1">
        <f t="shared" ref="G82:K82" si="90">SUM(G83:G97)</f>
        <v>2.1826701757272522</v>
      </c>
      <c r="H82" s="1">
        <f t="shared" si="90"/>
        <v>2.4740923956457115</v>
      </c>
      <c r="I82" s="1">
        <f t="shared" si="90"/>
        <v>2.9470496510364832</v>
      </c>
      <c r="J82" s="1">
        <f t="shared" si="90"/>
        <v>3.0829250312450043</v>
      </c>
      <c r="K82" s="1">
        <f t="shared" si="90"/>
        <v>2.9334404555629661</v>
      </c>
      <c r="L82" s="1">
        <f t="shared" ref="L82:O82" si="91">SUM(L83:L97)</f>
        <v>3.8681983994225293</v>
      </c>
      <c r="M82" s="1">
        <f t="shared" si="91"/>
        <v>4.1523035819353504</v>
      </c>
      <c r="N82" s="1">
        <f t="shared" si="91"/>
        <v>4.8629591829754553</v>
      </c>
      <c r="O82" s="1">
        <f t="shared" si="91"/>
        <v>5.939679680395912</v>
      </c>
      <c r="P82" s="1">
        <f>SUM(P83:P97)</f>
        <v>6.2290825441596045</v>
      </c>
      <c r="Q82" s="1">
        <f>SUM(Q83:Q97)</f>
        <v>6.2438374961707241</v>
      </c>
      <c r="S82" s="3"/>
    </row>
    <row r="83" spans="1:19" x14ac:dyDescent="0.5">
      <c r="A83" s="5" t="str">
        <f t="shared" si="68"/>
        <v>STEM</v>
      </c>
      <c r="B83" s="5" t="str">
        <f t="shared" si="69"/>
        <v>SPS1</v>
      </c>
      <c r="C83" s="5" t="str">
        <f t="shared" si="70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5.797941254935403E-6</v>
      </c>
      <c r="L83" s="1">
        <f>'[1]Electricity and CHPs'!H21</f>
        <v>4.0861190940821077E-6</v>
      </c>
      <c r="M83" s="1">
        <f>'[1]Electricity and CHPs'!I21</f>
        <v>9.2808167511669246E-5</v>
      </c>
      <c r="N83" s="1">
        <f>'[1]Electricity and CHPs'!J21</f>
        <v>1.5074878215150477E-3</v>
      </c>
      <c r="O83" s="1">
        <f>'[1]Electricity and CHPs'!K21</f>
        <v>1.7457283072067902E-3</v>
      </c>
      <c r="P83" s="1">
        <f>'[1]Electricity and CHPs'!L21</f>
        <v>1.7399411355840516E-3</v>
      </c>
      <c r="Q83" s="1">
        <f>'[1]Electricity and CHPs'!M21</f>
        <v>2.7578787197800251E-3</v>
      </c>
      <c r="S83" s="3"/>
    </row>
    <row r="84" spans="1:19" x14ac:dyDescent="0.5">
      <c r="A84" s="5" t="str">
        <f t="shared" si="68"/>
        <v>STEM</v>
      </c>
      <c r="B84" s="5" t="str">
        <f t="shared" si="69"/>
        <v>SPS1</v>
      </c>
      <c r="C84" s="5" t="str">
        <f t="shared" si="70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0</v>
      </c>
      <c r="K84" s="1">
        <f>'[1]Electricity and CHPs'!G22</f>
        <v>1.4117958235943355E-6</v>
      </c>
      <c r="L84" s="1">
        <f>'[1]Electricity and CHPs'!H22</f>
        <v>0</v>
      </c>
      <c r="M84" s="1">
        <f>'[1]Electricity and CHPs'!I22</f>
        <v>5.2164378157608576E-2</v>
      </c>
      <c r="N84" s="1">
        <f>'[1]Electricity and CHPs'!J22</f>
        <v>1.2069532037739063E-2</v>
      </c>
      <c r="O84" s="1">
        <f>'[1]Electricity and CHPs'!K22</f>
        <v>7.2860170366028073E-3</v>
      </c>
      <c r="P84" s="1">
        <f>'[1]Electricity and CHPs'!L22</f>
        <v>8.3901733726051402E-3</v>
      </c>
      <c r="Q84" s="1">
        <f>'[1]Electricity and CHPs'!M22</f>
        <v>7.2150166855923861E-3</v>
      </c>
      <c r="S84" s="3"/>
    </row>
    <row r="85" spans="1:19" x14ac:dyDescent="0.5">
      <c r="A85" s="5" t="str">
        <f t="shared" si="68"/>
        <v>STEM</v>
      </c>
      <c r="B85" s="5" t="str">
        <f t="shared" si="69"/>
        <v>SPS1</v>
      </c>
      <c r="C85" s="5" t="str">
        <f t="shared" si="70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3.0996157624170546E-6</v>
      </c>
      <c r="M85" s="1">
        <f>'[1]Electricity and CHPs'!I23</f>
        <v>8.6813305970923833E-5</v>
      </c>
      <c r="N85" s="1">
        <f>'[1]Electricity and CHPs'!J23</f>
        <v>4.8680779358494949E-2</v>
      </c>
      <c r="O85" s="1">
        <f>'[1]Electricity and CHPs'!K23</f>
        <v>5.4190218619994394E-2</v>
      </c>
      <c r="P85" s="1">
        <f>'[1]Electricity and CHPs'!L23</f>
        <v>5.2824055154309692E-2</v>
      </c>
      <c r="Q85" s="1">
        <f>'[1]Electricity and CHPs'!M23</f>
        <v>5.3361184248911932E-2</v>
      </c>
      <c r="S85" s="3"/>
    </row>
    <row r="86" spans="1:19" x14ac:dyDescent="0.5">
      <c r="A86" s="5" t="str">
        <f t="shared" si="68"/>
        <v>STEM</v>
      </c>
      <c r="B86" s="5" t="str">
        <f t="shared" si="69"/>
        <v>SPS1</v>
      </c>
      <c r="C86" s="5" t="str">
        <f t="shared" si="70"/>
        <v>CH</v>
      </c>
      <c r="D86" t="s">
        <v>38</v>
      </c>
      <c r="E86" t="str">
        <f>E85</f>
        <v>PJ/yr.</v>
      </c>
      <c r="F86" s="1">
        <f>'[1]Electricity and CHPs'!B24</f>
        <v>0.96588062392178575</v>
      </c>
      <c r="G86" s="1">
        <f>'[1]Electricity and CHPs'!C24</f>
        <v>2.0593582381395062E-4</v>
      </c>
      <c r="H86" s="1">
        <f>'[1]Electricity and CHPs'!D24</f>
        <v>1.1892773378692982E-3</v>
      </c>
      <c r="I86" s="1">
        <f>'[1]Electricity and CHPs'!E24</f>
        <v>0</v>
      </c>
      <c r="J86" s="1">
        <f>'[1]Electricity and CHPs'!F24</f>
        <v>0</v>
      </c>
      <c r="K86" s="1">
        <f>'[1]Electricity and CHPs'!G24</f>
        <v>0</v>
      </c>
      <c r="L86" s="1">
        <f>'[1]Electricity and CHPs'!H24</f>
        <v>0</v>
      </c>
      <c r="M86" s="1">
        <f>'[1]Electricity and CHPs'!I24</f>
        <v>0</v>
      </c>
      <c r="N86" s="1">
        <f>'[1]Electricity and CHPs'!J24</f>
        <v>0</v>
      </c>
      <c r="O86" s="1">
        <f>'[1]Electricity and CHPs'!K24</f>
        <v>0</v>
      </c>
      <c r="P86" s="1">
        <f>'[1]Electricity and CHPs'!L24</f>
        <v>0</v>
      </c>
      <c r="Q86" s="1">
        <f>'[1]Electricity and CHPs'!M24</f>
        <v>0</v>
      </c>
      <c r="S86" s="3"/>
    </row>
    <row r="87" spans="1:19" x14ac:dyDescent="0.5">
      <c r="A87" s="5" t="str">
        <f t="shared" si="68"/>
        <v>STEM</v>
      </c>
      <c r="B87" s="5" t="str">
        <f t="shared" si="69"/>
        <v>SPS1</v>
      </c>
      <c r="C87" s="5" t="str">
        <f t="shared" si="70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</v>
      </c>
      <c r="L87" s="1">
        <f>'[1]Electricity and CHPs'!H29</f>
        <v>0</v>
      </c>
      <c r="M87" s="1">
        <f>'[1]Electricity and CHPs'!I29</f>
        <v>0</v>
      </c>
      <c r="N87" s="1">
        <f>'[1]Electricity and CHPs'!J29</f>
        <v>0</v>
      </c>
      <c r="O87" s="1">
        <f>'[1]Electricity and CHPs'!K29</f>
        <v>0</v>
      </c>
      <c r="P87" s="1">
        <f>'[1]Electricity and CHPs'!L29</f>
        <v>0</v>
      </c>
      <c r="Q87" s="1">
        <f>'[1]Electricity and CHPs'!M29</f>
        <v>0</v>
      </c>
      <c r="S87" s="3"/>
    </row>
    <row r="88" spans="1:19" x14ac:dyDescent="0.5">
      <c r="A88" s="5" t="str">
        <f t="shared" si="68"/>
        <v>STEM</v>
      </c>
      <c r="B88" s="5" t="str">
        <f t="shared" si="69"/>
        <v>SPS1</v>
      </c>
      <c r="C88" s="5" t="str">
        <f t="shared" si="70"/>
        <v>CH</v>
      </c>
      <c r="D88" t="s">
        <v>41</v>
      </c>
      <c r="E88" t="str">
        <f>E166</f>
        <v>PJ/yr.</v>
      </c>
      <c r="F88" s="1">
        <f>'[1]Electricity and CHPs'!B39</f>
        <v>0.66996282385178585</v>
      </c>
      <c r="G88" s="1">
        <f>'[1]Electricity and CHPs'!C39</f>
        <v>0.41870674029202692</v>
      </c>
      <c r="H88" s="1">
        <f>'[1]Electricity and CHPs'!D39</f>
        <v>5.3586524901168768E-2</v>
      </c>
      <c r="I88" s="1">
        <f>'[1]Electricity and CHPs'!E39</f>
        <v>0.41596620270893214</v>
      </c>
      <c r="J88" s="1">
        <f>'[1]Electricity and CHPs'!F39</f>
        <v>0.26048009521079918</v>
      </c>
      <c r="K88" s="1">
        <f>'[1]Electricity and CHPs'!G39</f>
        <v>0.66116512056489574</v>
      </c>
      <c r="L88" s="1">
        <f>'[1]Electricity and CHPs'!H39</f>
        <v>0.42264103701140687</v>
      </c>
      <c r="M88" s="1">
        <f>'[1]Electricity and CHPs'!I39</f>
        <v>0.4238917900630037</v>
      </c>
      <c r="N88" s="1">
        <f>'[1]Electricity and CHPs'!J39</f>
        <v>0.42365224470961199</v>
      </c>
      <c r="O88" s="1">
        <f>'[1]Electricity and CHPs'!K39</f>
        <v>0.35550444091670752</v>
      </c>
      <c r="P88" s="1">
        <f>'[1]Electricity and CHPs'!L39</f>
        <v>0.42374715356674619</v>
      </c>
      <c r="Q88" s="1">
        <f>'[1]Electricity and CHPs'!M39</f>
        <v>0.42402283963971144</v>
      </c>
      <c r="S88" s="3"/>
    </row>
    <row r="89" spans="1:19" x14ac:dyDescent="0.5">
      <c r="A89" s="5" t="str">
        <f t="shared" si="68"/>
        <v>STEM</v>
      </c>
      <c r="B89" s="5" t="str">
        <f t="shared" si="69"/>
        <v>SPS1</v>
      </c>
      <c r="C89" s="5" t="str">
        <f t="shared" si="70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4.5381091059535491E-3</v>
      </c>
      <c r="L89" s="1">
        <f>'[1]Electricity and CHPs'!H40</f>
        <v>0.24435640379102205</v>
      </c>
      <c r="M89" s="1">
        <f>'[1]Electricity and CHPs'!I40</f>
        <v>0.24510005825881095</v>
      </c>
      <c r="N89" s="1">
        <f>'[1]Electricity and CHPs'!J40</f>
        <v>0.2449544977921167</v>
      </c>
      <c r="O89" s="1">
        <f>'[1]Electricity and CHPs'!K40</f>
        <v>0.20555728846817636</v>
      </c>
      <c r="P89" s="1">
        <f>'[1]Electricity and CHPs'!L40</f>
        <v>0.24501381560625765</v>
      </c>
      <c r="Q89" s="1">
        <f>'[1]Electricity and CHPs'!M40</f>
        <v>0.24517148396033769</v>
      </c>
      <c r="S89" s="3"/>
    </row>
    <row r="90" spans="1:19" x14ac:dyDescent="0.5">
      <c r="A90" s="5" t="str">
        <f t="shared" si="68"/>
        <v>STEM</v>
      </c>
      <c r="B90" s="5" t="str">
        <f t="shared" si="69"/>
        <v>SPS1</v>
      </c>
      <c r="C90" s="5" t="str">
        <f t="shared" si="70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2.9758834197958061E-4</v>
      </c>
      <c r="J90" s="1">
        <f>'[1]Electricity and CHPs'!F47</f>
        <v>4.7249416876910075E-4</v>
      </c>
      <c r="K90" s="1">
        <f>'[1]Electricity and CHPs'!G47</f>
        <v>4.2748593301400045E-3</v>
      </c>
      <c r="L90" s="1">
        <f>'[1]Electricity and CHPs'!H47</f>
        <v>2.9865403576992567E-3</v>
      </c>
      <c r="M90" s="1">
        <f>'[1]Electricity and CHPs'!I47</f>
        <v>9.8063670737534342E-4</v>
      </c>
      <c r="N90" s="1">
        <f>'[1]Electricity and CHPs'!J47</f>
        <v>1.3681371818521021E-3</v>
      </c>
      <c r="O90" s="1">
        <f>'[1]Electricity and CHPs'!K47</f>
        <v>2.8326633587019085E-3</v>
      </c>
      <c r="P90" s="1">
        <f>'[1]Electricity and CHPs'!L47</f>
        <v>1.2155882137151318E-3</v>
      </c>
      <c r="Q90" s="1">
        <f>'[1]Electricity and CHPs'!M47</f>
        <v>7.8970091766588388E-4</v>
      </c>
      <c r="S90" s="3"/>
    </row>
    <row r="91" spans="1:19" x14ac:dyDescent="0.5">
      <c r="A91" s="5" t="str">
        <f t="shared" si="68"/>
        <v>STEM</v>
      </c>
      <c r="B91" s="5" t="str">
        <f t="shared" si="69"/>
        <v>SPS1</v>
      </c>
      <c r="C91" s="5" t="str">
        <f t="shared" si="70"/>
        <v>CH</v>
      </c>
      <c r="D91" t="s">
        <v>44</v>
      </c>
      <c r="E91" t="str">
        <f>E90</f>
        <v>PJ/yr.</v>
      </c>
      <c r="F91" s="1">
        <f>'[1]Electricity and CHPs'!B48</f>
        <v>1.3995208421993234E-2</v>
      </c>
      <c r="G91" s="1">
        <f>'[1]Electricity and CHPs'!C48</f>
        <v>2.4406341426070031E-3</v>
      </c>
      <c r="H91" s="1">
        <f>'[1]Electricity and CHPs'!D48</f>
        <v>7.4847875125346854E-3</v>
      </c>
      <c r="I91" s="1">
        <f>'[1]Electricity and CHPs'!E48</f>
        <v>5.9213701361597558E-3</v>
      </c>
      <c r="J91" s="1">
        <f>'[1]Electricity and CHPs'!F48</f>
        <v>5.7641138754285807E-3</v>
      </c>
      <c r="K91" s="1">
        <f>'[1]Electricity and CHPs'!G48</f>
        <v>2.5162167476171296E-3</v>
      </c>
      <c r="L91" s="1">
        <f>'[1]Electricity and CHPs'!H48</f>
        <v>0</v>
      </c>
      <c r="M91" s="1">
        <f>'[1]Electricity and CHPs'!I48</f>
        <v>0</v>
      </c>
      <c r="N91" s="1">
        <f>'[1]Electricity and CHPs'!J48</f>
        <v>2.2554678299994543E-3</v>
      </c>
      <c r="O91" s="1">
        <f>'[1]Electricity and CHPs'!K48</f>
        <v>2.7225607824158103E-3</v>
      </c>
      <c r="P91" s="1">
        <f>'[1]Electricity and CHPs'!L48</f>
        <v>3.8053870829131394E-3</v>
      </c>
      <c r="Q91" s="1">
        <f>'[1]Electricity and CHPs'!M48</f>
        <v>4.5368712682703118E-3</v>
      </c>
      <c r="S91" s="3"/>
    </row>
    <row r="92" spans="1:19" x14ac:dyDescent="0.5">
      <c r="A92" s="5" t="str">
        <f t="shared" si="68"/>
        <v>STEM</v>
      </c>
      <c r="B92" s="5" t="str">
        <f t="shared" si="69"/>
        <v>SPS1</v>
      </c>
      <c r="C92" s="5" t="str">
        <f t="shared" si="70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'[1]Electricity and CHPs'!F49</f>
        <v>0</v>
      </c>
      <c r="K92" s="1">
        <f>'[1]Electricity and CHPs'!G49</f>
        <v>0</v>
      </c>
      <c r="L92" s="1">
        <f>'[1]Electricity and CHPs'!H49</f>
        <v>0</v>
      </c>
      <c r="M92" s="1">
        <f>'[1]Electricity and CHPs'!I49</f>
        <v>0</v>
      </c>
      <c r="N92" s="1">
        <f>'[1]Electricity and CHPs'!J49</f>
        <v>9.074079520513446E-4</v>
      </c>
      <c r="O92" s="1">
        <f>'[1]Electricity and CHPs'!K49</f>
        <v>1.5192977632046292E-3</v>
      </c>
      <c r="P92" s="1">
        <f>'[1]Electricity and CHPs'!L49</f>
        <v>1.5209754840900488E-3</v>
      </c>
      <c r="Q92" s="1">
        <f>'[1]Electricity and CHPs'!M49</f>
        <v>2.9305958997637525E-3</v>
      </c>
      <c r="S92" s="3"/>
    </row>
    <row r="93" spans="1:19" x14ac:dyDescent="0.5">
      <c r="A93" s="5" t="str">
        <f t="shared" si="68"/>
        <v>STEM</v>
      </c>
      <c r="B93" s="5" t="str">
        <f t="shared" si="69"/>
        <v>SPS1</v>
      </c>
      <c r="C93" s="5" t="str">
        <f t="shared" si="70"/>
        <v>CH</v>
      </c>
      <c r="D93" t="s">
        <v>46</v>
      </c>
      <c r="E93" t="str">
        <f>E156</f>
        <v>PJ/yr.</v>
      </c>
      <c r="F93" s="1">
        <f>'[1]Electricity and CHPs'!B51</f>
        <v>2.7854736791334878E-2</v>
      </c>
      <c r="G93" s="1">
        <f>'[1]Electricity and CHPs'!C51</f>
        <v>2.9488502928377014E-2</v>
      </c>
      <c r="H93" s="1">
        <f>'[1]Electricity and CHPs'!D51</f>
        <v>0.12011811365672635</v>
      </c>
      <c r="I93" s="1">
        <f>'[1]Electricity and CHPs'!E51</f>
        <v>0.12003272881203925</v>
      </c>
      <c r="J93" s="1">
        <f>'[1]Electricity and CHPs'!F51</f>
        <v>0.12006799938977032</v>
      </c>
      <c r="K93" s="1">
        <f>'[1]Electricity and CHPs'!G51</f>
        <v>5.131604686758532E-2</v>
      </c>
      <c r="L93" s="1">
        <f>'[1]Electricity and CHPs'!H51</f>
        <v>0</v>
      </c>
      <c r="M93" s="1">
        <f>'[1]Electricity and CHPs'!I51</f>
        <v>0</v>
      </c>
      <c r="N93" s="1">
        <f>'[1]Electricity and CHPs'!J51</f>
        <v>1.7705100431876994E-3</v>
      </c>
      <c r="O93" s="1">
        <f>'[1]Electricity and CHPs'!K51</f>
        <v>4.285368244908115E-3</v>
      </c>
      <c r="P93" s="1">
        <f>'[1]Electricity and CHPs'!L51</f>
        <v>3.2871089539334253E-3</v>
      </c>
      <c r="Q93" s="1">
        <f>'[1]Electricity and CHPs'!M51</f>
        <v>8.5881153960563148E-3</v>
      </c>
      <c r="S93" s="3"/>
    </row>
    <row r="94" spans="1:19" x14ac:dyDescent="0.5">
      <c r="A94" s="5" t="str">
        <f t="shared" si="68"/>
        <v>STEM</v>
      </c>
      <c r="B94" s="5" t="str">
        <f t="shared" si="69"/>
        <v>SPS1</v>
      </c>
      <c r="C94" s="5" t="str">
        <f t="shared" si="70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'[1]Electricity and CHPs'!F52</f>
        <v>0</v>
      </c>
      <c r="K94" s="1">
        <f>'[1]Electricity and CHPs'!G52</f>
        <v>0</v>
      </c>
      <c r="L94" s="1">
        <f>'[1]Electricity and CHPs'!H52</f>
        <v>0</v>
      </c>
      <c r="M94" s="1">
        <f>'[1]Electricity and CHPs'!I52</f>
        <v>0</v>
      </c>
      <c r="N94" s="1">
        <f>'[1]Electricity and CHPs'!J52</f>
        <v>1.8509674011911994E-3</v>
      </c>
      <c r="O94" s="1">
        <f>'[1]Electricity and CHPs'!K52</f>
        <v>3.5305982153151028E-3</v>
      </c>
      <c r="P94" s="1">
        <f>'[1]Electricity and CHPs'!L52</f>
        <v>2.7313815040371043E-3</v>
      </c>
      <c r="Q94" s="1">
        <f>'[1]Electricity and CHPs'!M52</f>
        <v>5.8925519533267337E-3</v>
      </c>
      <c r="S94" s="3"/>
    </row>
    <row r="95" spans="1:19" x14ac:dyDescent="0.5">
      <c r="A95" s="5" t="str">
        <f t="shared" si="68"/>
        <v>STEM</v>
      </c>
      <c r="B95" s="5" t="str">
        <f t="shared" si="69"/>
        <v>SPS1</v>
      </c>
      <c r="C95" s="5" t="str">
        <f t="shared" si="70"/>
        <v>CH</v>
      </c>
      <c r="D95" t="s">
        <v>84</v>
      </c>
      <c r="E95" t="str">
        <f>E157</f>
        <v>PJ/yr.</v>
      </c>
      <c r="F95" s="1">
        <f>'[1]Electricity and CHPs'!B54</f>
        <v>0.95936515910894415</v>
      </c>
      <c r="G95" s="1">
        <f>'[1]Electricity and CHPs'!C54</f>
        <v>1.1059547725578278</v>
      </c>
      <c r="H95" s="1">
        <f>'[1]Electricity and CHPs'!D54</f>
        <v>1.1060283951214467</v>
      </c>
      <c r="I95" s="1">
        <f>'[1]Electricity and CHPs'!E54</f>
        <v>1.1060293669229284</v>
      </c>
      <c r="J95" s="1">
        <f>'[1]Electricity and CHPs'!F54</f>
        <v>1.4432869015830698</v>
      </c>
      <c r="K95" s="1">
        <f>'[1]Electricity and CHPs'!G54</f>
        <v>1.4433537656934574</v>
      </c>
      <c r="L95" s="1">
        <f>'[1]Electricity and CHPs'!H54</f>
        <v>3.1982072325275448</v>
      </c>
      <c r="M95" s="1">
        <f>'[1]Electricity and CHPs'!I54</f>
        <v>3.4299870972750695</v>
      </c>
      <c r="N95" s="1">
        <f>'[1]Electricity and CHPs'!J54</f>
        <v>4.1211857303284294</v>
      </c>
      <c r="O95" s="1">
        <f>'[1]Electricity and CHPs'!K54</f>
        <v>5.2972260822846771</v>
      </c>
      <c r="P95" s="1">
        <f>'[1]Electricity and CHPs'!L54</f>
        <v>5.4823209574407219</v>
      </c>
      <c r="Q95" s="1">
        <f>'[1]Electricity and CHPs'!M54</f>
        <v>5.4828702188071317</v>
      </c>
      <c r="S95" s="3"/>
    </row>
    <row r="96" spans="1:19" x14ac:dyDescent="0.5">
      <c r="A96" s="5" t="str">
        <f t="shared" si="68"/>
        <v>STEM</v>
      </c>
      <c r="B96" s="5" t="str">
        <f t="shared" si="69"/>
        <v>SPS1</v>
      </c>
      <c r="C96" s="5" t="str">
        <f t="shared" si="70"/>
        <v>CH</v>
      </c>
      <c r="D96" t="s">
        <v>85</v>
      </c>
      <c r="E96" t="str">
        <f>E95</f>
        <v>PJ/yr.</v>
      </c>
      <c r="F96" s="1">
        <f>'[1]Electricity and CHPs'!B55</f>
        <v>0.59440070871766748</v>
      </c>
      <c r="G96" s="1">
        <f>'[1]Electricity and CHPs'!C55</f>
        <v>0.62587358998259968</v>
      </c>
      <c r="H96" s="1">
        <f>'[1]Electricity and CHPs'!D55</f>
        <v>1.1856852971159655</v>
      </c>
      <c r="I96" s="1">
        <f>'[1]Electricity and CHPs'!E55</f>
        <v>1.2988023941144442</v>
      </c>
      <c r="J96" s="1">
        <f>'[1]Electricity and CHPs'!F55</f>
        <v>1.2528534270171676</v>
      </c>
      <c r="K96" s="1">
        <f>'[1]Electricity and CHPs'!G55</f>
        <v>0.7662691275162381</v>
      </c>
      <c r="L96" s="1">
        <f>'[1]Electricity and CHPs'!H55</f>
        <v>0</v>
      </c>
      <c r="M96" s="1">
        <f>'[1]Electricity and CHPs'!I55</f>
        <v>0</v>
      </c>
      <c r="N96" s="1">
        <f>'[1]Electricity and CHPs'!J55</f>
        <v>1.8795932817530802E-3</v>
      </c>
      <c r="O96" s="1">
        <f>'[1]Electricity and CHPs'!K55</f>
        <v>1.7609892139568571E-3</v>
      </c>
      <c r="P96" s="1">
        <f>'[1]Electricity and CHPs'!L55</f>
        <v>1.3508186289412129E-3</v>
      </c>
      <c r="Q96" s="1">
        <f>'[1]Electricity and CHPs'!M55</f>
        <v>3.1494596183481334E-3</v>
      </c>
      <c r="S96" s="3"/>
    </row>
    <row r="97" spans="1:19" x14ac:dyDescent="0.5">
      <c r="A97" s="5" t="str">
        <f t="shared" si="68"/>
        <v>STEM</v>
      </c>
      <c r="B97" s="5" t="str">
        <f t="shared" si="69"/>
        <v>SPS1</v>
      </c>
      <c r="C97" s="5" t="str">
        <f t="shared" si="70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'[1]Electricity and CHPs'!F58</f>
        <v>0</v>
      </c>
      <c r="K97" s="1">
        <f>'[1]Electricity and CHPs'!G58</f>
        <v>0</v>
      </c>
      <c r="L97" s="1">
        <f>'[1]Electricity and CHPs'!H58</f>
        <v>0</v>
      </c>
      <c r="M97" s="1">
        <f>'[1]Electricity and CHPs'!I58</f>
        <v>0</v>
      </c>
      <c r="N97" s="1">
        <f>'[1]Electricity and CHPs'!J58</f>
        <v>8.7682723751276981E-4</v>
      </c>
      <c r="O97" s="1">
        <f>'[1]Electricity and CHPs'!K58</f>
        <v>1.5184271840441477E-3</v>
      </c>
      <c r="P97" s="1">
        <f>'[1]Electricity and CHPs'!L58</f>
        <v>1.1351880157498431E-3</v>
      </c>
      <c r="Q97" s="1">
        <f>'[1]Electricity and CHPs'!M58</f>
        <v>2.5515790558276966E-3</v>
      </c>
      <c r="S97" s="3"/>
    </row>
    <row r="98" spans="1:19" x14ac:dyDescent="0.5">
      <c r="A98" s="5" t="str">
        <f t="shared" ref="A98:A113" si="92">A97</f>
        <v>STEM</v>
      </c>
      <c r="B98" s="5" t="str">
        <f t="shared" ref="B98:B113" si="93">B97</f>
        <v>SPS1</v>
      </c>
      <c r="C98" s="5" t="str">
        <f t="shared" ref="C98:C113" si="94">C97</f>
        <v>CH</v>
      </c>
      <c r="D98" t="s">
        <v>797</v>
      </c>
      <c r="E98" t="str">
        <f t="shared" ref="E98:E108" si="95">E173</f>
        <v>PJ/yr.</v>
      </c>
      <c r="F98" s="1">
        <f>F82-F114</f>
        <v>2.2125326115877453</v>
      </c>
      <c r="G98" s="1">
        <f t="shared" ref="G98:K98" si="96">G82-G114</f>
        <v>1.0301858486564264</v>
      </c>
      <c r="H98" s="1">
        <f t="shared" si="96"/>
        <v>1.2780816025725921</v>
      </c>
      <c r="I98" s="1">
        <f>I82-I114</f>
        <v>1.8014357318914267</v>
      </c>
      <c r="J98" s="1">
        <f t="shared" si="96"/>
        <v>1.5927933022644538</v>
      </c>
      <c r="K98" s="1">
        <f t="shared" si="96"/>
        <v>1.3641103399118228</v>
      </c>
      <c r="L98" s="1">
        <f t="shared" ref="L98:O98" si="97">L82-L114</f>
        <v>0.52320589101278214</v>
      </c>
      <c r="M98" s="1">
        <f t="shared" si="97"/>
        <v>0.33168810206291344</v>
      </c>
      <c r="N98" s="1">
        <f t="shared" si="97"/>
        <v>4.4917511050783787E-3</v>
      </c>
      <c r="O98" s="1">
        <f t="shared" si="97"/>
        <v>5.5560263948493116E-3</v>
      </c>
      <c r="P98" s="1">
        <f t="shared" ref="P98:Q113" si="98">P82-P114</f>
        <v>4.831710523113486E-3</v>
      </c>
      <c r="Q98" s="1">
        <f t="shared" si="98"/>
        <v>6.6924895050082256E-3</v>
      </c>
      <c r="S98" s="3"/>
    </row>
    <row r="99" spans="1:19" x14ac:dyDescent="0.5">
      <c r="A99" s="5" t="str">
        <f t="shared" si="92"/>
        <v>STEM</v>
      </c>
      <c r="B99" s="5" t="str">
        <f t="shared" si="93"/>
        <v>SPS1</v>
      </c>
      <c r="C99" s="5" t="str">
        <f t="shared" si="94"/>
        <v>CH</v>
      </c>
      <c r="D99" t="s">
        <v>552</v>
      </c>
      <c r="E99" t="str">
        <f t="shared" si="95"/>
        <v>PJ/yr.</v>
      </c>
      <c r="F99" s="1">
        <f t="shared" ref="F99:K99" si="99">F83-F115</f>
        <v>0</v>
      </c>
      <c r="G99" s="1">
        <f t="shared" si="99"/>
        <v>0</v>
      </c>
      <c r="H99" s="1">
        <f t="shared" si="99"/>
        <v>0</v>
      </c>
      <c r="I99" s="1">
        <f t="shared" si="99"/>
        <v>0</v>
      </c>
      <c r="J99" s="1">
        <f t="shared" si="99"/>
        <v>0</v>
      </c>
      <c r="K99" s="1">
        <f t="shared" si="99"/>
        <v>5.3077660983276966E-6</v>
      </c>
      <c r="L99" s="1">
        <f t="shared" ref="L99:O99" si="100">L83-L115</f>
        <v>3.1909101000710153E-6</v>
      </c>
      <c r="M99" s="1">
        <f t="shared" si="100"/>
        <v>4.2617558357899747E-5</v>
      </c>
      <c r="N99" s="1">
        <f t="shared" si="100"/>
        <v>9.1284745551609668E-6</v>
      </c>
      <c r="O99" s="1">
        <f t="shared" si="100"/>
        <v>1.509729664771523E-5</v>
      </c>
      <c r="P99" s="1">
        <f t="shared" si="98"/>
        <v>1.1257799067219271E-5</v>
      </c>
      <c r="Q99" s="1">
        <f t="shared" si="98"/>
        <v>2.4254754359684556E-5</v>
      </c>
      <c r="S99" s="3"/>
    </row>
    <row r="100" spans="1:19" x14ac:dyDescent="0.5">
      <c r="A100" s="5" t="str">
        <f t="shared" si="92"/>
        <v>STEM</v>
      </c>
      <c r="B100" s="5" t="str">
        <f t="shared" si="93"/>
        <v>SPS1</v>
      </c>
      <c r="C100" s="5" t="str">
        <f t="shared" si="94"/>
        <v>CH</v>
      </c>
      <c r="D100" t="s">
        <v>553</v>
      </c>
      <c r="E100" t="str">
        <f t="shared" si="95"/>
        <v>PJ/yr.</v>
      </c>
      <c r="F100" s="1">
        <f t="shared" ref="F100:K100" si="101">F84-F116</f>
        <v>0</v>
      </c>
      <c r="G100" s="1">
        <f t="shared" si="101"/>
        <v>0</v>
      </c>
      <c r="H100" s="1">
        <f t="shared" si="101"/>
        <v>0</v>
      </c>
      <c r="I100" s="1">
        <f t="shared" si="101"/>
        <v>0</v>
      </c>
      <c r="J100" s="1">
        <f t="shared" si="101"/>
        <v>0</v>
      </c>
      <c r="K100" s="1">
        <f t="shared" si="101"/>
        <v>1.2924384157662754E-6</v>
      </c>
      <c r="L100" s="1">
        <f t="shared" ref="L100:O100" si="102">L84-L116</f>
        <v>0</v>
      </c>
      <c r="M100" s="1">
        <f t="shared" si="102"/>
        <v>2.3953909337299545E-2</v>
      </c>
      <c r="N100" s="1">
        <f t="shared" si="102"/>
        <v>7.3086106916919746E-5</v>
      </c>
      <c r="O100" s="1">
        <f t="shared" si="102"/>
        <v>6.3010469686374491E-5</v>
      </c>
      <c r="P100" s="1">
        <f t="shared" si="98"/>
        <v>5.4286253733644083E-5</v>
      </c>
      <c r="Q100" s="1">
        <f t="shared" si="98"/>
        <v>6.345400765992576E-5</v>
      </c>
      <c r="S100" s="3"/>
    </row>
    <row r="101" spans="1:19" x14ac:dyDescent="0.5">
      <c r="A101" s="5" t="str">
        <f t="shared" si="92"/>
        <v>STEM</v>
      </c>
      <c r="B101" s="5" t="str">
        <f t="shared" si="93"/>
        <v>SPS1</v>
      </c>
      <c r="C101" s="5" t="str">
        <f t="shared" si="94"/>
        <v>CH</v>
      </c>
      <c r="D101" t="s">
        <v>554</v>
      </c>
      <c r="E101" t="str">
        <f t="shared" si="95"/>
        <v>PJ/yr.</v>
      </c>
      <c r="F101" s="1">
        <f t="shared" ref="F101:K101" si="103">F85-F117</f>
        <v>0</v>
      </c>
      <c r="G101" s="1">
        <f t="shared" si="103"/>
        <v>0</v>
      </c>
      <c r="H101" s="1">
        <f t="shared" si="103"/>
        <v>0</v>
      </c>
      <c r="I101" s="1">
        <f t="shared" si="103"/>
        <v>0</v>
      </c>
      <c r="J101" s="1">
        <f t="shared" si="103"/>
        <v>0</v>
      </c>
      <c r="K101" s="1">
        <f t="shared" si="103"/>
        <v>0</v>
      </c>
      <c r="L101" s="1">
        <f t="shared" ref="L101:O101" si="104">L85-L117</f>
        <v>2.4205352352456802E-6</v>
      </c>
      <c r="M101" s="1">
        <f t="shared" si="104"/>
        <v>3.9864714848430358E-5</v>
      </c>
      <c r="N101" s="1">
        <f t="shared" si="104"/>
        <v>2.9478265055091907E-4</v>
      </c>
      <c r="O101" s="1">
        <f t="shared" si="104"/>
        <v>4.6864440619606706E-4</v>
      </c>
      <c r="P101" s="1">
        <f t="shared" si="98"/>
        <v>3.4178317109750944E-4</v>
      </c>
      <c r="Q101" s="1">
        <f t="shared" si="98"/>
        <v>4.6929634976931173E-4</v>
      </c>
      <c r="S101" s="3"/>
    </row>
    <row r="102" spans="1:19" x14ac:dyDescent="0.5">
      <c r="A102" s="5" t="str">
        <f t="shared" si="92"/>
        <v>STEM</v>
      </c>
      <c r="B102" s="5" t="str">
        <f t="shared" si="93"/>
        <v>SPS1</v>
      </c>
      <c r="C102" s="5" t="str">
        <f t="shared" si="94"/>
        <v>CH</v>
      </c>
      <c r="D102" t="s">
        <v>555</v>
      </c>
      <c r="E102" t="str">
        <f t="shared" si="95"/>
        <v>PJ/yr.</v>
      </c>
      <c r="F102" s="1">
        <f t="shared" ref="F102:K102" si="105">F86-F118</f>
        <v>0.94056068264268644</v>
      </c>
      <c r="G102" s="1">
        <f t="shared" si="105"/>
        <v>1.9703644138464342E-4</v>
      </c>
      <c r="H102" s="1">
        <f t="shared" si="105"/>
        <v>1.1110543697551954E-3</v>
      </c>
      <c r="I102" s="1">
        <f t="shared" si="105"/>
        <v>0</v>
      </c>
      <c r="J102" s="1">
        <f t="shared" si="105"/>
        <v>0</v>
      </c>
      <c r="K102" s="1">
        <f t="shared" si="105"/>
        <v>0</v>
      </c>
      <c r="L102" s="1">
        <f t="shared" ref="L102:O102" si="106">L86-L118</f>
        <v>0</v>
      </c>
      <c r="M102" s="1">
        <f t="shared" si="106"/>
        <v>0</v>
      </c>
      <c r="N102" s="1">
        <f t="shared" si="106"/>
        <v>0</v>
      </c>
      <c r="O102" s="1">
        <f t="shared" si="106"/>
        <v>0</v>
      </c>
      <c r="P102" s="1">
        <f t="shared" si="98"/>
        <v>0</v>
      </c>
      <c r="Q102" s="1">
        <f t="shared" si="98"/>
        <v>0</v>
      </c>
      <c r="S102" s="3"/>
    </row>
    <row r="103" spans="1:19" x14ac:dyDescent="0.5">
      <c r="A103" s="5" t="str">
        <f t="shared" si="92"/>
        <v>STEM</v>
      </c>
      <c r="B103" s="5" t="str">
        <f t="shared" si="93"/>
        <v>SPS1</v>
      </c>
      <c r="C103" s="5" t="str">
        <f t="shared" si="94"/>
        <v>CH</v>
      </c>
      <c r="D103" t="s">
        <v>556</v>
      </c>
      <c r="E103" t="str">
        <f t="shared" si="95"/>
        <v>PJ/yr.</v>
      </c>
      <c r="F103" s="1">
        <f t="shared" ref="F103:K103" si="107">F87-F119</f>
        <v>0</v>
      </c>
      <c r="G103" s="1">
        <f t="shared" si="107"/>
        <v>0</v>
      </c>
      <c r="H103" s="1">
        <f t="shared" si="107"/>
        <v>0</v>
      </c>
      <c r="I103" s="1">
        <f t="shared" si="107"/>
        <v>0</v>
      </c>
      <c r="J103" s="1">
        <f t="shared" si="107"/>
        <v>0</v>
      </c>
      <c r="K103" s="1">
        <f t="shared" si="107"/>
        <v>0</v>
      </c>
      <c r="L103" s="1">
        <f t="shared" ref="L103:O103" si="108">L87-L119</f>
        <v>0</v>
      </c>
      <c r="M103" s="1">
        <f t="shared" si="108"/>
        <v>0</v>
      </c>
      <c r="N103" s="1">
        <f t="shared" si="108"/>
        <v>0</v>
      </c>
      <c r="O103" s="1">
        <f t="shared" si="108"/>
        <v>0</v>
      </c>
      <c r="P103" s="1">
        <f t="shared" si="98"/>
        <v>0</v>
      </c>
      <c r="Q103" s="1">
        <f t="shared" si="98"/>
        <v>0</v>
      </c>
      <c r="S103" s="3"/>
    </row>
    <row r="104" spans="1:19" x14ac:dyDescent="0.5">
      <c r="A104" s="5" t="str">
        <f t="shared" si="92"/>
        <v>STEM</v>
      </c>
      <c r="B104" s="5" t="str">
        <f t="shared" si="93"/>
        <v>SPS1</v>
      </c>
      <c r="C104" s="5" t="str">
        <f t="shared" si="94"/>
        <v>CH</v>
      </c>
      <c r="D104" t="s">
        <v>557</v>
      </c>
      <c r="E104" t="str">
        <f t="shared" si="95"/>
        <v>PJ/yr.</v>
      </c>
      <c r="F104" s="1">
        <f t="shared" ref="F104:K104" si="109">F88-F120</f>
        <v>0.65240017797301275</v>
      </c>
      <c r="G104" s="1">
        <f t="shared" si="109"/>
        <v>0.40061260135797844</v>
      </c>
      <c r="H104" s="1">
        <f t="shared" si="109"/>
        <v>5.00619500226131E-2</v>
      </c>
      <c r="I104" s="1">
        <f t="shared" si="109"/>
        <v>0.40702233825732437</v>
      </c>
      <c r="J104" s="1">
        <f t="shared" si="109"/>
        <v>0.25303812074101478</v>
      </c>
      <c r="K104" s="1">
        <f t="shared" si="109"/>
        <v>0.60526825954710306</v>
      </c>
      <c r="L104" s="1">
        <f t="shared" ref="L104:O104" si="110">L88-L120</f>
        <v>0.33004656072246302</v>
      </c>
      <c r="M104" s="1">
        <f t="shared" si="110"/>
        <v>0.19465132848542899</v>
      </c>
      <c r="N104" s="1">
        <f t="shared" si="110"/>
        <v>2.5653930206758768E-3</v>
      </c>
      <c r="O104" s="1">
        <f t="shared" si="110"/>
        <v>3.0744509222556116E-3</v>
      </c>
      <c r="P104" s="1">
        <f t="shared" si="98"/>
        <v>2.7417366097038931E-3</v>
      </c>
      <c r="Q104" s="1">
        <f t="shared" si="98"/>
        <v>3.7291595691261725E-3</v>
      </c>
      <c r="S104" s="3"/>
    </row>
    <row r="105" spans="1:19" x14ac:dyDescent="0.5">
      <c r="A105" s="5" t="str">
        <f t="shared" si="92"/>
        <v>STEM</v>
      </c>
      <c r="B105" s="5" t="str">
        <f t="shared" si="93"/>
        <v>SPS1</v>
      </c>
      <c r="C105" s="5" t="str">
        <f t="shared" si="94"/>
        <v>CH</v>
      </c>
      <c r="D105" t="s">
        <v>558</v>
      </c>
      <c r="E105" t="str">
        <f t="shared" si="95"/>
        <v>PJ/yr.</v>
      </c>
      <c r="F105" s="1">
        <f t="shared" ref="F105:K105" si="111">F89-F121</f>
        <v>0</v>
      </c>
      <c r="G105" s="1">
        <f t="shared" si="111"/>
        <v>0</v>
      </c>
      <c r="H105" s="1">
        <f t="shared" si="111"/>
        <v>0</v>
      </c>
      <c r="I105" s="1">
        <f t="shared" si="111"/>
        <v>0</v>
      </c>
      <c r="J105" s="1">
        <f t="shared" si="111"/>
        <v>0</v>
      </c>
      <c r="K105" s="1">
        <f t="shared" si="111"/>
        <v>4.154443897234834E-3</v>
      </c>
      <c r="L105" s="1">
        <f t="shared" ref="L105:O105" si="112">L89-L121</f>
        <v>0.19082148584535008</v>
      </c>
      <c r="M105" s="1">
        <f t="shared" si="112"/>
        <v>0.11255007308549789</v>
      </c>
      <c r="N105" s="1">
        <f t="shared" si="112"/>
        <v>1.4833027957866507E-3</v>
      </c>
      <c r="O105" s="1">
        <f t="shared" si="112"/>
        <v>1.7776874839530443E-3</v>
      </c>
      <c r="P105" s="1">
        <f t="shared" si="98"/>
        <v>1.5852928862803428E-3</v>
      </c>
      <c r="Q105" s="1">
        <f t="shared" si="98"/>
        <v>2.1562130621652631E-3</v>
      </c>
      <c r="S105" s="3"/>
    </row>
    <row r="106" spans="1:19" x14ac:dyDescent="0.5">
      <c r="A106" s="5" t="str">
        <f t="shared" si="92"/>
        <v>STEM</v>
      </c>
      <c r="B106" s="5" t="str">
        <f t="shared" si="93"/>
        <v>SPS1</v>
      </c>
      <c r="C106" s="5" t="str">
        <f t="shared" si="94"/>
        <v>CH</v>
      </c>
      <c r="D106" t="s">
        <v>559</v>
      </c>
      <c r="E106" t="str">
        <f t="shared" si="95"/>
        <v>PJ/yr.</v>
      </c>
      <c r="F106" s="1">
        <f t="shared" ref="F106:K106" si="113">F90-F122</f>
        <v>0</v>
      </c>
      <c r="G106" s="1">
        <f t="shared" si="113"/>
        <v>0</v>
      </c>
      <c r="H106" s="1">
        <f t="shared" si="113"/>
        <v>0</v>
      </c>
      <c r="I106" s="1">
        <f t="shared" si="113"/>
        <v>2.911897697501284E-4</v>
      </c>
      <c r="J106" s="1">
        <f t="shared" si="113"/>
        <v>4.5899490488770503E-4</v>
      </c>
      <c r="K106" s="1">
        <f t="shared" si="113"/>
        <v>3.9134500385498922E-3</v>
      </c>
      <c r="L106" s="1">
        <f t="shared" ref="L106:O106" si="114">L90-L122</f>
        <v>2.3322329996338493E-3</v>
      </c>
      <c r="M106" s="1">
        <f t="shared" si="114"/>
        <v>4.5030888148085235E-4</v>
      </c>
      <c r="N106" s="1">
        <f t="shared" si="114"/>
        <v>8.2846476596773033E-6</v>
      </c>
      <c r="O106" s="1">
        <f t="shared" si="114"/>
        <v>2.4497259311709318E-5</v>
      </c>
      <c r="P106" s="1">
        <f t="shared" si="98"/>
        <v>7.8651211691085129E-6</v>
      </c>
      <c r="Q106" s="1">
        <f t="shared" si="98"/>
        <v>6.9451936512753085E-6</v>
      </c>
      <c r="S106" s="3"/>
    </row>
    <row r="107" spans="1:19" x14ac:dyDescent="0.5">
      <c r="A107" s="5" t="str">
        <f t="shared" si="92"/>
        <v>STEM</v>
      </c>
      <c r="B107" s="5" t="str">
        <f t="shared" si="93"/>
        <v>SPS1</v>
      </c>
      <c r="C107" s="5" t="str">
        <f t="shared" si="94"/>
        <v>CH</v>
      </c>
      <c r="D107" t="s">
        <v>560</v>
      </c>
      <c r="E107" t="str">
        <f t="shared" si="95"/>
        <v>PJ/yr.</v>
      </c>
      <c r="F107" s="1">
        <f t="shared" ref="F107:K107" si="115">F91-F123</f>
        <v>1.3628333006276933E-2</v>
      </c>
      <c r="G107" s="1">
        <f t="shared" si="115"/>
        <v>2.3351637285584661E-3</v>
      </c>
      <c r="H107" s="1">
        <f t="shared" si="115"/>
        <v>6.992486619975191E-3</v>
      </c>
      <c r="I107" s="1">
        <f t="shared" si="115"/>
        <v>5.7940522638886055E-3</v>
      </c>
      <c r="J107" s="1">
        <f t="shared" si="115"/>
        <v>5.5994318552260204E-3</v>
      </c>
      <c r="K107" s="1">
        <f t="shared" si="115"/>
        <v>2.3034883179745801E-3</v>
      </c>
      <c r="L107" s="1">
        <f t="shared" ref="L107:O107" si="116">L91-L123</f>
        <v>0</v>
      </c>
      <c r="M107" s="1">
        <f t="shared" si="116"/>
        <v>0</v>
      </c>
      <c r="N107" s="1">
        <f t="shared" si="116"/>
        <v>1.3657808973502588E-5</v>
      </c>
      <c r="O107" s="1">
        <f t="shared" si="116"/>
        <v>2.3545077205818811E-5</v>
      </c>
      <c r="P107" s="1">
        <f t="shared" si="98"/>
        <v>2.462168534112354E-5</v>
      </c>
      <c r="Q107" s="1">
        <f t="shared" si="98"/>
        <v>3.9900484885058152E-5</v>
      </c>
      <c r="S107" s="3"/>
    </row>
    <row r="108" spans="1:19" x14ac:dyDescent="0.5">
      <c r="A108" s="5" t="str">
        <f t="shared" si="92"/>
        <v>STEM</v>
      </c>
      <c r="B108" s="5" t="str">
        <f t="shared" si="93"/>
        <v>SPS1</v>
      </c>
      <c r="C108" s="5" t="str">
        <f t="shared" si="94"/>
        <v>CH</v>
      </c>
      <c r="D108" t="s">
        <v>561</v>
      </c>
      <c r="E108" t="str">
        <f t="shared" si="95"/>
        <v>PJ/yr.</v>
      </c>
      <c r="F108" s="1">
        <f t="shared" ref="F108:K108" si="117">F92-F124</f>
        <v>0</v>
      </c>
      <c r="G108" s="1">
        <f t="shared" si="117"/>
        <v>0</v>
      </c>
      <c r="H108" s="1">
        <f t="shared" si="117"/>
        <v>0</v>
      </c>
      <c r="I108" s="1">
        <f t="shared" si="117"/>
        <v>0</v>
      </c>
      <c r="J108" s="1">
        <f t="shared" si="117"/>
        <v>0</v>
      </c>
      <c r="K108" s="1">
        <f t="shared" si="117"/>
        <v>0</v>
      </c>
      <c r="L108" s="1">
        <f t="shared" ref="L108:O108" si="118">L92-L124</f>
        <v>0</v>
      </c>
      <c r="M108" s="1">
        <f t="shared" si="118"/>
        <v>0</v>
      </c>
      <c r="N108" s="1">
        <f t="shared" si="118"/>
        <v>5.4947378567389094E-6</v>
      </c>
      <c r="O108" s="1">
        <f t="shared" si="118"/>
        <v>1.3139094401241934E-5</v>
      </c>
      <c r="P108" s="1">
        <f t="shared" si="98"/>
        <v>9.8410434904193985E-6</v>
      </c>
      <c r="Q108" s="1">
        <f t="shared" si="98"/>
        <v>2.5773752546282436E-5</v>
      </c>
      <c r="S108" s="3"/>
    </row>
    <row r="109" spans="1:19" x14ac:dyDescent="0.5">
      <c r="A109" s="5" t="str">
        <f t="shared" si="92"/>
        <v>STEM</v>
      </c>
      <c r="B109" s="5" t="str">
        <f t="shared" si="93"/>
        <v>SPS1</v>
      </c>
      <c r="C109" s="5" t="str">
        <f t="shared" si="94"/>
        <v>CH</v>
      </c>
      <c r="D109" t="s">
        <v>562</v>
      </c>
      <c r="E109" t="str">
        <f>E185</f>
        <v>PJ/yr.</v>
      </c>
      <c r="F109" s="1">
        <f t="shared" ref="F109:K109" si="119">F93-F125</f>
        <v>2.7124542725490901E-2</v>
      </c>
      <c r="G109" s="1">
        <f t="shared" si="119"/>
        <v>2.8214176490328723E-2</v>
      </c>
      <c r="H109" s="1">
        <f t="shared" si="119"/>
        <v>0.1122175213597857</v>
      </c>
      <c r="I109" s="1">
        <f t="shared" si="119"/>
        <v>0.11745185457451691</v>
      </c>
      <c r="J109" s="1">
        <f t="shared" si="119"/>
        <v>0.11663762984320807</v>
      </c>
      <c r="K109" s="1">
        <f t="shared" si="119"/>
        <v>4.6977636006937974E-2</v>
      </c>
      <c r="L109" s="1">
        <f t="shared" ref="L109:O109" si="120">L93-L125</f>
        <v>0</v>
      </c>
      <c r="M109" s="1">
        <f t="shared" si="120"/>
        <v>0</v>
      </c>
      <c r="N109" s="1">
        <f t="shared" si="120"/>
        <v>1.0721185039261468E-5</v>
      </c>
      <c r="O109" s="1">
        <f t="shared" si="120"/>
        <v>3.7060449424454467E-5</v>
      </c>
      <c r="P109" s="1">
        <f t="shared" si="98"/>
        <v>2.1268312679450542E-5</v>
      </c>
      <c r="Q109" s="1">
        <f t="shared" si="98"/>
        <v>7.553001799897284E-5</v>
      </c>
      <c r="S109" s="3"/>
    </row>
    <row r="110" spans="1:19" x14ac:dyDescent="0.5">
      <c r="A110" s="5" t="str">
        <f t="shared" si="92"/>
        <v>STEM</v>
      </c>
      <c r="B110" s="5" t="str">
        <f t="shared" si="93"/>
        <v>SPS1</v>
      </c>
      <c r="C110" s="5" t="str">
        <f t="shared" si="94"/>
        <v>CH</v>
      </c>
      <c r="D110" t="s">
        <v>563</v>
      </c>
      <c r="E110" t="str">
        <f>E187</f>
        <v>PJ/yr.</v>
      </c>
      <c r="F110" s="1">
        <f t="shared" ref="F110:K110" si="121">F94-F126</f>
        <v>0</v>
      </c>
      <c r="G110" s="1">
        <f t="shared" si="121"/>
        <v>0</v>
      </c>
      <c r="H110" s="1">
        <f t="shared" si="121"/>
        <v>0</v>
      </c>
      <c r="I110" s="1">
        <f t="shared" si="121"/>
        <v>0</v>
      </c>
      <c r="J110" s="1">
        <f t="shared" si="121"/>
        <v>0</v>
      </c>
      <c r="K110" s="1">
        <f t="shared" si="121"/>
        <v>0</v>
      </c>
      <c r="L110" s="1">
        <f t="shared" ref="L110:O110" si="122">L94-L126</f>
        <v>0</v>
      </c>
      <c r="M110" s="1">
        <f t="shared" si="122"/>
        <v>0</v>
      </c>
      <c r="N110" s="1">
        <f t="shared" si="122"/>
        <v>1.1208388275551866E-5</v>
      </c>
      <c r="O110" s="1">
        <f t="shared" si="122"/>
        <v>3.0533095201848263E-5</v>
      </c>
      <c r="P110" s="1">
        <f t="shared" si="98"/>
        <v>1.7672634734304873E-5</v>
      </c>
      <c r="Q110" s="1">
        <f t="shared" si="98"/>
        <v>5.1823308673638185E-5</v>
      </c>
      <c r="S110" s="3"/>
    </row>
    <row r="111" spans="1:19" x14ac:dyDescent="0.5">
      <c r="A111" s="5" t="str">
        <f t="shared" si="92"/>
        <v>STEM</v>
      </c>
      <c r="B111" s="5" t="str">
        <f t="shared" si="93"/>
        <v>SPS1</v>
      </c>
      <c r="C111" s="5" t="str">
        <f t="shared" si="94"/>
        <v>CH</v>
      </c>
      <c r="D111" t="s">
        <v>564</v>
      </c>
      <c r="E111" t="str">
        <f>E189</f>
        <v>PJ/yr.</v>
      </c>
      <c r="F111" s="1">
        <f t="shared" ref="F111:K111" si="123">F95-F127</f>
        <v>0</v>
      </c>
      <c r="G111" s="1">
        <f t="shared" si="123"/>
        <v>0</v>
      </c>
      <c r="H111" s="1">
        <f t="shared" si="123"/>
        <v>0</v>
      </c>
      <c r="I111" s="1">
        <f t="shared" si="123"/>
        <v>0</v>
      </c>
      <c r="J111" s="1">
        <f t="shared" si="123"/>
        <v>0</v>
      </c>
      <c r="K111" s="1">
        <f t="shared" si="123"/>
        <v>0</v>
      </c>
      <c r="L111" s="1">
        <f t="shared" ref="L111:O111" si="124">L95-L127</f>
        <v>0</v>
      </c>
      <c r="M111" s="1">
        <f t="shared" si="124"/>
        <v>0</v>
      </c>
      <c r="N111" s="1">
        <f t="shared" si="124"/>
        <v>0</v>
      </c>
      <c r="O111" s="1">
        <f t="shared" si="124"/>
        <v>0</v>
      </c>
      <c r="P111" s="1">
        <f t="shared" si="98"/>
        <v>0</v>
      </c>
      <c r="Q111" s="1">
        <f t="shared" si="98"/>
        <v>0</v>
      </c>
      <c r="S111" s="3"/>
    </row>
    <row r="112" spans="1:19" x14ac:dyDescent="0.5">
      <c r="A112" s="5" t="str">
        <f t="shared" si="92"/>
        <v>STEM</v>
      </c>
      <c r="B112" s="5" t="str">
        <f t="shared" si="93"/>
        <v>SPS1</v>
      </c>
      <c r="C112" s="5" t="str">
        <f t="shared" si="94"/>
        <v>CH</v>
      </c>
      <c r="D112" t="s">
        <v>565</v>
      </c>
      <c r="E112" t="str">
        <f>E190</f>
        <v>PJ/yr.</v>
      </c>
      <c r="F112" s="1">
        <f t="shared" ref="F112:K112" si="125">F96-F128</f>
        <v>0.57881887524027797</v>
      </c>
      <c r="G112" s="1">
        <f t="shared" si="125"/>
        <v>0.59882687063817619</v>
      </c>
      <c r="H112" s="1">
        <f t="shared" si="125"/>
        <v>1.1076985902004626</v>
      </c>
      <c r="I112" s="1">
        <f t="shared" si="125"/>
        <v>1.2708762970259468</v>
      </c>
      <c r="J112" s="1">
        <f t="shared" si="125"/>
        <v>1.2170591249201177</v>
      </c>
      <c r="K112" s="1">
        <f t="shared" si="125"/>
        <v>0.70148646189950836</v>
      </c>
      <c r="L112" s="1">
        <f t="shared" ref="L112:O112" si="126">L96-L128</f>
        <v>0</v>
      </c>
      <c r="M112" s="1">
        <f t="shared" si="126"/>
        <v>0</v>
      </c>
      <c r="N112" s="1">
        <f t="shared" si="126"/>
        <v>1.1381730055564157E-5</v>
      </c>
      <c r="O112" s="1">
        <f t="shared" si="126"/>
        <v>1.5229275052010749E-5</v>
      </c>
      <c r="P112" s="1">
        <f t="shared" si="98"/>
        <v>8.7400914834810835E-6</v>
      </c>
      <c r="Q112" s="1">
        <f t="shared" si="98"/>
        <v>2.7698596338156852E-5</v>
      </c>
      <c r="S112" s="3"/>
    </row>
    <row r="113" spans="1:19" x14ac:dyDescent="0.5">
      <c r="A113" s="5" t="str">
        <f t="shared" si="92"/>
        <v>STEM</v>
      </c>
      <c r="B113" s="5" t="str">
        <f t="shared" si="93"/>
        <v>SPS1</v>
      </c>
      <c r="C113" s="5" t="str">
        <f t="shared" si="94"/>
        <v>CH</v>
      </c>
      <c r="D113" t="s">
        <v>566</v>
      </c>
      <c r="E113" t="str">
        <f>E195</f>
        <v>PJ/yr.</v>
      </c>
      <c r="F113" s="1">
        <f t="shared" ref="F113:K113" si="127">F97-F129</f>
        <v>0</v>
      </c>
      <c r="G113" s="1">
        <f t="shared" si="127"/>
        <v>0</v>
      </c>
      <c r="H113" s="1">
        <f>H97-H129</f>
        <v>0</v>
      </c>
      <c r="I113" s="1">
        <f t="shared" si="127"/>
        <v>0</v>
      </c>
      <c r="J113" s="1">
        <f t="shared" si="127"/>
        <v>0</v>
      </c>
      <c r="K113" s="1">
        <f t="shared" si="127"/>
        <v>0</v>
      </c>
      <c r="L113" s="1">
        <f t="shared" ref="L113:O113" si="128">L97-L129</f>
        <v>0</v>
      </c>
      <c r="M113" s="1">
        <f t="shared" si="128"/>
        <v>0</v>
      </c>
      <c r="N113" s="1">
        <f t="shared" si="128"/>
        <v>5.3095587325297519E-6</v>
      </c>
      <c r="O113" s="1">
        <f t="shared" si="128"/>
        <v>1.3131565513850585E-5</v>
      </c>
      <c r="P113" s="1">
        <f t="shared" si="98"/>
        <v>7.3449143327122476E-6</v>
      </c>
      <c r="Q113" s="1">
        <f t="shared" si="98"/>
        <v>2.2440407833943139E-5</v>
      </c>
      <c r="S113" s="3"/>
    </row>
    <row r="114" spans="1:19" x14ac:dyDescent="0.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1.0189266492257663</v>
      </c>
      <c r="G114" s="1">
        <f t="shared" ref="G114:Q114" si="129">SUM(G115:G129)</f>
        <v>1.1524843270708258</v>
      </c>
      <c r="H114" s="1">
        <f t="shared" si="129"/>
        <v>1.1960107930731194</v>
      </c>
      <c r="I114" s="1">
        <f t="shared" si="129"/>
        <v>1.1456139191450565</v>
      </c>
      <c r="J114" s="1">
        <f t="shared" si="129"/>
        <v>1.4901317289805505</v>
      </c>
      <c r="K114" s="1">
        <f t="shared" si="129"/>
        <v>1.5693301156511432</v>
      </c>
      <c r="L114" s="1">
        <f t="shared" si="129"/>
        <v>3.3449925084097472</v>
      </c>
      <c r="M114" s="1">
        <f t="shared" si="129"/>
        <v>3.820615479872437</v>
      </c>
      <c r="N114" s="1">
        <f t="shared" si="129"/>
        <v>4.8584674318703769</v>
      </c>
      <c r="O114" s="1">
        <f t="shared" si="129"/>
        <v>5.9341236540010627</v>
      </c>
      <c r="P114" s="1">
        <f t="shared" si="129"/>
        <v>6.224250833636491</v>
      </c>
      <c r="Q114" s="1">
        <f t="shared" si="129"/>
        <v>6.2371450066657159</v>
      </c>
      <c r="S114" s="3"/>
    </row>
    <row r="115" spans="1:19" x14ac:dyDescent="0.5">
      <c r="A115" s="5" t="str">
        <f t="shared" si="68"/>
        <v>STEM</v>
      </c>
      <c r="B115" s="5" t="str">
        <f t="shared" si="69"/>
        <v>SPS1</v>
      </c>
      <c r="C115" s="5" t="str">
        <f t="shared" si="70"/>
        <v>CH</v>
      </c>
      <c r="D115" t="s">
        <v>613</v>
      </c>
      <c r="E115" t="str">
        <f t="shared" ref="E115:E130" si="130">E114</f>
        <v>PJ/yr.</v>
      </c>
      <c r="F115" s="1">
        <f>'[1]Electricity and CHPs_IN'!P$23/SUM('[1]Electricity and CHPs_IN'!P$22:P$23)*F83</f>
        <v>0</v>
      </c>
      <c r="G115" s="1">
        <f>'[1]Electricity and CHPs_IN'!Q$23/SUM('[1]Electricity and CHPs_IN'!Q$22:Q$23)*G83</f>
        <v>0</v>
      </c>
      <c r="H115" s="1">
        <f>'[1]Electricity and CHPs_IN'!R$23/SUM('[1]Electricity and CHPs_IN'!R$22:R$23)*H83</f>
        <v>0</v>
      </c>
      <c r="I115" s="1">
        <f>'[1]Electricity and CHPs_IN'!S$23/SUM('[1]Electricity and CHPs_IN'!S$22:S$23)*I83</f>
        <v>0</v>
      </c>
      <c r="J115" s="1">
        <f>'[1]Electricity and CHPs_IN'!T$23/SUM('[1]Electricity and CHPs_IN'!T$22:T$23)*J83</f>
        <v>0</v>
      </c>
      <c r="K115" s="1">
        <f>'[1]Electricity and CHPs_IN'!U$23/SUM('[1]Electricity and CHPs_IN'!U$22:U$23)*K83</f>
        <v>4.9017515660770661E-7</v>
      </c>
      <c r="L115" s="1">
        <f>'[1]Electricity and CHPs_IN'!V$23/SUM('[1]Electricity and CHPs_IN'!V$22:V$23)*L83</f>
        <v>8.9520899401109246E-7</v>
      </c>
      <c r="M115" s="1">
        <f>'[1]Electricity and CHPs_IN'!W$23/SUM('[1]Electricity and CHPs_IN'!W$22:W$23)*M83</f>
        <v>5.0190609153769499E-5</v>
      </c>
      <c r="N115" s="1">
        <f>'[1]Electricity and CHPs_IN'!X$23/SUM('[1]Electricity and CHPs_IN'!X$22:X$23)*N83</f>
        <v>1.4983593469598867E-3</v>
      </c>
      <c r="O115" s="1">
        <f>'[1]Electricity and CHPs_IN'!Y$23/SUM('[1]Electricity and CHPs_IN'!Y$22:Y$23)*O83</f>
        <v>1.7306310105590749E-3</v>
      </c>
      <c r="P115" s="1">
        <f>'[1]Electricity and CHPs_IN'!Z$23/SUM('[1]Electricity and CHPs_IN'!Z$22:Z$23)*P83</f>
        <v>1.7286833365168324E-3</v>
      </c>
      <c r="Q115" s="1">
        <f>'[1]Electricity and CHPs_IN'!AA$23/SUM('[1]Electricity and CHPs_IN'!AA$22:AA$23)*Q83</f>
        <v>2.7336239654203406E-3</v>
      </c>
      <c r="S115" s="3"/>
    </row>
    <row r="116" spans="1:19" x14ac:dyDescent="0.5">
      <c r="A116" s="5" t="str">
        <f t="shared" si="68"/>
        <v>STEM</v>
      </c>
      <c r="B116" s="5" t="str">
        <f t="shared" si="69"/>
        <v>SPS1</v>
      </c>
      <c r="C116" s="5" t="str">
        <f t="shared" si="70"/>
        <v>CH</v>
      </c>
      <c r="D116" t="s">
        <v>614</v>
      </c>
      <c r="E116" t="str">
        <f t="shared" si="130"/>
        <v>PJ/yr.</v>
      </c>
      <c r="F116" s="1">
        <f>'[1]Electricity and CHPs_IN'!P$23/SUM('[1]Electricity and CHPs_IN'!P$22:P$23)*F84</f>
        <v>0</v>
      </c>
      <c r="G116" s="1">
        <f>'[1]Electricity and CHPs_IN'!Q$23/SUM('[1]Electricity and CHPs_IN'!Q$22:Q$23)*G84</f>
        <v>0</v>
      </c>
      <c r="H116" s="1">
        <f>'[1]Electricity and CHPs_IN'!R$23/SUM('[1]Electricity and CHPs_IN'!R$22:R$23)*H84</f>
        <v>0</v>
      </c>
      <c r="I116" s="1">
        <f>'[1]Electricity and CHPs_IN'!S$23/SUM('[1]Electricity and CHPs_IN'!S$22:S$23)*I84</f>
        <v>0</v>
      </c>
      <c r="J116" s="1">
        <f>'[1]Electricity and CHPs_IN'!T$23/SUM('[1]Electricity and CHPs_IN'!T$22:T$23)*J84</f>
        <v>0</v>
      </c>
      <c r="K116" s="1">
        <f>'[1]Electricity and CHPs_IN'!U$23/SUM('[1]Electricity and CHPs_IN'!U$22:U$23)*K84</f>
        <v>1.1935740782806009E-7</v>
      </c>
      <c r="L116" s="1">
        <f>'[1]Electricity and CHPs_IN'!V$23/SUM('[1]Electricity and CHPs_IN'!V$22:V$23)*L84</f>
        <v>0</v>
      </c>
      <c r="M116" s="1">
        <f>'[1]Electricity and CHPs_IN'!W$23/SUM('[1]Electricity and CHPs_IN'!W$22:W$23)*M84</f>
        <v>2.8210468820309031E-2</v>
      </c>
      <c r="N116" s="1">
        <f>'[1]Electricity and CHPs_IN'!X$23/SUM('[1]Electricity and CHPs_IN'!X$22:X$23)*N84</f>
        <v>1.1996445930822143E-2</v>
      </c>
      <c r="O116" s="1">
        <f>'[1]Electricity and CHPs_IN'!Y$23/SUM('[1]Electricity and CHPs_IN'!Y$22:Y$23)*O84</f>
        <v>7.2230065669164328E-3</v>
      </c>
      <c r="P116" s="1">
        <f>'[1]Electricity and CHPs_IN'!Z$23/SUM('[1]Electricity and CHPs_IN'!Z$22:Z$23)*P84</f>
        <v>8.3358871188714961E-3</v>
      </c>
      <c r="Q116" s="1">
        <f>'[1]Electricity and CHPs_IN'!AA$23/SUM('[1]Electricity and CHPs_IN'!AA$22:AA$23)*Q84</f>
        <v>7.1515626779324604E-3</v>
      </c>
      <c r="S116" s="3"/>
    </row>
    <row r="117" spans="1:19" x14ac:dyDescent="0.5">
      <c r="A117" s="5" t="str">
        <f t="shared" si="68"/>
        <v>STEM</v>
      </c>
      <c r="B117" s="5" t="str">
        <f t="shared" si="69"/>
        <v>SPS1</v>
      </c>
      <c r="C117" s="5" t="str">
        <f t="shared" si="70"/>
        <v>CH</v>
      </c>
      <c r="D117" t="s">
        <v>615</v>
      </c>
      <c r="E117" t="str">
        <f t="shared" si="130"/>
        <v>PJ/yr.</v>
      </c>
      <c r="F117" s="1">
        <f>'[1]Electricity and CHPs_IN'!P$23/SUM('[1]Electricity and CHPs_IN'!P$22:P$23)*F85</f>
        <v>0</v>
      </c>
      <c r="G117" s="1">
        <f>'[1]Electricity and CHPs_IN'!Q$23/SUM('[1]Electricity and CHPs_IN'!Q$22:Q$23)*G85</f>
        <v>0</v>
      </c>
      <c r="H117" s="1">
        <f>'[1]Electricity and CHPs_IN'!R$23/SUM('[1]Electricity and CHPs_IN'!R$22:R$23)*H85</f>
        <v>0</v>
      </c>
      <c r="I117" s="1">
        <f>'[1]Electricity and CHPs_IN'!S$23/SUM('[1]Electricity and CHPs_IN'!S$22:S$23)*I85</f>
        <v>0</v>
      </c>
      <c r="J117" s="1">
        <f>'[1]Electricity and CHPs_IN'!T$23/SUM('[1]Electricity and CHPs_IN'!T$22:T$23)*J85</f>
        <v>0</v>
      </c>
      <c r="K117" s="1">
        <f>'[1]Electricity and CHPs_IN'!U$23/SUM('[1]Electricity and CHPs_IN'!U$22:U$23)*K85</f>
        <v>0</v>
      </c>
      <c r="L117" s="1">
        <f>'[1]Electricity and CHPs_IN'!V$23/SUM('[1]Electricity and CHPs_IN'!V$22:V$23)*L85</f>
        <v>6.7908052717137453E-7</v>
      </c>
      <c r="M117" s="1">
        <f>'[1]Electricity and CHPs_IN'!W$23/SUM('[1]Electricity and CHPs_IN'!W$22:W$23)*M85</f>
        <v>4.6948591122493475E-5</v>
      </c>
      <c r="N117" s="1">
        <f>'[1]Electricity and CHPs_IN'!X$23/SUM('[1]Electricity and CHPs_IN'!X$22:X$23)*N85</f>
        <v>4.838599670794403E-2</v>
      </c>
      <c r="O117" s="1">
        <f>'[1]Electricity and CHPs_IN'!Y$23/SUM('[1]Electricity and CHPs_IN'!Y$22:Y$23)*O85</f>
        <v>5.3721574213798327E-2</v>
      </c>
      <c r="P117" s="1">
        <f>'[1]Electricity and CHPs_IN'!Z$23/SUM('[1]Electricity and CHPs_IN'!Z$22:Z$23)*P85</f>
        <v>5.2482271983212182E-2</v>
      </c>
      <c r="Q117" s="1">
        <f>'[1]Electricity and CHPs_IN'!AA$23/SUM('[1]Electricity and CHPs_IN'!AA$22:AA$23)*Q85</f>
        <v>5.289188789914262E-2</v>
      </c>
      <c r="S117" s="3"/>
    </row>
    <row r="118" spans="1:19" x14ac:dyDescent="0.5">
      <c r="A118" s="5" t="str">
        <f t="shared" si="68"/>
        <v>STEM</v>
      </c>
      <c r="B118" s="5" t="str">
        <f t="shared" si="69"/>
        <v>SPS1</v>
      </c>
      <c r="C118" s="5" t="str">
        <f t="shared" si="70"/>
        <v>CH</v>
      </c>
      <c r="D118" t="s">
        <v>616</v>
      </c>
      <c r="E118" t="str">
        <f t="shared" si="130"/>
        <v>PJ/yr.</v>
      </c>
      <c r="F118" s="1">
        <f>'[1]Electricity and CHPs_IN'!P$23/SUM('[1]Electricity and CHPs_IN'!P$22:P$23)*F86</f>
        <v>2.5319941279099287E-2</v>
      </c>
      <c r="G118" s="1">
        <f>'[1]Electricity and CHPs_IN'!Q$23/SUM('[1]Electricity and CHPs_IN'!Q$22:Q$23)*G86</f>
        <v>8.899382429307193E-6</v>
      </c>
      <c r="H118" s="1">
        <f>'[1]Electricity and CHPs_IN'!R$23/SUM('[1]Electricity and CHPs_IN'!R$22:R$23)*H86</f>
        <v>7.8222968114102662E-5</v>
      </c>
      <c r="I118" s="1">
        <f>'[1]Electricity and CHPs_IN'!S$23/SUM('[1]Electricity and CHPs_IN'!S$22:S$23)*I86</f>
        <v>0</v>
      </c>
      <c r="J118" s="1">
        <f>'[1]Electricity and CHPs_IN'!T$23/SUM('[1]Electricity and CHPs_IN'!T$22:T$23)*J86</f>
        <v>0</v>
      </c>
      <c r="K118" s="1">
        <f>'[1]Electricity and CHPs_IN'!U$23/SUM('[1]Electricity and CHPs_IN'!U$22:U$23)*K86</f>
        <v>0</v>
      </c>
      <c r="L118" s="1">
        <f>'[1]Electricity and CHPs_IN'!V$23/SUM('[1]Electricity and CHPs_IN'!V$22:V$23)*L86</f>
        <v>0</v>
      </c>
      <c r="M118" s="1">
        <f>'[1]Electricity and CHPs_IN'!W$23/SUM('[1]Electricity and CHPs_IN'!W$22:W$23)*M86</f>
        <v>0</v>
      </c>
      <c r="N118" s="1">
        <f>'[1]Electricity and CHPs_IN'!X$23/SUM('[1]Electricity and CHPs_IN'!X$22:X$23)*N86</f>
        <v>0</v>
      </c>
      <c r="O118" s="1">
        <f>'[1]Electricity and CHPs_IN'!Y$23/SUM('[1]Electricity and CHPs_IN'!Y$22:Y$23)*O86</f>
        <v>0</v>
      </c>
      <c r="P118" s="1">
        <f>'[1]Electricity and CHPs_IN'!Z$23/SUM('[1]Electricity and CHPs_IN'!Z$22:Z$23)*P86</f>
        <v>0</v>
      </c>
      <c r="Q118" s="1">
        <f>'[1]Electricity and CHPs_IN'!AA$23/SUM('[1]Electricity and CHPs_IN'!AA$22:AA$23)*Q86</f>
        <v>0</v>
      </c>
      <c r="S118" s="3"/>
    </row>
    <row r="119" spans="1:19" x14ac:dyDescent="0.5">
      <c r="A119" s="5" t="str">
        <f t="shared" si="68"/>
        <v>STEM</v>
      </c>
      <c r="B119" s="5" t="str">
        <f t="shared" si="69"/>
        <v>SPS1</v>
      </c>
      <c r="C119" s="5" t="str">
        <f t="shared" si="70"/>
        <v>CH</v>
      </c>
      <c r="D119" t="s">
        <v>617</v>
      </c>
      <c r="E119" t="str">
        <f t="shared" si="130"/>
        <v>PJ/yr.</v>
      </c>
      <c r="F119" s="1">
        <f>'[1]Electricity and CHPs_IN'!P$23/SUM('[1]Electricity and CHPs_IN'!P$22:P$23)*F87</f>
        <v>0</v>
      </c>
      <c r="G119" s="1">
        <f>'[1]Electricity and CHPs_IN'!Q$23/SUM('[1]Electricity and CHPs_IN'!Q$22:Q$23)*G87</f>
        <v>0</v>
      </c>
      <c r="H119" s="1">
        <f>'[1]Electricity and CHPs_IN'!R$23/SUM('[1]Electricity and CHPs_IN'!R$22:R$23)*H87</f>
        <v>0</v>
      </c>
      <c r="I119" s="1">
        <f>'[1]Electricity and CHPs_IN'!S$23/SUM('[1]Electricity and CHPs_IN'!S$22:S$23)*I87</f>
        <v>0</v>
      </c>
      <c r="J119" s="1">
        <f>'[1]Electricity and CHPs_IN'!T$23/SUM('[1]Electricity and CHPs_IN'!T$22:T$23)*J87</f>
        <v>0</v>
      </c>
      <c r="K119" s="1">
        <f>'[1]Electricity and CHPs_IN'!U$23/SUM('[1]Electricity and CHPs_IN'!U$22:U$23)*K87</f>
        <v>0</v>
      </c>
      <c r="L119" s="1">
        <f>'[1]Electricity and CHPs_IN'!V$23/SUM('[1]Electricity and CHPs_IN'!V$22:V$23)*L87</f>
        <v>0</v>
      </c>
      <c r="M119" s="1">
        <f>'[1]Electricity and CHPs_IN'!W$23/SUM('[1]Electricity and CHPs_IN'!W$22:W$23)*M87</f>
        <v>0</v>
      </c>
      <c r="N119" s="1">
        <f>'[1]Electricity and CHPs_IN'!X$23/SUM('[1]Electricity and CHPs_IN'!X$22:X$23)*N87</f>
        <v>0</v>
      </c>
      <c r="O119" s="1">
        <f>'[1]Electricity and CHPs_IN'!Y$23/SUM('[1]Electricity and CHPs_IN'!Y$22:Y$23)*O87</f>
        <v>0</v>
      </c>
      <c r="P119" s="1">
        <f>'[1]Electricity and CHPs_IN'!Z$23/SUM('[1]Electricity and CHPs_IN'!Z$22:Z$23)*P87</f>
        <v>0</v>
      </c>
      <c r="Q119" s="1">
        <f>'[1]Electricity and CHPs_IN'!AA$23/SUM('[1]Electricity and CHPs_IN'!AA$22:AA$23)*Q87</f>
        <v>0</v>
      </c>
      <c r="S119" s="3"/>
    </row>
    <row r="120" spans="1:19" x14ac:dyDescent="0.5">
      <c r="A120" s="5" t="str">
        <f t="shared" si="68"/>
        <v>STEM</v>
      </c>
      <c r="B120" s="5" t="str">
        <f t="shared" si="69"/>
        <v>SPS1</v>
      </c>
      <c r="C120" s="5" t="str">
        <f t="shared" si="70"/>
        <v>CH</v>
      </c>
      <c r="D120" t="s">
        <v>618</v>
      </c>
      <c r="E120" t="str">
        <f t="shared" si="130"/>
        <v>PJ/yr.</v>
      </c>
      <c r="F120" s="1">
        <f>'[1]Electricity and CHPs_IN'!P$23/SUM('[1]Electricity and CHPs_IN'!P$22:P$23)*F88</f>
        <v>1.7562645878773119E-2</v>
      </c>
      <c r="G120" s="1">
        <f>'[1]Electricity and CHPs_IN'!Q$23/SUM('[1]Electricity and CHPs_IN'!Q$22:Q$23)*G88</f>
        <v>1.8094138934048491E-2</v>
      </c>
      <c r="H120" s="1">
        <f>'[1]Electricity and CHPs_IN'!R$23/SUM('[1]Electricity and CHPs_IN'!R$22:R$23)*H88</f>
        <v>3.5245748785556704E-3</v>
      </c>
      <c r="I120" s="1">
        <f>'[1]Electricity and CHPs_IN'!S$23/SUM('[1]Electricity and CHPs_IN'!S$22:S$23)*I88</f>
        <v>8.9438644516077678E-3</v>
      </c>
      <c r="J120" s="1">
        <f>'[1]Electricity and CHPs_IN'!T$23/SUM('[1]Electricity and CHPs_IN'!T$22:T$23)*J88</f>
        <v>7.4419744697844219E-3</v>
      </c>
      <c r="K120" s="1">
        <f>'[1]Electricity and CHPs_IN'!U$23/SUM('[1]Electricity and CHPs_IN'!U$22:U$23)*K88</f>
        <v>5.5896861017792725E-2</v>
      </c>
      <c r="L120" s="1">
        <f>'[1]Electricity and CHPs_IN'!V$23/SUM('[1]Electricity and CHPs_IN'!V$22:V$23)*L88</f>
        <v>9.259447628894385E-2</v>
      </c>
      <c r="M120" s="1">
        <f>'[1]Electricity and CHPs_IN'!W$23/SUM('[1]Electricity and CHPs_IN'!W$22:W$23)*M88</f>
        <v>0.22924046157757472</v>
      </c>
      <c r="N120" s="1">
        <f>'[1]Electricity and CHPs_IN'!X$23/SUM('[1]Electricity and CHPs_IN'!X$22:X$23)*N88</f>
        <v>0.42108685168893611</v>
      </c>
      <c r="O120" s="1">
        <f>'[1]Electricity and CHPs_IN'!Y$23/SUM('[1]Electricity and CHPs_IN'!Y$22:Y$23)*O88</f>
        <v>0.35242998999445191</v>
      </c>
      <c r="P120" s="1">
        <f>'[1]Electricity and CHPs_IN'!Z$23/SUM('[1]Electricity and CHPs_IN'!Z$22:Z$23)*P88</f>
        <v>0.4210054169570423</v>
      </c>
      <c r="Q120" s="1">
        <f>'[1]Electricity and CHPs_IN'!AA$23/SUM('[1]Electricity and CHPs_IN'!AA$22:AA$23)*Q88</f>
        <v>0.42029368007058526</v>
      </c>
      <c r="S120" s="3"/>
    </row>
    <row r="121" spans="1:19" x14ac:dyDescent="0.5">
      <c r="A121" s="5" t="str">
        <f t="shared" si="68"/>
        <v>STEM</v>
      </c>
      <c r="B121" s="5" t="str">
        <f t="shared" si="69"/>
        <v>SPS1</v>
      </c>
      <c r="C121" s="5" t="str">
        <f t="shared" si="70"/>
        <v>CH</v>
      </c>
      <c r="D121" t="s">
        <v>619</v>
      </c>
      <c r="E121" t="str">
        <f t="shared" si="130"/>
        <v>PJ/yr.</v>
      </c>
      <c r="F121" s="1">
        <f>'[1]Electricity and CHPs_IN'!P$23/SUM('[1]Electricity and CHPs_IN'!P$22:P$23)*F89</f>
        <v>0</v>
      </c>
      <c r="G121" s="1">
        <f>'[1]Electricity and CHPs_IN'!Q$23/SUM('[1]Electricity and CHPs_IN'!Q$22:Q$23)*G89</f>
        <v>0</v>
      </c>
      <c r="H121" s="1">
        <f>'[1]Electricity and CHPs_IN'!R$23/SUM('[1]Electricity and CHPs_IN'!R$22:R$23)*H89</f>
        <v>0</v>
      </c>
      <c r="I121" s="1">
        <f>'[1]Electricity and CHPs_IN'!S$23/SUM('[1]Electricity and CHPs_IN'!S$22:S$23)*I89</f>
        <v>0</v>
      </c>
      <c r="J121" s="1">
        <f>'[1]Electricity and CHPs_IN'!T$23/SUM('[1]Electricity and CHPs_IN'!T$22:T$23)*J89</f>
        <v>0</v>
      </c>
      <c r="K121" s="1">
        <f>'[1]Electricity and CHPs_IN'!U$23/SUM('[1]Electricity and CHPs_IN'!U$22:U$23)*K89</f>
        <v>3.836652087187151E-4</v>
      </c>
      <c r="L121" s="1">
        <f>'[1]Electricity and CHPs_IN'!V$23/SUM('[1]Electricity and CHPs_IN'!V$22:V$23)*L89</f>
        <v>5.353491794567198E-2</v>
      </c>
      <c r="M121" s="1">
        <f>'[1]Electricity and CHPs_IN'!W$23/SUM('[1]Electricity and CHPs_IN'!W$22:W$23)*M89</f>
        <v>0.13254998517331307</v>
      </c>
      <c r="N121" s="1">
        <f>'[1]Electricity and CHPs_IN'!X$23/SUM('[1]Electricity and CHPs_IN'!X$22:X$23)*N89</f>
        <v>0.24347119499633005</v>
      </c>
      <c r="O121" s="1">
        <f>'[1]Electricity and CHPs_IN'!Y$23/SUM('[1]Electricity and CHPs_IN'!Y$22:Y$23)*O89</f>
        <v>0.20377960098422332</v>
      </c>
      <c r="P121" s="1">
        <f>'[1]Electricity and CHPs_IN'!Z$23/SUM('[1]Electricity and CHPs_IN'!Z$22:Z$23)*P89</f>
        <v>0.24342852271997731</v>
      </c>
      <c r="Q121" s="1">
        <f>'[1]Electricity and CHPs_IN'!AA$23/SUM('[1]Electricity and CHPs_IN'!AA$22:AA$23)*Q89</f>
        <v>0.24301527089817243</v>
      </c>
      <c r="S121" s="3"/>
    </row>
    <row r="122" spans="1:19" x14ac:dyDescent="0.5">
      <c r="A122" s="5" t="str">
        <f t="shared" si="68"/>
        <v>STEM</v>
      </c>
      <c r="B122" s="5" t="str">
        <f t="shared" si="69"/>
        <v>SPS1</v>
      </c>
      <c r="C122" s="5" t="str">
        <f t="shared" si="70"/>
        <v>CH</v>
      </c>
      <c r="D122" t="s">
        <v>620</v>
      </c>
      <c r="E122" t="str">
        <f t="shared" si="130"/>
        <v>PJ/yr.</v>
      </c>
      <c r="F122" s="1">
        <f>'[1]Electricity and CHPs_IN'!P$23/SUM('[1]Electricity and CHPs_IN'!P$22:P$23)*F90</f>
        <v>0</v>
      </c>
      <c r="G122" s="1">
        <f>'[1]Electricity and CHPs_IN'!Q$23/SUM('[1]Electricity and CHPs_IN'!Q$22:Q$23)*G90</f>
        <v>0</v>
      </c>
      <c r="H122" s="1">
        <f>'[1]Electricity and CHPs_IN'!R$23/SUM('[1]Electricity and CHPs_IN'!R$22:R$23)*H90</f>
        <v>0</v>
      </c>
      <c r="I122" s="1">
        <f>'[1]Electricity and CHPs_IN'!S$23/SUM('[1]Electricity and CHPs_IN'!S$22:S$23)*I90</f>
        <v>6.3985722294522216E-6</v>
      </c>
      <c r="J122" s="1">
        <f>'[1]Electricity and CHPs_IN'!T$23/SUM('[1]Electricity and CHPs_IN'!T$22:T$23)*J90</f>
        <v>1.349926388139572E-5</v>
      </c>
      <c r="K122" s="1">
        <f>'[1]Electricity and CHPs_IN'!U$23/SUM('[1]Electricity and CHPs_IN'!U$22:U$23)*K90</f>
        <v>3.6140929159011261E-4</v>
      </c>
      <c r="L122" s="1">
        <f>'[1]Electricity and CHPs_IN'!V$23/SUM('[1]Electricity and CHPs_IN'!V$22:V$23)*L90</f>
        <v>6.5430735806540742E-4</v>
      </c>
      <c r="M122" s="1">
        <f>'[1]Electricity and CHPs_IN'!W$23/SUM('[1]Electricity and CHPs_IN'!W$22:W$23)*M90</f>
        <v>5.3032782589449107E-4</v>
      </c>
      <c r="N122" s="1">
        <f>'[1]Electricity and CHPs_IN'!X$23/SUM('[1]Electricity and CHPs_IN'!X$22:X$23)*N90</f>
        <v>1.3598525341924248E-3</v>
      </c>
      <c r="O122" s="1">
        <f>'[1]Electricity and CHPs_IN'!Y$23/SUM('[1]Electricity and CHPs_IN'!Y$22:Y$23)*O90</f>
        <v>2.8081660993901992E-3</v>
      </c>
      <c r="P122" s="1">
        <f>'[1]Electricity and CHPs_IN'!Z$23/SUM('[1]Electricity and CHPs_IN'!Z$22:Z$23)*P90</f>
        <v>1.2077230925460233E-3</v>
      </c>
      <c r="Q122" s="1">
        <f>'[1]Electricity and CHPs_IN'!AA$23/SUM('[1]Electricity and CHPs_IN'!AA$22:AA$23)*Q90</f>
        <v>7.8275572401460857E-4</v>
      </c>
      <c r="S122" s="3"/>
    </row>
    <row r="123" spans="1:19" x14ac:dyDescent="0.5">
      <c r="A123" s="5" t="str">
        <f t="shared" si="68"/>
        <v>STEM</v>
      </c>
      <c r="B123" s="5" t="str">
        <f t="shared" si="69"/>
        <v>SPS1</v>
      </c>
      <c r="C123" s="5" t="str">
        <f t="shared" si="70"/>
        <v>CH</v>
      </c>
      <c r="D123" t="s">
        <v>621</v>
      </c>
      <c r="E123" t="str">
        <f t="shared" si="130"/>
        <v>PJ/yr.</v>
      </c>
      <c r="F123" s="1">
        <f>'[1]Electricity and CHPs_IN'!P$23/SUM('[1]Electricity and CHPs_IN'!P$22:P$23)*F91</f>
        <v>3.6687541571630016E-4</v>
      </c>
      <c r="G123" s="1">
        <f>'[1]Electricity and CHPs_IN'!Q$23/SUM('[1]Electricity and CHPs_IN'!Q$22:Q$23)*G91</f>
        <v>1.0547041404853724E-4</v>
      </c>
      <c r="H123" s="1">
        <f>'[1]Electricity and CHPs_IN'!R$23/SUM('[1]Electricity and CHPs_IN'!R$22:R$23)*H91</f>
        <v>4.9230089255949407E-4</v>
      </c>
      <c r="I123" s="1">
        <f>'[1]Electricity and CHPs_IN'!S$23/SUM('[1]Electricity and CHPs_IN'!S$22:S$23)*I91</f>
        <v>1.2731787227114995E-4</v>
      </c>
      <c r="J123" s="1">
        <f>'[1]Electricity and CHPs_IN'!T$23/SUM('[1]Electricity and CHPs_IN'!T$22:T$23)*J91</f>
        <v>1.6468202020256023E-4</v>
      </c>
      <c r="K123" s="1">
        <f>'[1]Electricity and CHPs_IN'!U$23/SUM('[1]Electricity and CHPs_IN'!U$22:U$23)*K91</f>
        <v>2.1272842964254943E-4</v>
      </c>
      <c r="L123" s="1">
        <f>'[1]Electricity and CHPs_IN'!V$23/SUM('[1]Electricity and CHPs_IN'!V$22:V$23)*L91</f>
        <v>0</v>
      </c>
      <c r="M123" s="1">
        <f>'[1]Electricity and CHPs_IN'!W$23/SUM('[1]Electricity and CHPs_IN'!W$22:W$23)*M91</f>
        <v>0</v>
      </c>
      <c r="N123" s="1">
        <f>'[1]Electricity and CHPs_IN'!X$23/SUM('[1]Electricity and CHPs_IN'!X$22:X$23)*N91</f>
        <v>2.2418100210259517E-3</v>
      </c>
      <c r="O123" s="1">
        <f>'[1]Electricity and CHPs_IN'!Y$23/SUM('[1]Electricity and CHPs_IN'!Y$22:Y$23)*O91</f>
        <v>2.6990157052099915E-3</v>
      </c>
      <c r="P123" s="1">
        <f>'[1]Electricity and CHPs_IN'!Z$23/SUM('[1]Electricity and CHPs_IN'!Z$22:Z$23)*P91</f>
        <v>3.7807653975720158E-3</v>
      </c>
      <c r="Q123" s="1">
        <f>'[1]Electricity and CHPs_IN'!AA$23/SUM('[1]Electricity and CHPs_IN'!AA$22:AA$23)*Q91</f>
        <v>4.4969707833852537E-3</v>
      </c>
      <c r="S123" s="3"/>
    </row>
    <row r="124" spans="1:19" x14ac:dyDescent="0.5">
      <c r="A124" s="5" t="str">
        <f t="shared" si="68"/>
        <v>STEM</v>
      </c>
      <c r="B124" s="5" t="str">
        <f t="shared" si="69"/>
        <v>SPS1</v>
      </c>
      <c r="C124" s="5" t="str">
        <f t="shared" si="70"/>
        <v>CH</v>
      </c>
      <c r="D124" t="s">
        <v>622</v>
      </c>
      <c r="E124" t="str">
        <f t="shared" si="130"/>
        <v>PJ/yr.</v>
      </c>
      <c r="F124" s="1">
        <f>'[1]Electricity and CHPs_IN'!P$23/SUM('[1]Electricity and CHPs_IN'!P$22:P$23)*F92</f>
        <v>0</v>
      </c>
      <c r="G124" s="1">
        <f>'[1]Electricity and CHPs_IN'!Q$23/SUM('[1]Electricity and CHPs_IN'!Q$22:Q$23)*G92</f>
        <v>0</v>
      </c>
      <c r="H124" s="1">
        <f>'[1]Electricity and CHPs_IN'!R$23/SUM('[1]Electricity and CHPs_IN'!R$22:R$23)*H92</f>
        <v>0</v>
      </c>
      <c r="I124" s="1">
        <f>'[1]Electricity and CHPs_IN'!S$23/SUM('[1]Electricity and CHPs_IN'!S$22:S$23)*I92</f>
        <v>0</v>
      </c>
      <c r="J124" s="1">
        <f>'[1]Electricity and CHPs_IN'!T$23/SUM('[1]Electricity and CHPs_IN'!T$22:T$23)*J92</f>
        <v>0</v>
      </c>
      <c r="K124" s="1">
        <f>'[1]Electricity and CHPs_IN'!U$23/SUM('[1]Electricity and CHPs_IN'!U$22:U$23)*K92</f>
        <v>0</v>
      </c>
      <c r="L124" s="1">
        <f>'[1]Electricity and CHPs_IN'!V$23/SUM('[1]Electricity and CHPs_IN'!V$22:V$23)*L92</f>
        <v>0</v>
      </c>
      <c r="M124" s="1">
        <f>'[1]Electricity and CHPs_IN'!W$23/SUM('[1]Electricity and CHPs_IN'!W$22:W$23)*M92</f>
        <v>0</v>
      </c>
      <c r="N124" s="1">
        <f>'[1]Electricity and CHPs_IN'!X$23/SUM('[1]Electricity and CHPs_IN'!X$22:X$23)*N92</f>
        <v>9.0191321419460569E-4</v>
      </c>
      <c r="O124" s="1">
        <f>'[1]Electricity and CHPs_IN'!Y$23/SUM('[1]Electricity and CHPs_IN'!Y$22:Y$23)*O92</f>
        <v>1.5061586688033873E-3</v>
      </c>
      <c r="P124" s="1">
        <f>'[1]Electricity and CHPs_IN'!Z$23/SUM('[1]Electricity and CHPs_IN'!Z$22:Z$23)*P92</f>
        <v>1.5111344405996294E-3</v>
      </c>
      <c r="Q124" s="1">
        <f>'[1]Electricity and CHPs_IN'!AA$23/SUM('[1]Electricity and CHPs_IN'!AA$22:AA$23)*Q92</f>
        <v>2.90482214721747E-3</v>
      </c>
      <c r="S124" s="3"/>
    </row>
    <row r="125" spans="1:19" x14ac:dyDescent="0.5">
      <c r="A125" s="5" t="str">
        <f t="shared" si="68"/>
        <v>STEM</v>
      </c>
      <c r="B125" s="5" t="str">
        <f t="shared" si="69"/>
        <v>SPS1</v>
      </c>
      <c r="C125" s="5" t="str">
        <f t="shared" si="70"/>
        <v>CH</v>
      </c>
      <c r="D125" t="s">
        <v>623</v>
      </c>
      <c r="E125" t="str">
        <f t="shared" si="130"/>
        <v>PJ/yr.</v>
      </c>
      <c r="F125" s="1">
        <f>'[1]Electricity and CHPs_IN'!P$23/SUM('[1]Electricity and CHPs_IN'!P$22:P$23)*F93</f>
        <v>7.3019406584397663E-4</v>
      </c>
      <c r="G125" s="1">
        <f>'[1]Electricity and CHPs_IN'!Q$23/SUM('[1]Electricity and CHPs_IN'!Q$22:Q$23)*G93</f>
        <v>1.2743264380482909E-3</v>
      </c>
      <c r="H125" s="1">
        <f>'[1]Electricity and CHPs_IN'!R$23/SUM('[1]Electricity and CHPs_IN'!R$22:R$23)*H93</f>
        <v>7.900592296940654E-3</v>
      </c>
      <c r="I125" s="1">
        <f>'[1]Electricity and CHPs_IN'!S$23/SUM('[1]Electricity and CHPs_IN'!S$22:S$23)*I93</f>
        <v>2.5808742375223277E-3</v>
      </c>
      <c r="J125" s="1">
        <f>'[1]Electricity and CHPs_IN'!T$23/SUM('[1]Electricity and CHPs_IN'!T$22:T$23)*J93</f>
        <v>3.4303695465622555E-3</v>
      </c>
      <c r="K125" s="1">
        <f>'[1]Electricity and CHPs_IN'!U$23/SUM('[1]Electricity and CHPs_IN'!U$22:U$23)*K93</f>
        <v>4.3384108606473442E-3</v>
      </c>
      <c r="L125" s="1">
        <f>'[1]Electricity and CHPs_IN'!V$23/SUM('[1]Electricity and CHPs_IN'!V$22:V$23)*L93</f>
        <v>0</v>
      </c>
      <c r="M125" s="1">
        <f>'[1]Electricity and CHPs_IN'!W$23/SUM('[1]Electricity and CHPs_IN'!W$22:W$23)*M93</f>
        <v>0</v>
      </c>
      <c r="N125" s="1">
        <f>'[1]Electricity and CHPs_IN'!X$23/SUM('[1]Electricity and CHPs_IN'!X$22:X$23)*N93</f>
        <v>1.7597888581484379E-3</v>
      </c>
      <c r="O125" s="1">
        <f>'[1]Electricity and CHPs_IN'!Y$23/SUM('[1]Electricity and CHPs_IN'!Y$22:Y$23)*O93</f>
        <v>4.2483077954836605E-3</v>
      </c>
      <c r="P125" s="1">
        <f>'[1]Electricity and CHPs_IN'!Z$23/SUM('[1]Electricity and CHPs_IN'!Z$22:Z$23)*P93</f>
        <v>3.2658406412539747E-3</v>
      </c>
      <c r="Q125" s="1">
        <f>'[1]Electricity and CHPs_IN'!AA$23/SUM('[1]Electricity and CHPs_IN'!AA$22:AA$23)*Q93</f>
        <v>8.512585378057342E-3</v>
      </c>
      <c r="S125" s="3"/>
    </row>
    <row r="126" spans="1:19" x14ac:dyDescent="0.5">
      <c r="A126" s="5" t="str">
        <f t="shared" si="68"/>
        <v>STEM</v>
      </c>
      <c r="B126" s="5" t="str">
        <f t="shared" si="69"/>
        <v>SPS1</v>
      </c>
      <c r="C126" s="5" t="str">
        <f t="shared" si="70"/>
        <v>CH</v>
      </c>
      <c r="D126" t="s">
        <v>624</v>
      </c>
      <c r="E126" t="str">
        <f t="shared" si="130"/>
        <v>PJ/yr.</v>
      </c>
      <c r="F126" s="1">
        <f>'[1]Electricity and CHPs_IN'!P$23/SUM('[1]Electricity and CHPs_IN'!P$22:P$23)*F94</f>
        <v>0</v>
      </c>
      <c r="G126" s="1">
        <f>'[1]Electricity and CHPs_IN'!Q$23/SUM('[1]Electricity and CHPs_IN'!Q$22:Q$23)*G94</f>
        <v>0</v>
      </c>
      <c r="H126" s="1">
        <f>'[1]Electricity and CHPs_IN'!R$23/SUM('[1]Electricity and CHPs_IN'!R$22:R$23)*H94</f>
        <v>0</v>
      </c>
      <c r="I126" s="1">
        <f>'[1]Electricity and CHPs_IN'!S$23/SUM('[1]Electricity and CHPs_IN'!S$22:S$23)*I94</f>
        <v>0</v>
      </c>
      <c r="J126" s="1">
        <f>'[1]Electricity and CHPs_IN'!T$23/SUM('[1]Electricity and CHPs_IN'!T$22:T$23)*J94</f>
        <v>0</v>
      </c>
      <c r="K126" s="1">
        <f>'[1]Electricity and CHPs_IN'!U$23/SUM('[1]Electricity and CHPs_IN'!U$22:U$23)*K94</f>
        <v>0</v>
      </c>
      <c r="L126" s="1">
        <f>'[1]Electricity and CHPs_IN'!V$23/SUM('[1]Electricity and CHPs_IN'!V$22:V$23)*L94</f>
        <v>0</v>
      </c>
      <c r="M126" s="1">
        <f>'[1]Electricity and CHPs_IN'!W$23/SUM('[1]Electricity and CHPs_IN'!W$22:W$23)*M94</f>
        <v>0</v>
      </c>
      <c r="N126" s="1">
        <f>'[1]Electricity and CHPs_IN'!X$23/SUM('[1]Electricity and CHPs_IN'!X$22:X$23)*N94</f>
        <v>1.8397590129156476E-3</v>
      </c>
      <c r="O126" s="1">
        <f>'[1]Electricity and CHPs_IN'!Y$23/SUM('[1]Electricity and CHPs_IN'!Y$22:Y$23)*O94</f>
        <v>3.5000651201132545E-3</v>
      </c>
      <c r="P126" s="1">
        <f>'[1]Electricity and CHPs_IN'!Z$23/SUM('[1]Electricity and CHPs_IN'!Z$22:Z$23)*P94</f>
        <v>2.7137088693027995E-3</v>
      </c>
      <c r="Q126" s="1">
        <f>'[1]Electricity and CHPs_IN'!AA$23/SUM('[1]Electricity and CHPs_IN'!AA$22:AA$23)*Q94</f>
        <v>5.8407286446530956E-3</v>
      </c>
      <c r="S126" s="3"/>
    </row>
    <row r="127" spans="1:19" x14ac:dyDescent="0.5">
      <c r="A127" s="5" t="str">
        <f t="shared" si="68"/>
        <v>STEM</v>
      </c>
      <c r="B127" s="5" t="str">
        <f t="shared" si="69"/>
        <v>SPS1</v>
      </c>
      <c r="C127" s="5" t="str">
        <f t="shared" si="70"/>
        <v>CH</v>
      </c>
      <c r="D127" t="s">
        <v>625</v>
      </c>
      <c r="E127" t="str">
        <f t="shared" si="130"/>
        <v>PJ/yr.</v>
      </c>
      <c r="F127" s="1">
        <f t="shared" ref="F127" si="131">F95</f>
        <v>0.95936515910894415</v>
      </c>
      <c r="G127" s="1">
        <f t="shared" ref="G127:Q127" si="132">G95</f>
        <v>1.1059547725578278</v>
      </c>
      <c r="H127" s="1">
        <f t="shared" si="132"/>
        <v>1.1060283951214467</v>
      </c>
      <c r="I127" s="1">
        <f t="shared" si="132"/>
        <v>1.1060293669229284</v>
      </c>
      <c r="J127" s="1">
        <f t="shared" si="132"/>
        <v>1.4432869015830698</v>
      </c>
      <c r="K127" s="1">
        <f t="shared" si="132"/>
        <v>1.4433537656934574</v>
      </c>
      <c r="L127" s="1">
        <f t="shared" si="132"/>
        <v>3.1982072325275448</v>
      </c>
      <c r="M127" s="1">
        <f t="shared" si="132"/>
        <v>3.4299870972750695</v>
      </c>
      <c r="N127" s="1">
        <f t="shared" si="132"/>
        <v>4.1211857303284294</v>
      </c>
      <c r="O127" s="1">
        <f t="shared" si="132"/>
        <v>5.2972260822846771</v>
      </c>
      <c r="P127" s="1">
        <f t="shared" si="132"/>
        <v>5.4823209574407219</v>
      </c>
      <c r="Q127" s="1">
        <f t="shared" si="132"/>
        <v>5.4828702188071317</v>
      </c>
      <c r="S127" s="3"/>
    </row>
    <row r="128" spans="1:19" x14ac:dyDescent="0.5">
      <c r="A128" s="5" t="str">
        <f t="shared" si="68"/>
        <v>STEM</v>
      </c>
      <c r="B128" s="5" t="str">
        <f t="shared" si="69"/>
        <v>SPS1</v>
      </c>
      <c r="C128" s="5" t="str">
        <f t="shared" si="70"/>
        <v>CH</v>
      </c>
      <c r="D128" t="s">
        <v>626</v>
      </c>
      <c r="E128" t="str">
        <f t="shared" si="130"/>
        <v>PJ/yr.</v>
      </c>
      <c r="F128" s="1">
        <f>'[1]Electricity and CHPs_IN'!P$23/SUM('[1]Electricity and CHPs_IN'!P$22:P$23)*F96</f>
        <v>1.5581833477389503E-2</v>
      </c>
      <c r="G128" s="1">
        <f>'[1]Electricity and CHPs_IN'!Q$23/SUM('[1]Electricity and CHPs_IN'!Q$22:Q$23)*G96</f>
        <v>2.7046719344423469E-2</v>
      </c>
      <c r="H128" s="1">
        <f>'[1]Electricity and CHPs_IN'!R$23/SUM('[1]Electricity and CHPs_IN'!R$22:R$23)*H96</f>
        <v>7.7986706915502926E-2</v>
      </c>
      <c r="I128" s="1">
        <f>'[1]Electricity and CHPs_IN'!S$23/SUM('[1]Electricity and CHPs_IN'!S$22:S$23)*I96</f>
        <v>2.7926097088497425E-2</v>
      </c>
      <c r="J128" s="1">
        <f>'[1]Electricity and CHPs_IN'!T$23/SUM('[1]Electricity and CHPs_IN'!T$22:T$23)*J96</f>
        <v>3.5794302097049958E-2</v>
      </c>
      <c r="K128" s="1">
        <f>'[1]Electricity and CHPs_IN'!U$23/SUM('[1]Electricity and CHPs_IN'!U$22:U$23)*K96</f>
        <v>6.4782665616729754E-2</v>
      </c>
      <c r="L128" s="1">
        <f>'[1]Electricity and CHPs_IN'!V$23/SUM('[1]Electricity and CHPs_IN'!V$22:V$23)*L96</f>
        <v>0</v>
      </c>
      <c r="M128" s="1">
        <f>'[1]Electricity and CHPs_IN'!W$23/SUM('[1]Electricity and CHPs_IN'!W$22:W$23)*M96</f>
        <v>0</v>
      </c>
      <c r="N128" s="1">
        <f>'[1]Electricity and CHPs_IN'!X$23/SUM('[1]Electricity and CHPs_IN'!X$22:X$23)*N96</f>
        <v>1.8682115516975161E-3</v>
      </c>
      <c r="O128" s="1">
        <f>'[1]Electricity and CHPs_IN'!Y$23/SUM('[1]Electricity and CHPs_IN'!Y$22:Y$23)*O96</f>
        <v>1.7457599389048464E-3</v>
      </c>
      <c r="P128" s="1">
        <f>'[1]Electricity and CHPs_IN'!Z$23/SUM('[1]Electricity and CHPs_IN'!Z$22:Z$23)*P96</f>
        <v>1.3420785374577318E-3</v>
      </c>
      <c r="Q128" s="1">
        <f>'[1]Electricity and CHPs_IN'!AA$23/SUM('[1]Electricity and CHPs_IN'!AA$22:AA$23)*Q96</f>
        <v>3.1217610220099765E-3</v>
      </c>
      <c r="S128" s="3"/>
    </row>
    <row r="129" spans="1:19" x14ac:dyDescent="0.5">
      <c r="A129" s="5" t="str">
        <f t="shared" si="68"/>
        <v>STEM</v>
      </c>
      <c r="B129" s="5" t="str">
        <f t="shared" si="69"/>
        <v>SPS1</v>
      </c>
      <c r="C129" s="5" t="str">
        <f t="shared" si="70"/>
        <v>CH</v>
      </c>
      <c r="D129" t="s">
        <v>627</v>
      </c>
      <c r="E129" t="str">
        <f t="shared" si="130"/>
        <v>PJ/yr.</v>
      </c>
      <c r="F129" s="1">
        <f>'[1]Electricity and CHPs_IN'!P$23/SUM('[1]Electricity and CHPs_IN'!P$22:P$23)*F97</f>
        <v>0</v>
      </c>
      <c r="G129" s="1">
        <f>'[1]Electricity and CHPs_IN'!Q$23/SUM('[1]Electricity and CHPs_IN'!Q$22:Q$23)*G97</f>
        <v>0</v>
      </c>
      <c r="H129" s="1">
        <f>'[1]Electricity and CHPs_IN'!R$23/SUM('[1]Electricity and CHPs_IN'!R$22:R$23)*H97</f>
        <v>0</v>
      </c>
      <c r="I129" s="1">
        <f>'[1]Electricity and CHPs_IN'!S$23/SUM('[1]Electricity and CHPs_IN'!S$22:S$23)*I97</f>
        <v>0</v>
      </c>
      <c r="J129" s="1">
        <f>'[1]Electricity and CHPs_IN'!T$23/SUM('[1]Electricity and CHPs_IN'!T$22:T$23)*J97</f>
        <v>0</v>
      </c>
      <c r="K129" s="1">
        <f>'[1]Electricity and CHPs_IN'!U$23/SUM('[1]Electricity and CHPs_IN'!U$22:U$23)*K97</f>
        <v>0</v>
      </c>
      <c r="L129" s="1">
        <f>'[1]Electricity and CHPs_IN'!V$23/SUM('[1]Electricity and CHPs_IN'!V$22:V$23)*L97</f>
        <v>0</v>
      </c>
      <c r="M129" s="1">
        <f>'[1]Electricity and CHPs_IN'!W$23/SUM('[1]Electricity and CHPs_IN'!W$22:W$23)*M97</f>
        <v>0</v>
      </c>
      <c r="N129" s="1">
        <f>'[1]Electricity and CHPs_IN'!X$23/SUM('[1]Electricity and CHPs_IN'!X$22:X$23)*N97</f>
        <v>8.7151767878024006E-4</v>
      </c>
      <c r="O129" s="1">
        <f>'[1]Electricity and CHPs_IN'!Y$23/SUM('[1]Electricity and CHPs_IN'!Y$22:Y$23)*O97</f>
        <v>1.5052956185302971E-3</v>
      </c>
      <c r="P129" s="1">
        <f>'[1]Electricity and CHPs_IN'!Z$23/SUM('[1]Electricity and CHPs_IN'!Z$22:Z$23)*P97</f>
        <v>1.1278431014171309E-3</v>
      </c>
      <c r="Q129" s="1">
        <f>'[1]Electricity and CHPs_IN'!AA$23/SUM('[1]Electricity and CHPs_IN'!AA$22:AA$23)*Q97</f>
        <v>2.5291386479937535E-3</v>
      </c>
      <c r="S129" s="3"/>
    </row>
    <row r="130" spans="1:19" x14ac:dyDescent="0.5">
      <c r="A130" s="5" t="str">
        <f t="shared" si="68"/>
        <v>STEM</v>
      </c>
      <c r="B130" s="5" t="str">
        <f t="shared" si="69"/>
        <v>SPS1</v>
      </c>
      <c r="C130" s="5" t="str">
        <f t="shared" si="70"/>
        <v>CH</v>
      </c>
      <c r="D130" t="s">
        <v>799</v>
      </c>
      <c r="E130" t="str">
        <f t="shared" si="130"/>
        <v>PJ/yr.</v>
      </c>
      <c r="F130" s="1">
        <f>SUM(F131:F136)</f>
        <v>8.2845902244611427</v>
      </c>
      <c r="G130" s="1">
        <f t="shared" ref="G130:Q130" si="133">SUM(G131:G136)</f>
        <v>8.9558103148311936</v>
      </c>
      <c r="H130" s="1">
        <f t="shared" si="133"/>
        <v>9.1866496296588203</v>
      </c>
      <c r="I130" s="1">
        <f t="shared" si="133"/>
        <v>9.1442202790059248</v>
      </c>
      <c r="J130" s="1">
        <f t="shared" si="133"/>
        <v>9.2236192692068641</v>
      </c>
      <c r="K130" s="1">
        <f t="shared" si="133"/>
        <v>9.449459110101504</v>
      </c>
      <c r="L130" s="1">
        <f t="shared" si="133"/>
        <v>10.821238855155588</v>
      </c>
      <c r="M130" s="1">
        <f t="shared" si="133"/>
        <v>11.204691681231321</v>
      </c>
      <c r="N130" s="1">
        <f t="shared" si="133"/>
        <v>11.11077542965346</v>
      </c>
      <c r="O130" s="1">
        <f t="shared" si="133"/>
        <v>11.110736620045063</v>
      </c>
      <c r="P130" s="1">
        <f t="shared" si="133"/>
        <v>11.110806606034853</v>
      </c>
      <c r="Q130" s="1">
        <f t="shared" si="133"/>
        <v>11.110837505283687</v>
      </c>
      <c r="S130" s="3"/>
    </row>
    <row r="131" spans="1:19" x14ac:dyDescent="0.5">
      <c r="A131" s="5" t="str">
        <f t="shared" si="68"/>
        <v>STEM</v>
      </c>
      <c r="B131" s="5" t="str">
        <f t="shared" si="69"/>
        <v>SPS1</v>
      </c>
      <c r="C131" s="5" t="str">
        <f t="shared" si="70"/>
        <v>CH</v>
      </c>
      <c r="D131" t="s">
        <v>53</v>
      </c>
      <c r="E131" t="str">
        <f>E75</f>
        <v>PJ/yr.</v>
      </c>
      <c r="F131" s="1">
        <f>'[1]Electricity and CHPs'!B19</f>
        <v>6.5070002657818566</v>
      </c>
      <c r="G131" s="1">
        <f>'[1]Electricity and CHPs'!C19</f>
        <v>7.3027684026900088</v>
      </c>
      <c r="H131" s="1">
        <f>'[1]Electricity and CHPs'!D19</f>
        <v>7.4118446001400704</v>
      </c>
      <c r="I131" s="1">
        <f>'[1]Electricity and CHPs'!E19</f>
        <v>7.398138818325271</v>
      </c>
      <c r="J131" s="1">
        <f>'[1]Electricity and CHPs'!F19</f>
        <v>7.4918607131338035</v>
      </c>
      <c r="K131" s="1">
        <f>'[1]Electricity and CHPs'!G19</f>
        <v>5.8262313730185822</v>
      </c>
      <c r="L131" s="1">
        <f>'[1]Electricity and CHPs'!H19</f>
        <v>4.5214679770193671</v>
      </c>
      <c r="M131" s="1">
        <f>'[1]Electricity and CHPs'!I19</f>
        <v>4.6999646641545691</v>
      </c>
      <c r="N131" s="1">
        <f>'[1]Electricity and CHPs'!J19</f>
        <v>4.6534304480598054</v>
      </c>
      <c r="O131" s="1">
        <f>'[1]Electricity and CHPs'!K19</f>
        <v>4.6534311167722624</v>
      </c>
      <c r="P131" s="1">
        <f>'[1]Electricity and CHPs'!L19</f>
        <v>4.6534304889355189</v>
      </c>
      <c r="Q131" s="1">
        <f>'[1]Electricity and CHPs'!M19</f>
        <v>4.6534307321553259</v>
      </c>
      <c r="S131" s="3"/>
    </row>
    <row r="132" spans="1:19" x14ac:dyDescent="0.5">
      <c r="A132" s="5" t="str">
        <f t="shared" si="68"/>
        <v>STEM</v>
      </c>
      <c r="B132" s="5" t="str">
        <f t="shared" si="69"/>
        <v>SPS1</v>
      </c>
      <c r="C132" s="5" t="str">
        <f t="shared" si="70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1.8929344042753642</v>
      </c>
      <c r="L132" s="1">
        <f>'[1]Electricity and CHPs'!H20</f>
        <v>4.3142942848908721</v>
      </c>
      <c r="M132" s="1">
        <f>'[1]Electricity and CHPs'!I20</f>
        <v>4.4885566372943835</v>
      </c>
      <c r="N132" s="1">
        <f>'[1]Electricity and CHPs'!J20</f>
        <v>4.4441164528072212</v>
      </c>
      <c r="O132" s="1">
        <f>'[1]Electricity and CHPs'!K20</f>
        <v>4.4441161803822657</v>
      </c>
      <c r="P132" s="1">
        <f>'[1]Electricity and CHPs'!L20</f>
        <v>4.4441158672019485</v>
      </c>
      <c r="Q132" s="1">
        <f>'[1]Electricity and CHPs'!M20</f>
        <v>4.4441161782220249</v>
      </c>
      <c r="S132" s="3"/>
    </row>
    <row r="133" spans="1:19" x14ac:dyDescent="0.5">
      <c r="A133" s="5" t="str">
        <f t="shared" si="68"/>
        <v>STEM</v>
      </c>
      <c r="B133" s="5" t="str">
        <f t="shared" si="69"/>
        <v>SPS1</v>
      </c>
      <c r="C133" s="5" t="str">
        <f t="shared" si="70"/>
        <v>CH</v>
      </c>
      <c r="D133" t="s">
        <v>51</v>
      </c>
      <c r="E133" t="str">
        <f>E152</f>
        <v>PJ/yr.</v>
      </c>
      <c r="F133" s="1">
        <f>'[1]Electricity and CHPs'!B26</f>
        <v>1.5475483989974068</v>
      </c>
      <c r="G133" s="1">
        <f>'[1]Electricity and CHPs'!C26</f>
        <v>1.4228844326023231</v>
      </c>
      <c r="H133" s="1">
        <f>'[1]Electricity and CHPs'!D26</f>
        <v>1.4380990753337577</v>
      </c>
      <c r="I133" s="1">
        <f>'[1]Electricity and CHPs'!E26</f>
        <v>1.4131359621852162</v>
      </c>
      <c r="J133" s="1">
        <f>'[1]Electricity and CHPs'!F26</f>
        <v>1.4025732845745527</v>
      </c>
      <c r="K133" s="1">
        <f>'[1]Electricity and CHPs'!G26</f>
        <v>1.0912299636259588</v>
      </c>
      <c r="L133" s="1">
        <f>'[1]Electricity and CHPs'!H26</f>
        <v>0.68348104923653874</v>
      </c>
      <c r="M133" s="1">
        <f>'[1]Electricity and CHPs'!I26</f>
        <v>0.70435524437499875</v>
      </c>
      <c r="N133" s="1">
        <f>'[1]Electricity and CHPs'!J26</f>
        <v>0.70854373247102442</v>
      </c>
      <c r="O133" s="1">
        <f>'[1]Electricity and CHPs'!K26</f>
        <v>0.70856479270765127</v>
      </c>
      <c r="P133" s="1">
        <f>'[1]Electricity and CHPs'!L26</f>
        <v>0.70857213718678547</v>
      </c>
      <c r="Q133" s="1">
        <f>'[1]Electricity and CHPs'!M26</f>
        <v>0.70857582694651566</v>
      </c>
      <c r="S133" s="3"/>
    </row>
    <row r="134" spans="1:19" x14ac:dyDescent="0.5">
      <c r="A134" s="5" t="str">
        <f t="shared" si="68"/>
        <v>STEM</v>
      </c>
      <c r="B134" s="5" t="str">
        <f t="shared" si="69"/>
        <v>SPS1</v>
      </c>
      <c r="C134" s="5" t="str">
        <f t="shared" si="70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0.31663745220480072</v>
      </c>
      <c r="L134" s="1">
        <f>'[1]Electricity and CHPs'!H27</f>
        <v>0.70631466610864024</v>
      </c>
      <c r="M134" s="1">
        <f>'[1]Electricity and CHPs'!I27</f>
        <v>0.7188691391754839</v>
      </c>
      <c r="N134" s="1">
        <f>'[1]Electricity and CHPs'!J27</f>
        <v>0.71175169275889505</v>
      </c>
      <c r="O134" s="1">
        <f>'[1]Electricity and CHPs'!K27</f>
        <v>0.71175171248670444</v>
      </c>
      <c r="P134" s="1">
        <f>'[1]Electricity and CHPs'!L27</f>
        <v>0.71175162788972757</v>
      </c>
      <c r="Q134" s="1">
        <f>'[1]Electricity and CHPs'!M27</f>
        <v>0.71175169581288034</v>
      </c>
      <c r="S134" s="3"/>
    </row>
    <row r="135" spans="1:19" x14ac:dyDescent="0.5">
      <c r="A135" s="5" t="str">
        <f t="shared" si="68"/>
        <v>STEM</v>
      </c>
      <c r="B135" s="5" t="str">
        <f t="shared" si="69"/>
        <v>SPS1</v>
      </c>
      <c r="C135" s="5" t="str">
        <f t="shared" si="70"/>
        <v>CH</v>
      </c>
      <c r="D135" t="s">
        <v>48</v>
      </c>
      <c r="E135" t="str">
        <f>E155</f>
        <v>PJ/yr.</v>
      </c>
      <c r="F135" s="1">
        <f>'[1]Electricity and CHPs'!B44</f>
        <v>0.23004155968187884</v>
      </c>
      <c r="G135" s="1">
        <f>'[1]Electricity and CHPs'!C44</f>
        <v>0.23015747953886212</v>
      </c>
      <c r="H135" s="1">
        <f>'[1]Electricity and CHPs'!D44</f>
        <v>0.33670595418499183</v>
      </c>
      <c r="I135" s="1">
        <f>'[1]Electricity and CHPs'!E44</f>
        <v>0.33294549849543831</v>
      </c>
      <c r="J135" s="1">
        <f>'[1]Electricity and CHPs'!F44</f>
        <v>0.32918527149850729</v>
      </c>
      <c r="K135" s="1">
        <f>'[1]Electricity and CHPs'!G44</f>
        <v>0.27652248589122819</v>
      </c>
      <c r="L135" s="1">
        <f>'[1]Electricity and CHPs'!H44</f>
        <v>1.5879104978595737E-4</v>
      </c>
      <c r="M135" s="1">
        <f>'[1]Electricity and CHPs'!I44</f>
        <v>6.4176873726448386E-5</v>
      </c>
      <c r="N135" s="1">
        <f>'[1]Electricity and CHPs'!J44</f>
        <v>1.0260492213509981E-4</v>
      </c>
      <c r="O135" s="1">
        <f>'[1]Electricity and CHPs'!K44</f>
        <v>1.7835184608337972E-4</v>
      </c>
      <c r="P135" s="1">
        <f>'[1]Electricity and CHPs'!L44</f>
        <v>1.1095457670873224E-4</v>
      </c>
      <c r="Q135" s="1">
        <f>'[1]Electricity and CHPs'!M44</f>
        <v>4.059839835814084E-5</v>
      </c>
      <c r="S135" s="3"/>
    </row>
    <row r="136" spans="1:19" x14ac:dyDescent="0.5">
      <c r="A136" s="5" t="str">
        <f t="shared" si="68"/>
        <v>STEM</v>
      </c>
      <c r="B136" s="5" t="str">
        <f t="shared" si="69"/>
        <v>SPS1</v>
      </c>
      <c r="C136" s="5" t="str">
        <f t="shared" si="70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4.5903431085571371E-2</v>
      </c>
      <c r="L136" s="1">
        <f>'[1]Electricity and CHPs'!H45</f>
        <v>0.5955220868503811</v>
      </c>
      <c r="M136" s="1">
        <f>'[1]Electricity and CHPs'!I45</f>
        <v>0.59288181935816031</v>
      </c>
      <c r="N136" s="1">
        <f>'[1]Electricity and CHPs'!J45</f>
        <v>0.59283049863437709</v>
      </c>
      <c r="O136" s="1">
        <f>'[1]Electricity and CHPs'!K45</f>
        <v>0.59269446585009755</v>
      </c>
      <c r="P136" s="1">
        <f>'[1]Electricity and CHPs'!L45</f>
        <v>0.59282553024416418</v>
      </c>
      <c r="Q136" s="1">
        <f>'[1]Electricity and CHPs'!M45</f>
        <v>0.59292247374858076</v>
      </c>
      <c r="S136" s="3"/>
    </row>
    <row r="137" spans="1:19" x14ac:dyDescent="0.5">
      <c r="A137" s="5" t="str">
        <f t="shared" si="68"/>
        <v>STEM</v>
      </c>
      <c r="B137" s="5" t="str">
        <f t="shared" si="69"/>
        <v>SPS1</v>
      </c>
      <c r="C137" s="5" t="str">
        <f t="shared" si="70"/>
        <v>CH</v>
      </c>
      <c r="D137" t="s">
        <v>89</v>
      </c>
      <c r="E137" t="str">
        <f t="shared" ref="E137:E151" si="134">E136</f>
        <v>PJ/yr.</v>
      </c>
      <c r="F137" s="1">
        <f>SUM(F138:F141)</f>
        <v>4.0272743323896316</v>
      </c>
      <c r="G137" s="1">
        <f t="shared" ref="G137:K137" si="135">SUM(G138:G141)</f>
        <v>4.3628264176461657</v>
      </c>
      <c r="H137" s="1">
        <f t="shared" si="135"/>
        <v>4.4249718377369138</v>
      </c>
      <c r="I137" s="1">
        <f t="shared" si="135"/>
        <v>4.4056373902552437</v>
      </c>
      <c r="J137" s="1">
        <f t="shared" si="135"/>
        <v>4.4472169988541781</v>
      </c>
      <c r="K137" s="1">
        <f t="shared" si="135"/>
        <v>4.5635165965623523</v>
      </c>
      <c r="L137" s="1">
        <f t="shared" ref="L137:O137" si="136">SUM(L138:L141)</f>
        <v>5.11277898862771</v>
      </c>
      <c r="M137" s="1">
        <f t="shared" si="136"/>
        <v>5.305872842499717</v>
      </c>
      <c r="N137" s="1">
        <f t="shared" si="136"/>
        <v>5.2589211630484733</v>
      </c>
      <c r="O137" s="1">
        <f t="shared" si="136"/>
        <v>5.2589319011744413</v>
      </c>
      <c r="P137" s="1">
        <f>SUM(P138:P141)</f>
        <v>5.2589350606069898</v>
      </c>
      <c r="Q137" s="1">
        <f>SUM(Q138:Q141)</f>
        <v>5.2589372165683734</v>
      </c>
      <c r="S137" s="3"/>
    </row>
    <row r="138" spans="1:19" x14ac:dyDescent="0.5">
      <c r="A138" s="5" t="str">
        <f t="shared" si="68"/>
        <v>STEM</v>
      </c>
      <c r="B138" s="5" t="str">
        <f t="shared" si="69"/>
        <v>SPS1</v>
      </c>
      <c r="C138" s="5" t="str">
        <f t="shared" si="70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3.2535001328909283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3.6513842013450044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3.7059223000700352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3.6990694091626355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3.7459303565669018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2.9131156865092911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2.2607339885096835</v>
      </c>
      <c r="M138" s="1" cm="1">
        <f t="array" ref="M138">M131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2.3499823320772846</v>
      </c>
      <c r="N138" s="1" cm="1">
        <f t="array" ref="N138">N131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2.3267152240299027</v>
      </c>
      <c r="O138" s="1" cm="1">
        <f t="array" ref="O138">O131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2.3267155583861312</v>
      </c>
      <c r="P138" s="1" cm="1">
        <f t="array" ref="P138">P131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2.3267152444677595</v>
      </c>
      <c r="Q138" s="1" cm="1">
        <f t="array" ref="Q138">Q131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2.3267153660776629</v>
      </c>
      <c r="S138" s="3"/>
    </row>
    <row r="139" spans="1:19" x14ac:dyDescent="0.5">
      <c r="A139" s="5" t="str">
        <f t="shared" si="68"/>
        <v>STEM</v>
      </c>
      <c r="B139" s="5" t="str">
        <f t="shared" si="69"/>
        <v>SPS1</v>
      </c>
      <c r="C139" s="5" t="str">
        <f t="shared" si="70"/>
        <v>CH</v>
      </c>
      <c r="D139" t="s">
        <v>61</v>
      </c>
      <c r="E139" t="str">
        <f t="shared" si="134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0.9464672021376821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2.157147142445436</v>
      </c>
      <c r="M139" s="1" cm="1">
        <f t="array" ref="M139">M132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2.2442783186471917</v>
      </c>
      <c r="N139" s="1" cm="1">
        <f t="array" ref="N139">N132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2.2220582264036106</v>
      </c>
      <c r="O139" s="1" cm="1">
        <f t="array" ref="O139">O132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2.2220580901911329</v>
      </c>
      <c r="P139" s="1" cm="1">
        <f t="array" ref="P139">P132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2.2220579336009743</v>
      </c>
      <c r="Q139" s="1" cm="1">
        <f t="array" ref="Q139">Q132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2.2220580891110124</v>
      </c>
      <c r="S139" s="3"/>
    </row>
    <row r="140" spans="1:19" x14ac:dyDescent="0.5">
      <c r="A140" s="5" t="str">
        <f t="shared" si="68"/>
        <v>STEM</v>
      </c>
      <c r="B140" s="5" t="str">
        <f t="shared" si="69"/>
        <v>SPS1</v>
      </c>
      <c r="C140" s="5" t="str">
        <f t="shared" si="70"/>
        <v>CH</v>
      </c>
      <c r="D140" t="s">
        <v>62</v>
      </c>
      <c r="E140" t="str">
        <f t="shared" si="134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0.7737741994987033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0.71144221630116156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0.71904953766687885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0.70656798109260799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0.70128664228727644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0.5456149818129794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0.34174052461826937</v>
      </c>
      <c r="M140" s="1" cm="1">
        <f t="array" ref="M140">M133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0.35217762218749937</v>
      </c>
      <c r="N140" s="1" cm="1">
        <f t="array" ref="N140">N133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0.35427186623551221</v>
      </c>
      <c r="O140" s="1" cm="1">
        <f t="array" ref="O140">O133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0.35428239635382563</v>
      </c>
      <c r="P140" s="1" cm="1">
        <f t="array" ref="P140">P133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0.35428606859339273</v>
      </c>
      <c r="Q140" s="1" cm="1">
        <f t="array" ref="Q140">Q133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0.35428791347325783</v>
      </c>
      <c r="S140" s="3"/>
    </row>
    <row r="141" spans="1:19" x14ac:dyDescent="0.5">
      <c r="A141" s="5" t="str">
        <f t="shared" si="68"/>
        <v>STEM</v>
      </c>
      <c r="B141" s="5" t="str">
        <f t="shared" si="69"/>
        <v>SPS1</v>
      </c>
      <c r="C141" s="5" t="str">
        <f t="shared" si="70"/>
        <v>CH</v>
      </c>
      <c r="D141" t="s">
        <v>63</v>
      </c>
      <c r="E141" t="str">
        <f t="shared" si="134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0.15831872610240036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0.35315733305432012</v>
      </c>
      <c r="M141" s="1" cm="1">
        <f t="array" ref="M141">M134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0.35943456958774195</v>
      </c>
      <c r="N141" s="1" cm="1">
        <f t="array" ref="N141">N134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0.35587584637944752</v>
      </c>
      <c r="O141" s="1" cm="1">
        <f t="array" ref="O141">O134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0.35587585624335227</v>
      </c>
      <c r="P141" s="1" cm="1">
        <f t="array" ref="P141">P134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0.35587581394486373</v>
      </c>
      <c r="Q141" s="1" cm="1">
        <f t="array" ref="Q141">Q134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0.35587584790644017</v>
      </c>
      <c r="S141" s="3"/>
    </row>
    <row r="142" spans="1:19" x14ac:dyDescent="0.5">
      <c r="A142" s="5" t="str">
        <f t="shared" si="68"/>
        <v>STEM</v>
      </c>
      <c r="B142" s="5" t="str">
        <f t="shared" si="69"/>
        <v>SPS1</v>
      </c>
      <c r="C142" s="5" t="str">
        <f t="shared" si="70"/>
        <v>CH</v>
      </c>
      <c r="D142" t="s">
        <v>64</v>
      </c>
      <c r="E142" t="str">
        <f t="shared" si="134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S142" s="3"/>
    </row>
    <row r="143" spans="1:19" x14ac:dyDescent="0.5">
      <c r="A143" s="5" t="str">
        <f t="shared" si="68"/>
        <v>STEM</v>
      </c>
      <c r="B143" s="5" t="str">
        <f t="shared" si="69"/>
        <v>SPS1</v>
      </c>
      <c r="C143" s="5" t="str">
        <f t="shared" si="70"/>
        <v>CH</v>
      </c>
      <c r="D143" t="s">
        <v>65</v>
      </c>
      <c r="E143" t="str">
        <f t="shared" si="134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S143" s="3"/>
    </row>
    <row r="144" spans="1:19" x14ac:dyDescent="0.5">
      <c r="A144" s="5" t="str">
        <f t="shared" si="68"/>
        <v>STEM</v>
      </c>
      <c r="B144" s="5" t="str">
        <f t="shared" si="69"/>
        <v>SPS1</v>
      </c>
      <c r="C144" s="5" t="str">
        <f t="shared" si="70"/>
        <v>CH</v>
      </c>
      <c r="D144" t="s">
        <v>800</v>
      </c>
      <c r="E144" t="str">
        <f>E143</f>
        <v>PJ/yr.</v>
      </c>
      <c r="F144" s="1">
        <f>SUM(F145:F150)</f>
        <v>4.2573158920715102</v>
      </c>
      <c r="G144" s="1">
        <f t="shared" ref="G144:K144" si="137">SUM(G145:G150)</f>
        <v>4.5929838971850279</v>
      </c>
      <c r="H144" s="1">
        <f t="shared" si="137"/>
        <v>4.7616777919219055</v>
      </c>
      <c r="I144" s="1">
        <f t="shared" si="137"/>
        <v>4.738582888750682</v>
      </c>
      <c r="J144" s="1">
        <f t="shared" si="137"/>
        <v>4.7764022703526852</v>
      </c>
      <c r="K144" s="1">
        <f t="shared" si="137"/>
        <v>4.8859425135391525</v>
      </c>
      <c r="L144" s="1">
        <f t="shared" ref="L144:O144" si="138">SUM(L145:L150)</f>
        <v>5.7084598665278765</v>
      </c>
      <c r="M144" s="1">
        <f t="shared" si="138"/>
        <v>5.8988188387316036</v>
      </c>
      <c r="N144" s="1">
        <f t="shared" si="138"/>
        <v>5.8518542666049864</v>
      </c>
      <c r="O144" s="1">
        <f t="shared" si="138"/>
        <v>5.8518047188706221</v>
      </c>
      <c r="P144" s="1">
        <f>SUM(P145:P150)</f>
        <v>5.8518715454278629</v>
      </c>
      <c r="Q144" s="1">
        <f>SUM(Q145:Q150)</f>
        <v>5.8519002887153118</v>
      </c>
      <c r="S144" s="3"/>
    </row>
    <row r="145" spans="1:19" x14ac:dyDescent="0.5">
      <c r="A145" s="5" t="str">
        <f t="shared" si="68"/>
        <v>STEM</v>
      </c>
      <c r="B145" s="5" t="str">
        <f t="shared" si="69"/>
        <v>SPS1</v>
      </c>
      <c r="C145" s="5" t="str">
        <f t="shared" si="70"/>
        <v>CH</v>
      </c>
      <c r="D145" t="s">
        <v>56</v>
      </c>
      <c r="E145" t="str">
        <f>E144</f>
        <v>PJ/yr.</v>
      </c>
      <c r="F145" s="1">
        <f>F131-F138</f>
        <v>3.2535001328909283</v>
      </c>
      <c r="G145" s="1">
        <f t="shared" ref="G145:K145" si="139">G131-G138</f>
        <v>3.6513842013450044</v>
      </c>
      <c r="H145" s="1">
        <f t="shared" si="139"/>
        <v>3.7059223000700352</v>
      </c>
      <c r="I145" s="1">
        <f t="shared" si="139"/>
        <v>3.6990694091626355</v>
      </c>
      <c r="J145" s="1">
        <f t="shared" si="139"/>
        <v>3.7459303565669018</v>
      </c>
      <c r="K145" s="1">
        <f t="shared" si="139"/>
        <v>2.9131156865092911</v>
      </c>
      <c r="L145" s="1">
        <f t="shared" ref="L145:O145" si="140">L131-L138</f>
        <v>2.2607339885096835</v>
      </c>
      <c r="M145" s="1">
        <f t="shared" si="140"/>
        <v>2.3499823320772846</v>
      </c>
      <c r="N145" s="1">
        <f t="shared" si="140"/>
        <v>2.3267152240299027</v>
      </c>
      <c r="O145" s="1">
        <f t="shared" si="140"/>
        <v>2.3267155583861312</v>
      </c>
      <c r="P145" s="1">
        <f t="shared" ref="P145:Q150" si="141">P131-P138</f>
        <v>2.3267152444677595</v>
      </c>
      <c r="Q145" s="1">
        <f t="shared" si="141"/>
        <v>2.3267153660776629</v>
      </c>
      <c r="S145" s="3"/>
    </row>
    <row r="146" spans="1:19" x14ac:dyDescent="0.5">
      <c r="A146" s="5" t="str">
        <f t="shared" si="68"/>
        <v>STEM</v>
      </c>
      <c r="B146" s="5" t="str">
        <f t="shared" si="69"/>
        <v>SPS1</v>
      </c>
      <c r="C146" s="5" t="str">
        <f t="shared" si="70"/>
        <v>CH</v>
      </c>
      <c r="D146" t="s">
        <v>57</v>
      </c>
      <c r="E146" t="str">
        <f t="shared" si="134"/>
        <v>PJ/yr.</v>
      </c>
      <c r="F146" s="1">
        <f t="shared" ref="F146:K146" si="142">F132-F139</f>
        <v>0</v>
      </c>
      <c r="G146" s="1">
        <f t="shared" si="142"/>
        <v>0</v>
      </c>
      <c r="H146" s="1">
        <f t="shared" si="142"/>
        <v>0</v>
      </c>
      <c r="I146" s="1">
        <f t="shared" si="142"/>
        <v>0</v>
      </c>
      <c r="J146" s="1">
        <f t="shared" si="142"/>
        <v>0</v>
      </c>
      <c r="K146" s="1">
        <f t="shared" si="142"/>
        <v>0.9464672021376821</v>
      </c>
      <c r="L146" s="1">
        <f t="shared" ref="L146:O146" si="143">L132-L139</f>
        <v>2.157147142445436</v>
      </c>
      <c r="M146" s="1">
        <f t="shared" si="143"/>
        <v>2.2442783186471917</v>
      </c>
      <c r="N146" s="1">
        <f t="shared" si="143"/>
        <v>2.2220582264036106</v>
      </c>
      <c r="O146" s="1">
        <f t="shared" si="143"/>
        <v>2.2220580901911329</v>
      </c>
      <c r="P146" s="1">
        <f t="shared" si="141"/>
        <v>2.2220579336009743</v>
      </c>
      <c r="Q146" s="1">
        <f t="shared" si="141"/>
        <v>2.2220580891110124</v>
      </c>
      <c r="S146" s="3"/>
    </row>
    <row r="147" spans="1:19" x14ac:dyDescent="0.5">
      <c r="A147" s="5" t="str">
        <f t="shared" si="68"/>
        <v>STEM</v>
      </c>
      <c r="B147" s="5" t="str">
        <f t="shared" si="69"/>
        <v>SPS1</v>
      </c>
      <c r="C147" s="5" t="str">
        <f t="shared" si="70"/>
        <v>CH</v>
      </c>
      <c r="D147" t="s">
        <v>58</v>
      </c>
      <c r="E147" t="str">
        <f t="shared" si="134"/>
        <v>PJ/yr.</v>
      </c>
      <c r="F147" s="1">
        <f t="shared" ref="F147:K147" si="144">F133-F140</f>
        <v>0.77377419949870352</v>
      </c>
      <c r="G147" s="1">
        <f t="shared" si="144"/>
        <v>0.71144221630116156</v>
      </c>
      <c r="H147" s="1">
        <f t="shared" si="144"/>
        <v>0.71904953766687885</v>
      </c>
      <c r="I147" s="1">
        <f t="shared" si="144"/>
        <v>0.70656798109260821</v>
      </c>
      <c r="J147" s="1">
        <f t="shared" si="144"/>
        <v>0.70128664228727622</v>
      </c>
      <c r="K147" s="1">
        <f t="shared" si="144"/>
        <v>0.5456149818129794</v>
      </c>
      <c r="L147" s="1">
        <f t="shared" ref="L147:O147" si="145">L133-L140</f>
        <v>0.34174052461826937</v>
      </c>
      <c r="M147" s="1">
        <f t="shared" si="145"/>
        <v>0.35217762218749937</v>
      </c>
      <c r="N147" s="1">
        <f t="shared" si="145"/>
        <v>0.35427186623551221</v>
      </c>
      <c r="O147" s="1">
        <f t="shared" si="145"/>
        <v>0.35428239635382563</v>
      </c>
      <c r="P147" s="1">
        <f t="shared" si="141"/>
        <v>0.35428606859339273</v>
      </c>
      <c r="Q147" s="1">
        <f t="shared" si="141"/>
        <v>0.35428791347325783</v>
      </c>
      <c r="S147" s="3"/>
    </row>
    <row r="148" spans="1:19" x14ac:dyDescent="0.5">
      <c r="A148" s="5" t="str">
        <f t="shared" si="68"/>
        <v>STEM</v>
      </c>
      <c r="B148" s="5" t="str">
        <f t="shared" si="69"/>
        <v>SPS1</v>
      </c>
      <c r="C148" s="5" t="str">
        <f t="shared" si="70"/>
        <v>CH</v>
      </c>
      <c r="D148" t="s">
        <v>59</v>
      </c>
      <c r="E148" t="str">
        <f t="shared" si="134"/>
        <v>PJ/yr.</v>
      </c>
      <c r="F148" s="1">
        <f t="shared" ref="F148:K148" si="146">F134-F141</f>
        <v>0</v>
      </c>
      <c r="G148" s="1">
        <f t="shared" si="146"/>
        <v>0</v>
      </c>
      <c r="H148" s="1">
        <f t="shared" si="146"/>
        <v>0</v>
      </c>
      <c r="I148" s="1">
        <f t="shared" si="146"/>
        <v>0</v>
      </c>
      <c r="J148" s="1">
        <f t="shared" si="146"/>
        <v>0</v>
      </c>
      <c r="K148" s="1">
        <f t="shared" si="146"/>
        <v>0.15831872610240036</v>
      </c>
      <c r="L148" s="1">
        <f t="shared" ref="L148:O148" si="147">L134-L141</f>
        <v>0.35315733305432012</v>
      </c>
      <c r="M148" s="1">
        <f t="shared" si="147"/>
        <v>0.35943456958774195</v>
      </c>
      <c r="N148" s="1">
        <f t="shared" si="147"/>
        <v>0.35587584637944752</v>
      </c>
      <c r="O148" s="1">
        <f t="shared" si="147"/>
        <v>0.35587585624335216</v>
      </c>
      <c r="P148" s="1">
        <f t="shared" si="141"/>
        <v>0.35587581394486384</v>
      </c>
      <c r="Q148" s="1">
        <f t="shared" si="141"/>
        <v>0.35587584790644017</v>
      </c>
      <c r="S148" s="3"/>
    </row>
    <row r="149" spans="1:19" x14ac:dyDescent="0.5">
      <c r="A149" s="5" t="str">
        <f t="shared" si="68"/>
        <v>STEM</v>
      </c>
      <c r="B149" s="5" t="str">
        <f t="shared" si="69"/>
        <v>SPS1</v>
      </c>
      <c r="C149" s="5" t="str">
        <f t="shared" si="70"/>
        <v>CH</v>
      </c>
      <c r="D149" t="s">
        <v>54</v>
      </c>
      <c r="E149" t="str">
        <f t="shared" si="134"/>
        <v>PJ/yr.</v>
      </c>
      <c r="F149" s="1">
        <f t="shared" ref="F149:K149" si="148">F135-F142</f>
        <v>0.23004155968187884</v>
      </c>
      <c r="G149" s="1">
        <f t="shared" si="148"/>
        <v>0.23015747953886212</v>
      </c>
      <c r="H149" s="1">
        <f t="shared" si="148"/>
        <v>0.33670595418499183</v>
      </c>
      <c r="I149" s="1">
        <f t="shared" si="148"/>
        <v>0.33294549849543831</v>
      </c>
      <c r="J149" s="1">
        <f t="shared" si="148"/>
        <v>0.32918527149850729</v>
      </c>
      <c r="K149" s="1">
        <f t="shared" si="148"/>
        <v>0.27652248589122819</v>
      </c>
      <c r="L149" s="1">
        <f t="shared" ref="L149:O149" si="149">L135-L142</f>
        <v>1.5879104978595737E-4</v>
      </c>
      <c r="M149" s="1">
        <f t="shared" si="149"/>
        <v>6.4176873726448386E-5</v>
      </c>
      <c r="N149" s="1">
        <f t="shared" si="149"/>
        <v>1.0260492213509981E-4</v>
      </c>
      <c r="O149" s="1">
        <f t="shared" si="149"/>
        <v>1.7835184608337972E-4</v>
      </c>
      <c r="P149" s="1">
        <f t="shared" si="141"/>
        <v>1.1095457670873224E-4</v>
      </c>
      <c r="Q149" s="1">
        <f t="shared" si="141"/>
        <v>4.059839835814084E-5</v>
      </c>
      <c r="S149" s="3"/>
    </row>
    <row r="150" spans="1:19" x14ac:dyDescent="0.5">
      <c r="A150" s="5" t="str">
        <f t="shared" ref="A150:A181" si="150">A149</f>
        <v>STEM</v>
      </c>
      <c r="B150" s="5" t="str">
        <f t="shared" ref="B150:B181" si="151">B149</f>
        <v>SPS1</v>
      </c>
      <c r="C150" s="5" t="str">
        <f t="shared" ref="C150:C181" si="152">C149</f>
        <v>CH</v>
      </c>
      <c r="D150" t="s">
        <v>55</v>
      </c>
      <c r="E150" t="str">
        <f t="shared" si="134"/>
        <v>PJ/yr.</v>
      </c>
      <c r="F150" s="1">
        <f t="shared" ref="F150:K150" si="153">F136-F143</f>
        <v>0</v>
      </c>
      <c r="G150" s="1">
        <f t="shared" si="153"/>
        <v>0</v>
      </c>
      <c r="H150" s="1">
        <f t="shared" si="153"/>
        <v>0</v>
      </c>
      <c r="I150" s="1">
        <f t="shared" si="153"/>
        <v>0</v>
      </c>
      <c r="J150" s="1">
        <f t="shared" si="153"/>
        <v>0</v>
      </c>
      <c r="K150" s="1">
        <f t="shared" si="153"/>
        <v>4.5903431085571371E-2</v>
      </c>
      <c r="L150" s="1">
        <f t="shared" ref="L150:O150" si="154">L136-L143</f>
        <v>0.5955220868503811</v>
      </c>
      <c r="M150" s="1">
        <f t="shared" si="154"/>
        <v>0.59288181935816031</v>
      </c>
      <c r="N150" s="1">
        <f t="shared" si="154"/>
        <v>0.59283049863437709</v>
      </c>
      <c r="O150" s="1">
        <f t="shared" si="154"/>
        <v>0.59269446585009755</v>
      </c>
      <c r="P150" s="1">
        <f t="shared" si="141"/>
        <v>0.59282553024416418</v>
      </c>
      <c r="Q150" s="1">
        <f t="shared" si="141"/>
        <v>0.59292247374858076</v>
      </c>
      <c r="S150" s="3"/>
    </row>
    <row r="151" spans="1:19" x14ac:dyDescent="0.5">
      <c r="A151" s="5" t="str">
        <f t="shared" si="150"/>
        <v>STEM</v>
      </c>
      <c r="B151" s="5" t="str">
        <f t="shared" si="151"/>
        <v>SPS1</v>
      </c>
      <c r="C151" s="5" t="str">
        <f t="shared" si="152"/>
        <v>CH</v>
      </c>
      <c r="D151" t="s">
        <v>801</v>
      </c>
      <c r="E151" t="str">
        <f t="shared" si="134"/>
        <v>PJ/yr.</v>
      </c>
      <c r="F151" s="1">
        <f>SUM(F152:F158)</f>
        <v>0.24671914784480553</v>
      </c>
      <c r="G151" s="1">
        <f t="shared" ref="G151:K151" si="155">SUM(G152:G158)</f>
        <v>0.24671753704723323</v>
      </c>
      <c r="H151" s="1">
        <f t="shared" si="155"/>
        <v>1.1438272088525885</v>
      </c>
      <c r="I151" s="1">
        <f t="shared" si="155"/>
        <v>1.5416652980122056</v>
      </c>
      <c r="J151" s="1">
        <f t="shared" si="155"/>
        <v>1.5416837384333022</v>
      </c>
      <c r="K151" s="1">
        <f t="shared" si="155"/>
        <v>4.0848274670438727</v>
      </c>
      <c r="L151" s="1">
        <f t="shared" ref="L151:O151" si="156">SUM(L152:L158)</f>
        <v>5.214548296558112</v>
      </c>
      <c r="M151" s="1">
        <f t="shared" si="156"/>
        <v>5.8867942719248711</v>
      </c>
      <c r="N151" s="1">
        <f t="shared" si="156"/>
        <v>5.8509351134050203</v>
      </c>
      <c r="O151" s="1">
        <f t="shared" si="156"/>
        <v>5.8867941473732239</v>
      </c>
      <c r="P151" s="1">
        <f>SUM(P152:P158)</f>
        <v>5.8766208481797628</v>
      </c>
      <c r="Q151" s="1">
        <f>SUM(Q152:Q158)</f>
        <v>5.8868457742129383</v>
      </c>
      <c r="S151" s="3"/>
    </row>
    <row r="152" spans="1:19" x14ac:dyDescent="0.5">
      <c r="A152" s="5" t="str">
        <f t="shared" si="150"/>
        <v>STEM</v>
      </c>
      <c r="B152" s="5" t="str">
        <f t="shared" si="151"/>
        <v>SPS1</v>
      </c>
      <c r="C152" s="5" t="str">
        <f t="shared" si="152"/>
        <v>CH</v>
      </c>
      <c r="D152" t="s">
        <v>66</v>
      </c>
      <c r="E152" t="str">
        <f>E86</f>
        <v>PJ/yr.</v>
      </c>
      <c r="F152" s="1">
        <f>'[1]Electricity and CHPs'!B25</f>
        <v>7.4245459508893566E-2</v>
      </c>
      <c r="G152" s="1">
        <f>'[1]Electricity and CHPs'!C25</f>
        <v>2.4587559078031285E-4</v>
      </c>
      <c r="H152" s="1">
        <f>'[1]Electricity and CHPs'!D25</f>
        <v>1.1428972356934816E-2</v>
      </c>
      <c r="I152" s="1">
        <f>'[1]Electricity and CHPs'!E25</f>
        <v>9.1718693757535759E-4</v>
      </c>
      <c r="J152" s="1">
        <f>'[1]Electricity and CHPs'!F25</f>
        <v>1.9161160205285854E-3</v>
      </c>
      <c r="K152" s="1">
        <f>'[1]Electricity and CHPs'!G25</f>
        <v>0.72178221842802737</v>
      </c>
      <c r="L152" s="1">
        <f>'[1]Electricity and CHPs'!H25</f>
        <v>1.1209396887544685</v>
      </c>
      <c r="M152" s="1">
        <f>'[1]Electricity and CHPs'!I25</f>
        <v>0.96479230328118604</v>
      </c>
      <c r="N152" s="1">
        <f>'[1]Electricity and CHPs'!J25</f>
        <v>0.93945962111478309</v>
      </c>
      <c r="O152" s="1">
        <f>'[1]Electricity and CHPs'!K25</f>
        <v>0.94125364090109553</v>
      </c>
      <c r="P152" s="1">
        <f>'[1]Electricity and CHPs'!L25</f>
        <v>0.94175843164813544</v>
      </c>
      <c r="Q152" s="1">
        <f>'[1]Electricity and CHPs'!M25</f>
        <v>0.94371504597354539</v>
      </c>
      <c r="S152" s="3"/>
    </row>
    <row r="153" spans="1:19" x14ac:dyDescent="0.5">
      <c r="A153" s="5" t="str">
        <f t="shared" si="150"/>
        <v>STEM</v>
      </c>
      <c r="B153" s="5" t="str">
        <f t="shared" si="151"/>
        <v>SPS1</v>
      </c>
      <c r="C153" s="5" t="str">
        <f t="shared" si="152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3.8099033599862746E-4</v>
      </c>
      <c r="L153" s="1">
        <f>'[1]Electricity and CHPs'!H31</f>
        <v>2.3849082331739335E-2</v>
      </c>
      <c r="M153" s="1">
        <f>'[1]Electricity and CHPs'!I31</f>
        <v>0.373576134470256</v>
      </c>
      <c r="N153" s="1">
        <f>'[1]Electricity and CHPs'!J31</f>
        <v>0.4024634375789346</v>
      </c>
      <c r="O153" s="1">
        <f>'[1]Electricity and CHPs'!K31</f>
        <v>0.40312324957631052</v>
      </c>
      <c r="P153" s="1">
        <f>'[1]Electricity and CHPs'!L31</f>
        <v>0.40342083187329653</v>
      </c>
      <c r="Q153" s="1">
        <f>'[1]Electricity and CHPs'!M31</f>
        <v>0.40390230343568756</v>
      </c>
      <c r="S153" s="3"/>
    </row>
    <row r="154" spans="1:19" x14ac:dyDescent="0.5">
      <c r="A154" s="5" t="str">
        <f t="shared" si="150"/>
        <v>STEM</v>
      </c>
      <c r="B154" s="5" t="str">
        <f t="shared" si="151"/>
        <v>SPS1</v>
      </c>
      <c r="C154" s="5" t="str">
        <f t="shared" si="152"/>
        <v>CH</v>
      </c>
      <c r="D154" t="s">
        <v>68</v>
      </c>
      <c r="E154" t="str">
        <f>E77</f>
        <v>PJ/yr.</v>
      </c>
      <c r="F154" s="1">
        <f>'[1]Electricity and CHPs'!B42</f>
        <v>0.17247368833591198</v>
      </c>
      <c r="G154" s="1">
        <f>'[1]Electricity and CHPs'!C42</f>
        <v>0.24647166145645291</v>
      </c>
      <c r="H154" s="1">
        <f>'[1]Electricity and CHPs'!D42</f>
        <v>1.1323982364956537</v>
      </c>
      <c r="I154" s="1">
        <f>'[1]Electricity and CHPs'!E42</f>
        <v>1.5387739580302806</v>
      </c>
      <c r="J154" s="1">
        <f>'[1]Electricity and CHPs'!F42</f>
        <v>1.5368524591111128</v>
      </c>
      <c r="K154" s="1">
        <f>'[1]Electricity and CHPs'!G42</f>
        <v>0.64993127137342188</v>
      </c>
      <c r="L154" s="1">
        <f>'[1]Electricity and CHPs'!H42</f>
        <v>0.18886881571629691</v>
      </c>
      <c r="M154" s="1">
        <f>'[1]Electricity and CHPs'!I42</f>
        <v>1.0540525758473075E-3</v>
      </c>
      <c r="N154" s="1">
        <f>'[1]Electricity and CHPs'!J42</f>
        <v>9.2528701082759989E-4</v>
      </c>
      <c r="O154" s="1">
        <f>'[1]Electricity and CHPs'!K42</f>
        <v>1.1133399966297389E-3</v>
      </c>
      <c r="P154" s="1">
        <f>'[1]Electricity and CHPs'!L42</f>
        <v>9.1052847811072752E-4</v>
      </c>
      <c r="Q154" s="1">
        <f>'[1]Electricity and CHPs'!M42</f>
        <v>1.2756379057171801E-3</v>
      </c>
      <c r="S154" s="3"/>
    </row>
    <row r="155" spans="1:19" x14ac:dyDescent="0.5">
      <c r="A155" s="5" t="str">
        <f t="shared" si="150"/>
        <v>STEM</v>
      </c>
      <c r="B155" s="5" t="str">
        <f t="shared" si="151"/>
        <v>SPS1</v>
      </c>
      <c r="C155" s="5" t="str">
        <f t="shared" si="152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2.5431334247385946</v>
      </c>
      <c r="L155" s="1">
        <f>'[1]Electricity and CHPs'!H43</f>
        <v>3.6728548977062787</v>
      </c>
      <c r="M155" s="1">
        <f>'[1]Electricity and CHPs'!I43</f>
        <v>4.3450987587368193</v>
      </c>
      <c r="N155" s="1">
        <f>'[1]Electricity and CHPs'!J43</f>
        <v>4.3092437013351006</v>
      </c>
      <c r="O155" s="1">
        <f>'[1]Electricity and CHPs'!K43</f>
        <v>4.3450990277794954</v>
      </c>
      <c r="P155" s="1">
        <f>'[1]Electricity and CHPs'!L43</f>
        <v>4.334928160907709</v>
      </c>
      <c r="Q155" s="1">
        <f>'[1]Electricity and CHPs'!M43</f>
        <v>4.3451027967576588</v>
      </c>
      <c r="S155" s="3"/>
    </row>
    <row r="156" spans="1:19" x14ac:dyDescent="0.5">
      <c r="A156" s="5" t="str">
        <f t="shared" si="150"/>
        <v>STEM</v>
      </c>
      <c r="B156" s="5" t="str">
        <f t="shared" si="151"/>
        <v>SPS1</v>
      </c>
      <c r="C156" s="5" t="str">
        <f t="shared" si="152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5.4964237119789765E-4</v>
      </c>
      <c r="J156" s="1">
        <f>'[1]Electricity and CHPs'!F50</f>
        <v>9.2506633250376323E-4</v>
      </c>
      <c r="K156" s="1">
        <f>'[1]Electricity and CHPs'!G50</f>
        <v>4.0415767173126414E-3</v>
      </c>
      <c r="L156" s="1">
        <f>'[1]Electricity and CHPs'!H50</f>
        <v>5.1087363422047264E-3</v>
      </c>
      <c r="M156" s="1">
        <f>'[1]Electricity and CHPs'!I50</f>
        <v>6.5112455385523838E-3</v>
      </c>
      <c r="N156" s="1">
        <f>'[1]Electricity and CHPs'!J50</f>
        <v>3.4465501503156389E-3</v>
      </c>
      <c r="O156" s="1">
        <f>'[1]Electricity and CHPs'!K50</f>
        <v>3.375635157271459E-3</v>
      </c>
      <c r="P156" s="1">
        <f>'[1]Electricity and CHPs'!L50</f>
        <v>3.2942277323968032E-3</v>
      </c>
      <c r="Q156" s="1">
        <f>'[1]Electricity and CHPs'!M50</f>
        <v>4.4480486395297404E-3</v>
      </c>
      <c r="S156" s="3"/>
    </row>
    <row r="157" spans="1:19" x14ac:dyDescent="0.5">
      <c r="A157" s="5" t="str">
        <f t="shared" si="150"/>
        <v>STEM</v>
      </c>
      <c r="B157" s="5" t="str">
        <f t="shared" si="151"/>
        <v>SPS1</v>
      </c>
      <c r="C157" s="5" t="str">
        <f t="shared" si="152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8.1565128511263459E-4</v>
      </c>
      <c r="J157" s="1">
        <f>'[1]Electricity and CHPs'!F53</f>
        <v>1.3499878879191542E-3</v>
      </c>
      <c r="K157" s="1">
        <f>'[1]Electricity and CHPs'!G53</f>
        <v>0.15941994015896085</v>
      </c>
      <c r="L157" s="1">
        <f>'[1]Electricity and CHPs'!H53</f>
        <v>0.19771130469827419</v>
      </c>
      <c r="M157" s="1">
        <f>'[1]Electricity and CHPs'!I53</f>
        <v>0.1933917394824605</v>
      </c>
      <c r="N157" s="1">
        <f>'[1]Electricity and CHPs'!J53</f>
        <v>0.19233282846302691</v>
      </c>
      <c r="O157" s="1">
        <f>'[1]Electricity and CHPs'!K53</f>
        <v>0.19065765533664669</v>
      </c>
      <c r="P157" s="1">
        <f>'[1]Electricity and CHPs'!L53</f>
        <v>0.19051252459722892</v>
      </c>
      <c r="Q157" s="1">
        <f>'[1]Electricity and CHPs'!M53</f>
        <v>0.18507199291808546</v>
      </c>
      <c r="S157" s="3"/>
    </row>
    <row r="158" spans="1:19" x14ac:dyDescent="0.5">
      <c r="A158" s="5" t="str">
        <f t="shared" si="150"/>
        <v>STEM</v>
      </c>
      <c r="B158" s="5" t="str">
        <f t="shared" si="151"/>
        <v>SPS1</v>
      </c>
      <c r="C158" s="5" t="str">
        <f t="shared" si="152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6.0885938803920006E-4</v>
      </c>
      <c r="J158" s="1">
        <f>'[1]Electricity and CHPs'!F56</f>
        <v>6.4010908123798393E-4</v>
      </c>
      <c r="K158" s="1">
        <f>'[1]Electricity and CHPs'!G56</f>
        <v>6.1380452915575697E-3</v>
      </c>
      <c r="L158" s="1">
        <f>'[1]Electricity and CHPs'!H56</f>
        <v>5.2157710088484369E-3</v>
      </c>
      <c r="M158" s="1">
        <f>'[1]Electricity and CHPs'!I56</f>
        <v>2.3700378397495886E-3</v>
      </c>
      <c r="N158" s="1">
        <f>'[1]Electricity and CHPs'!J56</f>
        <v>3.0636877520323872E-3</v>
      </c>
      <c r="O158" s="1">
        <f>'[1]Electricity and CHPs'!K56</f>
        <v>2.1715986257732495E-3</v>
      </c>
      <c r="P158" s="1">
        <f>'[1]Electricity and CHPs'!L56</f>
        <v>1.7961429428854298E-3</v>
      </c>
      <c r="Q158" s="1">
        <f>'[1]Electricity and CHPs'!M56</f>
        <v>3.3299485827147997E-3</v>
      </c>
      <c r="S158" s="3"/>
    </row>
    <row r="159" spans="1:19" x14ac:dyDescent="0.5">
      <c r="A159" s="5" t="str">
        <f t="shared" si="150"/>
        <v>STEM</v>
      </c>
      <c r="B159" s="5" t="str">
        <f t="shared" si="151"/>
        <v>SPS1</v>
      </c>
      <c r="C159" s="5" t="str">
        <f t="shared" si="152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O159" si="157">G160</f>
        <v>0.54529204320697078</v>
      </c>
      <c r="H159" s="1">
        <f t="shared" si="157"/>
        <v>0.50316464154052054</v>
      </c>
      <c r="I159" s="1">
        <f t="shared" si="157"/>
        <v>0.98984228559381826</v>
      </c>
      <c r="J159" s="1">
        <f t="shared" si="157"/>
        <v>1.0861897355413361</v>
      </c>
      <c r="K159" s="1">
        <f t="shared" si="157"/>
        <v>1.0863137814254247</v>
      </c>
      <c r="L159" s="1">
        <f t="shared" si="157"/>
        <v>1.2212459805636593</v>
      </c>
      <c r="M159" s="1">
        <f t="shared" si="157"/>
        <v>1.221262519334102</v>
      </c>
      <c r="N159" s="1">
        <f t="shared" si="157"/>
        <v>1.2213800676946502</v>
      </c>
      <c r="O159" s="1">
        <f t="shared" si="157"/>
        <v>1.2215382173731462</v>
      </c>
      <c r="P159" s="1">
        <f>P160</f>
        <v>1.2215410910374236</v>
      </c>
      <c r="Q159" s="1">
        <f>Q160</f>
        <v>1.2215570182267321</v>
      </c>
      <c r="S159" s="3"/>
    </row>
    <row r="160" spans="1:19" x14ac:dyDescent="0.5">
      <c r="A160" s="5" t="str">
        <f t="shared" si="150"/>
        <v>STEM</v>
      </c>
      <c r="B160" s="5" t="str">
        <f t="shared" si="151"/>
        <v>SPS1</v>
      </c>
      <c r="C160" s="5" t="str">
        <f t="shared" si="152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0.54529204320697078</v>
      </c>
      <c r="H160" s="1">
        <f>'[1]Electricity and CHPs'!D33</f>
        <v>0.50316464154052054</v>
      </c>
      <c r="I160" s="1">
        <f>'[1]Electricity and CHPs'!E33</f>
        <v>0.98984228559381826</v>
      </c>
      <c r="J160" s="1">
        <f>'[1]Electricity and CHPs'!F33</f>
        <v>1.0861897355413361</v>
      </c>
      <c r="K160" s="1">
        <f>'[1]Electricity and CHPs'!G33</f>
        <v>1.0863137814254247</v>
      </c>
      <c r="L160" s="1">
        <f>'[1]Electricity and CHPs'!H33</f>
        <v>1.2212459805636593</v>
      </c>
      <c r="M160" s="1">
        <f>'[1]Electricity and CHPs'!I33</f>
        <v>1.221262519334102</v>
      </c>
      <c r="N160" s="1">
        <f>'[1]Electricity and CHPs'!J33</f>
        <v>1.2213800676946502</v>
      </c>
      <c r="O160" s="1">
        <f>'[1]Electricity and CHPs'!K33</f>
        <v>1.2215382173731462</v>
      </c>
      <c r="P160" s="1">
        <f>'[1]Electricity and CHPs'!L33</f>
        <v>1.2215410910374236</v>
      </c>
      <c r="Q160" s="1">
        <f>'[1]Electricity and CHPs'!M33</f>
        <v>1.2215570182267321</v>
      </c>
      <c r="S160" s="3"/>
    </row>
    <row r="161" spans="1:19" x14ac:dyDescent="0.5">
      <c r="A161" s="5" t="str">
        <f t="shared" si="150"/>
        <v>STEM</v>
      </c>
      <c r="B161" s="5" t="str">
        <f t="shared" si="151"/>
        <v>SPS1</v>
      </c>
      <c r="C161" s="5" t="str">
        <f t="shared" si="152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8">SUM(G162:G166)</f>
        <v>12.821343205207668</v>
      </c>
      <c r="H161" s="1">
        <f t="shared" si="158"/>
        <v>28.800001496893064</v>
      </c>
      <c r="I161" s="1">
        <f t="shared" si="158"/>
        <v>54.826969295020426</v>
      </c>
      <c r="J161" s="1">
        <f t="shared" si="158"/>
        <v>80.847969634986697</v>
      </c>
      <c r="K161" s="1">
        <f t="shared" si="158"/>
        <v>85.750548737650249</v>
      </c>
      <c r="L161" s="1">
        <f t="shared" ref="L161:O161" si="159">SUM(L162:L166)</f>
        <v>93.377834571719717</v>
      </c>
      <c r="M161" s="1">
        <f t="shared" si="159"/>
        <v>100.61876174728138</v>
      </c>
      <c r="N161" s="1">
        <f t="shared" si="159"/>
        <v>104.24453729391308</v>
      </c>
      <c r="O161" s="1">
        <f t="shared" si="159"/>
        <v>107.30361935549593</v>
      </c>
      <c r="P161" s="1">
        <f>SUM(P162:P166)</f>
        <v>109.38557857802851</v>
      </c>
      <c r="Q161" s="1">
        <f>SUM(Q162:Q166)</f>
        <v>111.47113640087005</v>
      </c>
      <c r="S161" s="3"/>
    </row>
    <row r="162" spans="1:19" x14ac:dyDescent="0.5">
      <c r="A162" s="5" t="str">
        <f t="shared" si="150"/>
        <v>STEM</v>
      </c>
      <c r="B162" s="5" t="str">
        <f t="shared" si="151"/>
        <v>SPS1</v>
      </c>
      <c r="C162" s="5" t="str">
        <f t="shared" si="152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0.15619072897983161</v>
      </c>
      <c r="I162" s="1">
        <f>'[1]Electricity and CHPs'!E34</f>
        <v>0.53821345162669443</v>
      </c>
      <c r="J162" s="1">
        <f>'[1]Electricity and CHPs'!F34</f>
        <v>2.3205627586842272</v>
      </c>
      <c r="K162" s="1">
        <f>'[1]Electricity and CHPs'!G34</f>
        <v>3.0689980419595648</v>
      </c>
      <c r="L162" s="1">
        <f>'[1]Electricity and CHPs'!H34</f>
        <v>6.4786821594399324</v>
      </c>
      <c r="M162" s="1">
        <f>'[1]Electricity and CHPs'!I34</f>
        <v>9.2868731154888575</v>
      </c>
      <c r="N162" s="1">
        <f>'[1]Electricity and CHPs'!J34</f>
        <v>8.2538006547198712</v>
      </c>
      <c r="O162" s="1">
        <f>'[1]Electricity and CHPs'!K34</f>
        <v>6.4163838161465989</v>
      </c>
      <c r="P162" s="1">
        <f>'[1]Electricity and CHPs'!L34</f>
        <v>3.3520697510897763</v>
      </c>
      <c r="Q162" s="1">
        <f>'[1]Electricity and CHPs'!M34</f>
        <v>2.869144957801846E-2</v>
      </c>
      <c r="S162" s="3"/>
    </row>
    <row r="163" spans="1:19" x14ac:dyDescent="0.5">
      <c r="A163" s="5" t="str">
        <f t="shared" si="150"/>
        <v>STEM</v>
      </c>
      <c r="B163" s="5" t="str">
        <f t="shared" si="151"/>
        <v>SPS1</v>
      </c>
      <c r="C163" s="5" t="str">
        <f t="shared" si="152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4.8486222543413104</v>
      </c>
      <c r="H163" s="1">
        <f>'[1]Electricity and CHPs'!D35</f>
        <v>11.927073870179624</v>
      </c>
      <c r="I163" s="1">
        <f>'[1]Electricity and CHPs'!E35</f>
        <v>14.116657077484307</v>
      </c>
      <c r="J163" s="1">
        <f>'[1]Electricity and CHPs'!F35</f>
        <v>19.78467689860712</v>
      </c>
      <c r="K163" s="1">
        <f>'[1]Electricity and CHPs'!G35</f>
        <v>20.793897306235376</v>
      </c>
      <c r="L163" s="1">
        <f>'[1]Electricity and CHPs'!H35</f>
        <v>21.854596279856747</v>
      </c>
      <c r="M163" s="1">
        <f>'[1]Electricity and CHPs'!I35</f>
        <v>22.969401049914179</v>
      </c>
      <c r="N163" s="1">
        <f>'[1]Electricity and CHPs'!J35</f>
        <v>24.141071820801891</v>
      </c>
      <c r="O163" s="1">
        <f>'[1]Electricity and CHPs'!K35</f>
        <v>25.372509635566047</v>
      </c>
      <c r="P163" s="1">
        <f>'[1]Electricity and CHPs'!L35</f>
        <v>26.666763210887776</v>
      </c>
      <c r="Q163" s="1">
        <f>'[1]Electricity and CHPs'!M35</f>
        <v>28.027036979969285</v>
      </c>
      <c r="S163" s="3"/>
    </row>
    <row r="164" spans="1:19" x14ac:dyDescent="0.5">
      <c r="A164" s="5" t="str">
        <f t="shared" si="150"/>
        <v>STEM</v>
      </c>
      <c r="B164" s="5" t="str">
        <f t="shared" si="151"/>
        <v>SPS1</v>
      </c>
      <c r="C164" s="5" t="str">
        <f t="shared" si="152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3.3906739584495149</v>
      </c>
      <c r="H164" s="1">
        <f>'[1]Electricity and CHPs'!D36</f>
        <v>4.3183171606101451</v>
      </c>
      <c r="I164" s="1">
        <f>'[1]Electricity and CHPs'!E36</f>
        <v>18.917448377972754</v>
      </c>
      <c r="J164" s="1">
        <f>'[1]Electricity and CHPs'!F36</f>
        <v>19.882441940435754</v>
      </c>
      <c r="K164" s="1">
        <f>'[1]Electricity and CHPs'!G36</f>
        <v>20.896647122207167</v>
      </c>
      <c r="L164" s="1">
        <f>'[1]Electricity and CHPs'!H36</f>
        <v>21.962587790033144</v>
      </c>
      <c r="M164" s="1">
        <f>'[1]Electricity and CHPs'!I36</f>
        <v>23.082902713005229</v>
      </c>
      <c r="N164" s="1">
        <f>'[1]Electricity and CHPs'!J36</f>
        <v>24.260364096781437</v>
      </c>
      <c r="O164" s="1">
        <f>'[1]Electricity and CHPs'!K36</f>
        <v>25.497889406070179</v>
      </c>
      <c r="P164" s="1">
        <f>'[1]Electricity and CHPs'!L36</f>
        <v>26.798542625873115</v>
      </c>
      <c r="Q164" s="1">
        <f>'[1]Electricity and CHPs'!M36</f>
        <v>28.165677056098193</v>
      </c>
      <c r="S164" s="3"/>
    </row>
    <row r="165" spans="1:19" x14ac:dyDescent="0.5">
      <c r="A165" s="5" t="str">
        <f t="shared" si="150"/>
        <v>STEM</v>
      </c>
      <c r="B165" s="5" t="str">
        <f t="shared" si="151"/>
        <v>SPS1</v>
      </c>
      <c r="C165" s="5" t="str">
        <f t="shared" si="152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1.2875919198428809</v>
      </c>
      <c r="H165" s="1">
        <f>'[1]Electricity and CHPs'!D37</f>
        <v>5.6574990198584603</v>
      </c>
      <c r="I165" s="1">
        <f>'[1]Electricity and CHPs'!E37</f>
        <v>13.460658647674402</v>
      </c>
      <c r="J165" s="1">
        <f>'[1]Electricity and CHPs'!F37</f>
        <v>14.147307523828715</v>
      </c>
      <c r="K165" s="1">
        <f>'[1]Electricity and CHPs'!G37</f>
        <v>14.868963991608782</v>
      </c>
      <c r="L165" s="1">
        <f>'[1]Electricity and CHPs'!H37</f>
        <v>15.627433361167956</v>
      </c>
      <c r="M165" s="1">
        <f>'[1]Electricity and CHPs'!I37</f>
        <v>16.424591324769125</v>
      </c>
      <c r="N165" s="1">
        <f>'[1]Electricity and CHPs'!J37</f>
        <v>17.262411710134231</v>
      </c>
      <c r="O165" s="1">
        <f>'[1]Electricity and CHPs'!K37</f>
        <v>18.142970225685545</v>
      </c>
      <c r="P165" s="1">
        <f>'[1]Electricity and CHPs'!L37</f>
        <v>19.068447383813812</v>
      </c>
      <c r="Q165" s="1">
        <f>'[1]Electricity and CHPs'!M37</f>
        <v>20.041143424348085</v>
      </c>
      <c r="S165" s="3"/>
    </row>
    <row r="166" spans="1:19" x14ac:dyDescent="0.5">
      <c r="A166" s="5" t="str">
        <f t="shared" si="150"/>
        <v>STEM</v>
      </c>
      <c r="B166" s="5" t="str">
        <f t="shared" si="151"/>
        <v>SPS1</v>
      </c>
      <c r="C166" s="5" t="str">
        <f t="shared" si="152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3.2944550725739599</v>
      </c>
      <c r="H166" s="1">
        <f>'[1]Electricity and CHPs'!D38</f>
        <v>6.7409207172650021</v>
      </c>
      <c r="I166" s="1">
        <f>'[1]Electricity and CHPs'!E38</f>
        <v>7.7939917402622712</v>
      </c>
      <c r="J166" s="1">
        <f>'[1]Electricity and CHPs'!F38</f>
        <v>24.712980513430871</v>
      </c>
      <c r="K166" s="1">
        <f>'[1]Electricity and CHPs'!G38</f>
        <v>26.122042275639355</v>
      </c>
      <c r="L166" s="1">
        <f>'[1]Electricity and CHPs'!H38</f>
        <v>27.454534981221936</v>
      </c>
      <c r="M166" s="1">
        <f>'[1]Electricity and CHPs'!I38</f>
        <v>28.854993544103994</v>
      </c>
      <c r="N166" s="1">
        <f>'[1]Electricity and CHPs'!J38</f>
        <v>30.326889011475654</v>
      </c>
      <c r="O166" s="1">
        <f>'[1]Electricity and CHPs'!K38</f>
        <v>31.873866272027552</v>
      </c>
      <c r="P166" s="1">
        <f>'[1]Electricity and CHPs'!L38</f>
        <v>33.499755606364026</v>
      </c>
      <c r="Q166" s="1">
        <f>'[1]Electricity and CHPs'!M38</f>
        <v>35.208587490876461</v>
      </c>
      <c r="S166" s="3"/>
    </row>
    <row r="167" spans="1:19" x14ac:dyDescent="0.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</v>
      </c>
      <c r="L167" s="1">
        <f>'[1]Electricity and CHPs'!H32</f>
        <v>1.8146633280466114E-2</v>
      </c>
      <c r="M167" s="1">
        <f>'[1]Electricity and CHPs'!I32</f>
        <v>1.8150862763893664E-2</v>
      </c>
      <c r="N167" s="1">
        <f>'[1]Electricity and CHPs'!J32</f>
        <v>1.815013471657018E-2</v>
      </c>
      <c r="O167" s="1">
        <f>'[1]Electricity and CHPs'!K32</f>
        <v>1.6568844305543319E-2</v>
      </c>
      <c r="P167" s="1">
        <f>'[1]Electricity and CHPs'!L32</f>
        <v>1.6796666989674459E-2</v>
      </c>
      <c r="Q167" s="1">
        <f>'[1]Electricity and CHPs'!M32</f>
        <v>1.6897439064047677E-2</v>
      </c>
      <c r="S167" s="3"/>
    </row>
    <row r="168" spans="1:19" x14ac:dyDescent="0.5">
      <c r="A168" s="5" t="str">
        <f t="shared" ref="A168" si="160">A167</f>
        <v>STEM</v>
      </c>
      <c r="B168" s="5" t="str">
        <f t="shared" ref="B168" si="161">B167</f>
        <v>SPS1</v>
      </c>
      <c r="C168" s="5" t="str">
        <f t="shared" ref="C168" si="162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63">G167</f>
        <v>0</v>
      </c>
      <c r="H168" s="1">
        <f t="shared" si="163"/>
        <v>0</v>
      </c>
      <c r="I168" s="1">
        <f t="shared" si="163"/>
        <v>0</v>
      </c>
      <c r="J168" s="1">
        <f t="shared" si="163"/>
        <v>0</v>
      </c>
      <c r="K168" s="1">
        <f t="shared" si="163"/>
        <v>0</v>
      </c>
      <c r="L168" s="1">
        <f t="shared" ref="L168:O168" si="164">L167</f>
        <v>1.8146633280466114E-2</v>
      </c>
      <c r="M168" s="1">
        <f t="shared" si="164"/>
        <v>1.8150862763893664E-2</v>
      </c>
      <c r="N168" s="1">
        <f t="shared" si="164"/>
        <v>1.815013471657018E-2</v>
      </c>
      <c r="O168" s="1">
        <f t="shared" si="164"/>
        <v>1.6568844305543319E-2</v>
      </c>
      <c r="P168" s="1">
        <f>P167</f>
        <v>1.6796666989674459E-2</v>
      </c>
      <c r="Q168" s="1">
        <f>Q167</f>
        <v>1.6897439064047677E-2</v>
      </c>
      <c r="S168" s="3"/>
    </row>
    <row r="169" spans="1:19" x14ac:dyDescent="0.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65">SUM(F170:F172)</f>
        <v>0</v>
      </c>
      <c r="G169" s="1">
        <f t="shared" si="165"/>
        <v>0</v>
      </c>
      <c r="H169" s="1">
        <f t="shared" si="165"/>
        <v>0</v>
      </c>
      <c r="I169" s="1">
        <f t="shared" si="165"/>
        <v>8.3037771039165681E-3</v>
      </c>
      <c r="J169" s="1">
        <f t="shared" si="165"/>
        <v>0.75703303003061928</v>
      </c>
      <c r="K169" s="1">
        <f t="shared" si="165"/>
        <v>3.2135647842459552</v>
      </c>
      <c r="L169" s="1">
        <f t="shared" ref="L169:O169" si="166">SUM(L170:L172)</f>
        <v>4.8173341623584056</v>
      </c>
      <c r="M169" s="1">
        <f t="shared" si="166"/>
        <v>5.19722748862148</v>
      </c>
      <c r="N169" s="1">
        <f t="shared" si="166"/>
        <v>5.1810938726656399</v>
      </c>
      <c r="O169" s="1">
        <f t="shared" si="166"/>
        <v>5.1353807090005752</v>
      </c>
      <c r="P169" s="1">
        <f>SUM(P170:P172)</f>
        <v>5.1161566540155752</v>
      </c>
      <c r="Q169" s="1">
        <f>SUM(Q170:Q172)</f>
        <v>5.1315583960199529</v>
      </c>
      <c r="S169" s="3"/>
    </row>
    <row r="170" spans="1:19" x14ac:dyDescent="0.5">
      <c r="A170" s="5" t="str">
        <f t="shared" si="150"/>
        <v>STEM</v>
      </c>
      <c r="B170" s="5" t="str">
        <f t="shared" si="151"/>
        <v>SPS1</v>
      </c>
      <c r="C170" s="5" t="str">
        <f t="shared" si="152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0.25169808701507451</v>
      </c>
      <c r="L170" s="1">
        <f>'[1]Electricity and CHPs'!H30</f>
        <v>0.72710744266880833</v>
      </c>
      <c r="M170" s="1">
        <f>'[1]Electricity and CHPs'!I30</f>
        <v>1.0768416775827507</v>
      </c>
      <c r="N170" s="1">
        <f>'[1]Electricity and CHPs'!J30</f>
        <v>1.0768412184958329</v>
      </c>
      <c r="O170" s="1">
        <f>'[1]Electricity and CHPs'!K30</f>
        <v>1.0768425338365069</v>
      </c>
      <c r="P170" s="1">
        <f>'[1]Electricity and CHPs'!L30</f>
        <v>1.0768444786233162</v>
      </c>
      <c r="Q170" s="1">
        <f>'[1]Electricity and CHPs'!M30</f>
        <v>1.0768639583011022</v>
      </c>
      <c r="S170" s="3"/>
    </row>
    <row r="171" spans="1:19" x14ac:dyDescent="0.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7.1357996085843365E-3</v>
      </c>
      <c r="J171" s="1">
        <f>'[1]Electricity and CHPs'!F46</f>
        <v>0.75404837768927524</v>
      </c>
      <c r="K171" s="1">
        <f>'[1]Electricity and CHPs'!G46</f>
        <v>2.9464890247261435</v>
      </c>
      <c r="L171" s="1">
        <f>'[1]Electricity and CHPs'!H46</f>
        <v>4.0298604250447951</v>
      </c>
      <c r="M171" s="1">
        <f>'[1]Electricity and CHPs'!I46</f>
        <v>4.0298615665609558</v>
      </c>
      <c r="N171" s="1">
        <f>'[1]Electricity and CHPs'!J46</f>
        <v>4.0298623260793445</v>
      </c>
      <c r="O171" s="1">
        <f>'[1]Electricity and CHPs'!K46</f>
        <v>4.0298609316288383</v>
      </c>
      <c r="P171" s="1">
        <f>'[1]Electricity and CHPs'!L46</f>
        <v>4.0298616739483277</v>
      </c>
      <c r="Q171" s="1">
        <f>'[1]Electricity and CHPs'!M46</f>
        <v>4.0298638252982277</v>
      </c>
      <c r="S171" s="3"/>
    </row>
    <row r="172" spans="1:19" x14ac:dyDescent="0.5">
      <c r="A172" s="5" t="str">
        <f t="shared" si="150"/>
        <v>STEM</v>
      </c>
      <c r="B172" s="5" t="str">
        <f t="shared" si="151"/>
        <v>SPS1</v>
      </c>
      <c r="C172" s="5" t="str">
        <f t="shared" si="152"/>
        <v>CH</v>
      </c>
      <c r="D172" t="s">
        <v>234</v>
      </c>
      <c r="E172" t="str">
        <f t="shared" ref="E172:E180" si="167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1.167977495332232E-3</v>
      </c>
      <c r="J172" s="1">
        <f>'[1]Electricity and CHPs'!F57</f>
        <v>2.984652341344081E-3</v>
      </c>
      <c r="K172" s="1">
        <f>'[1]Electricity and CHPs'!G57</f>
        <v>1.5377672504737063E-2</v>
      </c>
      <c r="L172" s="1">
        <f>'[1]Electricity and CHPs'!H57</f>
        <v>6.0366294644802344E-2</v>
      </c>
      <c r="M172" s="1">
        <f>'[1]Electricity and CHPs'!I57</f>
        <v>9.0524244477773172E-2</v>
      </c>
      <c r="N172" s="1">
        <f>'[1]Electricity and CHPs'!J57</f>
        <v>7.4390328090462712E-2</v>
      </c>
      <c r="O172" s="1">
        <f>'[1]Electricity and CHPs'!K57</f>
        <v>2.8677243535230667E-2</v>
      </c>
      <c r="P172" s="1">
        <f>'[1]Electricity and CHPs'!L57</f>
        <v>9.4505014439309996E-3</v>
      </c>
      <c r="Q172" s="1">
        <f>'[1]Electricity and CHPs'!M57</f>
        <v>2.4830612420623465E-2</v>
      </c>
      <c r="S172" s="3"/>
    </row>
    <row r="173" spans="1:19" x14ac:dyDescent="0.5">
      <c r="A173" s="5" t="str">
        <f t="shared" si="150"/>
        <v>STEM</v>
      </c>
      <c r="B173" s="5" t="str">
        <f t="shared" si="151"/>
        <v>SPS1</v>
      </c>
      <c r="C173" s="5" t="str">
        <f t="shared" si="152"/>
        <v>CH</v>
      </c>
      <c r="D173" t="s">
        <v>806</v>
      </c>
      <c r="E173" t="str">
        <f t="shared" si="167"/>
        <v>PJ/yr.</v>
      </c>
      <c r="F173" s="1">
        <f>SUM(F174:F180)</f>
        <v>0.1040509534962812</v>
      </c>
      <c r="G173" s="1">
        <f t="shared" ref="G173:K173" si="168">SUM(G174:G180)</f>
        <v>1.6834145143413685E-2</v>
      </c>
      <c r="H173" s="1">
        <f t="shared" si="168"/>
        <v>0.10126917536846133</v>
      </c>
      <c r="I173" s="1">
        <f t="shared" si="168"/>
        <v>0.2452940779434617</v>
      </c>
      <c r="J173" s="1">
        <f t="shared" si="168"/>
        <v>1.2761348649952458</v>
      </c>
      <c r="K173" s="1">
        <f t="shared" si="168"/>
        <v>1.5506362840570791</v>
      </c>
      <c r="L173" s="1">
        <f t="shared" ref="L173:O173" si="169">SUM(L174:L180)</f>
        <v>2.5999311544530159</v>
      </c>
      <c r="M173" s="1">
        <f t="shared" si="169"/>
        <v>4.4592376533414235</v>
      </c>
      <c r="N173" s="1">
        <f t="shared" si="169"/>
        <v>5.1445906673588855</v>
      </c>
      <c r="O173" s="1">
        <f t="shared" si="169"/>
        <v>4.6301272238071025</v>
      </c>
      <c r="P173" s="1">
        <f>SUM(P174:P180)</f>
        <v>4.9499679073745853</v>
      </c>
      <c r="Q173" s="1">
        <f>SUM(Q174:Q180)</f>
        <v>5.3002541769120253</v>
      </c>
      <c r="S173" s="3"/>
    </row>
    <row r="174" spans="1:19" x14ac:dyDescent="0.5">
      <c r="A174" s="5" t="str">
        <f t="shared" si="150"/>
        <v>STEM</v>
      </c>
      <c r="B174" s="5" t="str">
        <f t="shared" si="151"/>
        <v>SPS1</v>
      </c>
      <c r="C174" s="5" t="str">
        <f t="shared" si="152"/>
        <v>CH</v>
      </c>
      <c r="D174" t="s">
        <v>79</v>
      </c>
      <c r="E174" t="str">
        <f t="shared" si="167"/>
        <v>PJ/yr.</v>
      </c>
      <c r="F174" s="1">
        <f>'[1]Electricity and CHPs'!B70</f>
        <v>9.4521391287464507E-2</v>
      </c>
      <c r="G174" s="1">
        <f>'[1]Electricity and CHPs'!C70</f>
        <v>8.2758519609442763E-3</v>
      </c>
      <c r="H174" s="1">
        <f>'[1]Electricity and CHPs'!D70</f>
        <v>9.1804045415942295E-2</v>
      </c>
      <c r="I174" s="1">
        <f>'[1]Electricity and CHPs'!E70</f>
        <v>4.5054598991910298E-2</v>
      </c>
      <c r="J174" s="1">
        <f>'[1]Electricity and CHPs'!F70</f>
        <v>3.4116555183412313E-2</v>
      </c>
      <c r="K174" s="1">
        <f>'[1]Electricity and CHPs'!G70</f>
        <v>2.8445591156599385E-2</v>
      </c>
      <c r="L174" s="1">
        <f>'[1]Electricity and CHPs'!H70</f>
        <v>3.2332214035711709E-2</v>
      </c>
      <c r="M174" s="1">
        <f>'[1]Electricity and CHPs'!I70</f>
        <v>9.4473007037235657E-2</v>
      </c>
      <c r="N174" s="1">
        <f>'[1]Electricity and CHPs'!J70</f>
        <v>9.4491133755019899E-2</v>
      </c>
      <c r="O174" s="1">
        <f>'[1]Electricity and CHPs'!K70</f>
        <v>9.4490908151859371E-2</v>
      </c>
      <c r="P174" s="1">
        <f>'[1]Electricity and CHPs'!L70</f>
        <v>9.4491808012068995E-2</v>
      </c>
      <c r="Q174" s="1">
        <f>'[1]Electricity and CHPs'!M70</f>
        <v>9.4494432671527864E-2</v>
      </c>
      <c r="S174" s="3"/>
    </row>
    <row r="175" spans="1:19" x14ac:dyDescent="0.5">
      <c r="A175" s="5" t="str">
        <f t="shared" si="150"/>
        <v>STEM</v>
      </c>
      <c r="B175" s="5" t="str">
        <f t="shared" si="151"/>
        <v>SPS1</v>
      </c>
      <c r="C175" s="5" t="str">
        <f t="shared" si="152"/>
        <v>CH</v>
      </c>
      <c r="D175" t="s">
        <v>80</v>
      </c>
      <c r="E175" t="str">
        <f t="shared" si="167"/>
        <v>PJ/yr.</v>
      </c>
      <c r="F175" s="1">
        <f>'[1]Electricity and CHPs'!B71</f>
        <v>2.5929973987593733E-3</v>
      </c>
      <c r="G175" s="1">
        <f>'[1]Electricity and CHPs'!C71</f>
        <v>2.0814658566083691E-3</v>
      </c>
      <c r="H175" s="1">
        <f>'[1]Electricity and CHPs'!D71</f>
        <v>2.5600052789903158E-3</v>
      </c>
      <c r="I175" s="1">
        <f>'[1]Electricity and CHPs'!E71</f>
        <v>2.5672869768567862E-3</v>
      </c>
      <c r="J175" s="1">
        <f>'[1]Electricity and CHPs'!F71</f>
        <v>0.75427501798289287</v>
      </c>
      <c r="K175" s="1">
        <f>'[1]Electricity and CHPs'!G71</f>
        <v>0.98874897835722564</v>
      </c>
      <c r="L175" s="1">
        <f>'[1]Electricity and CHPs'!H71</f>
        <v>1.0143856814069836</v>
      </c>
      <c r="M175" s="1">
        <f>'[1]Electricity and CHPs'!I71</f>
        <v>1.6690511700745874</v>
      </c>
      <c r="N175" s="1">
        <f>'[1]Electricity and CHPs'!J71</f>
        <v>1.9606871611276508</v>
      </c>
      <c r="O175" s="1">
        <f>'[1]Electricity and CHPs'!K71</f>
        <v>2.0452429280471898</v>
      </c>
      <c r="P175" s="1">
        <f>'[1]Electricity and CHPs'!L71</f>
        <v>2.0455657520515067</v>
      </c>
      <c r="Q175" s="1">
        <f>'[1]Electricity and CHPs'!M71</f>
        <v>2.1949841375509713</v>
      </c>
      <c r="S175" s="3"/>
    </row>
    <row r="176" spans="1:19" x14ac:dyDescent="0.5">
      <c r="A176" s="5" t="str">
        <f t="shared" si="150"/>
        <v>STEM</v>
      </c>
      <c r="B176" s="5" t="str">
        <f t="shared" si="151"/>
        <v>SPS1</v>
      </c>
      <c r="C176" s="5" t="str">
        <f t="shared" si="152"/>
        <v>CH</v>
      </c>
      <c r="D176" t="s">
        <v>81</v>
      </c>
      <c r="E176" t="str">
        <f t="shared" si="167"/>
        <v>PJ/yr.</v>
      </c>
      <c r="F176" s="1">
        <f>'[1]Electricity and CHPs'!B72</f>
        <v>2.3582902053886213E-3</v>
      </c>
      <c r="G176" s="1">
        <f>'[1]Electricity and CHPs'!C72</f>
        <v>1.9006330160724946E-3</v>
      </c>
      <c r="H176" s="1">
        <f>'[1]Electricity and CHPs'!D72</f>
        <v>2.3136614723277705E-3</v>
      </c>
      <c r="I176" s="1">
        <f>'[1]Electricity and CHPs'!E72</f>
        <v>2.4164163248021407E-3</v>
      </c>
      <c r="J176" s="1">
        <f>'[1]Electricity and CHPs'!F72</f>
        <v>2.9717800761090509E-2</v>
      </c>
      <c r="K176" s="1">
        <f>'[1]Electricity and CHPs'!G72</f>
        <v>6.2101445412051058E-2</v>
      </c>
      <c r="L176" s="1">
        <f>'[1]Electricity and CHPs'!H72</f>
        <v>1.0560661511930438</v>
      </c>
      <c r="M176" s="1">
        <f>'[1]Electricity and CHPs'!I72</f>
        <v>2.0466227657332676</v>
      </c>
      <c r="N176" s="1">
        <f>'[1]Electricity and CHPs'!J72</f>
        <v>2.4036985905919015</v>
      </c>
      <c r="O176" s="1">
        <f>'[1]Electricity and CHPs'!K72</f>
        <v>1.7690861196609411</v>
      </c>
      <c r="P176" s="1">
        <f>'[1]Electricity and CHPs'!L72</f>
        <v>2.052405164077308</v>
      </c>
      <c r="Q176" s="1">
        <f>'[1]Electricity and CHPs'!M72</f>
        <v>2.2131445241531362</v>
      </c>
      <c r="S176" s="3"/>
    </row>
    <row r="177" spans="1:19" x14ac:dyDescent="0.5">
      <c r="A177" s="5" t="str">
        <f t="shared" si="150"/>
        <v>STEM</v>
      </c>
      <c r="B177" s="5" t="str">
        <f t="shared" si="151"/>
        <v>SPS1</v>
      </c>
      <c r="C177" s="5" t="str">
        <f t="shared" si="152"/>
        <v>CH</v>
      </c>
      <c r="D177" t="s">
        <v>82</v>
      </c>
      <c r="E177" t="str">
        <f t="shared" si="167"/>
        <v>PJ/yr.</v>
      </c>
      <c r="F177" s="1">
        <f>'[1]Electricity and CHPs'!B73</f>
        <v>7.6058254464362479E-4</v>
      </c>
      <c r="G177" s="1">
        <f>'[1]Electricity and CHPs'!C73</f>
        <v>7.6025804932585588E-4</v>
      </c>
      <c r="H177" s="1">
        <f>'[1]Electricity and CHPs'!D73</f>
        <v>7.6273177205066407E-4</v>
      </c>
      <c r="I177" s="1">
        <f>'[1]Electricity and CHPs'!E73</f>
        <v>4.5772147845089588E-2</v>
      </c>
      <c r="J177" s="1">
        <f>'[1]Electricity and CHPs'!F73</f>
        <v>0.13595519210100865</v>
      </c>
      <c r="K177" s="1">
        <f>'[1]Electricity and CHPs'!G73</f>
        <v>0.22014636111454788</v>
      </c>
      <c r="L177" s="1">
        <f>'[1]Electricity and CHPs'!H73</f>
        <v>0.25991501996730676</v>
      </c>
      <c r="M177" s="1">
        <f>'[1]Electricity and CHPs'!I73</f>
        <v>0.29855116051100361</v>
      </c>
      <c r="N177" s="1">
        <f>'[1]Electricity and CHPs'!J73</f>
        <v>0.31498747645024244</v>
      </c>
      <c r="O177" s="1">
        <f>'[1]Electricity and CHPs'!K73</f>
        <v>0.32900955579016683</v>
      </c>
      <c r="P177" s="1">
        <f>'[1]Electricity and CHPs'!L73</f>
        <v>0.4079654136188714</v>
      </c>
      <c r="Q177" s="1">
        <f>'[1]Electricity and CHPs'!M73</f>
        <v>0.34522581435992611</v>
      </c>
      <c r="S177" s="3"/>
    </row>
    <row r="178" spans="1:19" x14ac:dyDescent="0.5">
      <c r="A178" s="5" t="str">
        <f t="shared" si="150"/>
        <v>STEM</v>
      </c>
      <c r="B178" s="5" t="str">
        <f t="shared" si="151"/>
        <v>SPS1</v>
      </c>
      <c r="C178" s="5" t="str">
        <f t="shared" si="152"/>
        <v>CH</v>
      </c>
      <c r="D178" t="s">
        <v>1852</v>
      </c>
      <c r="E178" t="str">
        <f t="shared" si="167"/>
        <v>PJ/yr.</v>
      </c>
      <c r="F178" s="1">
        <f>'[1]Electricity and CHPs'!B74</f>
        <v>1.5276668059797912E-3</v>
      </c>
      <c r="G178" s="1">
        <f>'[1]Electricity and CHPs'!C74</f>
        <v>1.5269526732617021E-3</v>
      </c>
      <c r="H178" s="1">
        <f>'[1]Electricity and CHPs'!D74</f>
        <v>1.5323027429082017E-3</v>
      </c>
      <c r="I178" s="1">
        <f>'[1]Electricity and CHPs'!E74</f>
        <v>4.9798719918788828E-2</v>
      </c>
      <c r="J178" s="1">
        <f>'[1]Electricity and CHPs'!F74</f>
        <v>7.9203283513010078E-2</v>
      </c>
      <c r="K178" s="1">
        <f>'[1]Electricity and CHPs'!G74</f>
        <v>6.5958502633009466E-2</v>
      </c>
      <c r="L178" s="1">
        <f>'[1]Electricity and CHPs'!H74</f>
        <v>8.8733053181788257E-2</v>
      </c>
      <c r="M178" s="1">
        <f>'[1]Electricity and CHPs'!I74</f>
        <v>0.11230916844842712</v>
      </c>
      <c r="N178" s="1">
        <f>'[1]Electricity and CHPs'!J74</f>
        <v>9.5384404730633462E-2</v>
      </c>
      <c r="O178" s="1">
        <f>'[1]Electricity and CHPs'!K74</f>
        <v>0.14531463346646428</v>
      </c>
      <c r="P178" s="1">
        <f>'[1]Electricity and CHPs'!L74</f>
        <v>0.13118449345055078</v>
      </c>
      <c r="Q178" s="1">
        <f>'[1]Electricity and CHPs'!M74</f>
        <v>0.16926913894719459</v>
      </c>
      <c r="S178" s="3"/>
    </row>
    <row r="179" spans="1:19" x14ac:dyDescent="0.5">
      <c r="A179" s="5" t="str">
        <f t="shared" si="150"/>
        <v>STEM</v>
      </c>
      <c r="B179" s="5" t="str">
        <f t="shared" si="151"/>
        <v>SPS1</v>
      </c>
      <c r="C179" s="5" t="str">
        <f t="shared" si="152"/>
        <v>CH</v>
      </c>
      <c r="D179" t="s">
        <v>83</v>
      </c>
      <c r="E179" t="str">
        <f t="shared" si="167"/>
        <v>PJ/yr.</v>
      </c>
      <c r="F179" s="1">
        <f>'[1]Electricity and CHPs'!B75</f>
        <v>1.5265432817350394E-3</v>
      </c>
      <c r="G179" s="1">
        <f>'[1]Electricity and CHPs'!C75</f>
        <v>1.5258227580227835E-3</v>
      </c>
      <c r="H179" s="1">
        <f>'[1]Electricity and CHPs'!D75</f>
        <v>1.5309175961380267E-3</v>
      </c>
      <c r="I179" s="1">
        <f>'[1]Electricity and CHPs'!E75</f>
        <v>6.0349075629301863E-2</v>
      </c>
      <c r="J179" s="1">
        <f>'[1]Electricity and CHPs'!F75</f>
        <v>0.13371723457454338</v>
      </c>
      <c r="K179" s="1">
        <f>'[1]Electricity and CHPs'!G75</f>
        <v>0.10582931658332602</v>
      </c>
      <c r="L179" s="1">
        <f>'[1]Electricity and CHPs'!H75</f>
        <v>9.0414542648470694E-2</v>
      </c>
      <c r="M179" s="1">
        <f>'[1]Electricity and CHPs'!I75</f>
        <v>0.14186928007042773</v>
      </c>
      <c r="N179" s="1">
        <f>'[1]Electricity and CHPs'!J75</f>
        <v>0.16166318955873338</v>
      </c>
      <c r="O179" s="1">
        <f>'[1]Electricity and CHPs'!K75</f>
        <v>0.14816943870319693</v>
      </c>
      <c r="P179" s="1">
        <f>'[1]Electricity and CHPs'!L75</f>
        <v>0.1308865733837854</v>
      </c>
      <c r="Q179" s="1">
        <f>'[1]Electricity and CHPs'!M75</f>
        <v>0.16960785094682446</v>
      </c>
      <c r="S179" s="3"/>
    </row>
    <row r="180" spans="1:19" x14ac:dyDescent="0.5">
      <c r="A180" s="5" t="str">
        <f t="shared" si="150"/>
        <v>STEM</v>
      </c>
      <c r="B180" s="5" t="str">
        <f t="shared" si="151"/>
        <v>SPS1</v>
      </c>
      <c r="C180" s="5" t="str">
        <f t="shared" si="152"/>
        <v>CH</v>
      </c>
      <c r="D180" t="s">
        <v>87</v>
      </c>
      <c r="E180" t="str">
        <f t="shared" si="167"/>
        <v>PJ/yr.</v>
      </c>
      <c r="F180" s="1">
        <f>'[1]Electricity and CHPs'!B76</f>
        <v>7.6348197231023535E-4</v>
      </c>
      <c r="G180" s="1">
        <f>'[1]Electricity and CHPs'!C76</f>
        <v>7.6316082917820421E-4</v>
      </c>
      <c r="H180" s="1">
        <f>'[1]Electricity and CHPs'!D76</f>
        <v>7.6551109010405515E-4</v>
      </c>
      <c r="I180" s="1">
        <f>'[1]Electricity and CHPs'!E76</f>
        <v>3.9335832256712208E-2</v>
      </c>
      <c r="J180" s="1">
        <f>'[1]Electricity and CHPs'!F76</f>
        <v>0.10914978087928784</v>
      </c>
      <c r="K180" s="1">
        <f>'[1]Electricity and CHPs'!G76</f>
        <v>7.940608880032006E-2</v>
      </c>
      <c r="L180" s="1">
        <f>'[1]Electricity and CHPs'!H76</f>
        <v>5.8084492019711172E-2</v>
      </c>
      <c r="M180" s="1">
        <f>'[1]Electricity and CHPs'!I76</f>
        <v>9.636110146647435E-2</v>
      </c>
      <c r="N180" s="1">
        <f>'[1]Electricity and CHPs'!J76</f>
        <v>0.11367871114470497</v>
      </c>
      <c r="O180" s="1">
        <f>'[1]Electricity and CHPs'!K76</f>
        <v>9.8813639987284763E-2</v>
      </c>
      <c r="P180" s="1">
        <f>'[1]Electricity and CHPs'!L76</f>
        <v>8.7468702780494526E-2</v>
      </c>
      <c r="Q180" s="1">
        <f>'[1]Electricity and CHPs'!M76</f>
        <v>0.11352827828244375</v>
      </c>
      <c r="S180" s="3"/>
    </row>
    <row r="181" spans="1:19" x14ac:dyDescent="0.5">
      <c r="A181" s="9" t="str">
        <f t="shared" si="150"/>
        <v>STEM</v>
      </c>
      <c r="B181" s="9" t="str">
        <f t="shared" si="151"/>
        <v>SPS1</v>
      </c>
      <c r="C181" s="2" t="str">
        <f t="shared" si="152"/>
        <v>CH</v>
      </c>
      <c r="D181" s="2" t="s">
        <v>152</v>
      </c>
      <c r="E181" s="2" t="str">
        <f>E169</f>
        <v>PJ/yr.</v>
      </c>
      <c r="F181" s="3">
        <f>SUM(F182,F233)</f>
        <v>31.012057244712505</v>
      </c>
      <c r="G181" s="3">
        <f t="shared" ref="G181:K181" si="170">SUM(G182,G233)</f>
        <v>36.935619841009817</v>
      </c>
      <c r="H181" s="3">
        <f t="shared" si="170"/>
        <v>38.390260506236679</v>
      </c>
      <c r="I181" s="3">
        <f t="shared" si="170"/>
        <v>34.671286959487816</v>
      </c>
      <c r="J181" s="3">
        <f t="shared" si="170"/>
        <v>34.56091099951054</v>
      </c>
      <c r="K181" s="3">
        <f t="shared" si="170"/>
        <v>37.73397643773913</v>
      </c>
      <c r="L181" s="3">
        <f t="shared" ref="L181:O181" si="171">SUM(L182,L233)</f>
        <v>41.169860795973712</v>
      </c>
      <c r="M181" s="3">
        <f t="shared" si="171"/>
        <v>42.790647727505785</v>
      </c>
      <c r="N181" s="3">
        <f t="shared" si="171"/>
        <v>48.254121309166493</v>
      </c>
      <c r="O181" s="3">
        <f t="shared" si="171"/>
        <v>55.126535858258869</v>
      </c>
      <c r="P181" s="3">
        <f>SUM(P182,P233)</f>
        <v>58.971898729827174</v>
      </c>
      <c r="Q181" s="3">
        <f>SUM(Q182,Q233)</f>
        <v>62.031767892281394</v>
      </c>
      <c r="S181" s="3"/>
    </row>
    <row r="182" spans="1:19" x14ac:dyDescent="0.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72">F183+F210</f>
        <v>24.507919980296609</v>
      </c>
      <c r="G182" s="1">
        <f t="shared" si="172"/>
        <v>29.274874714635729</v>
      </c>
      <c r="H182" s="1">
        <f t="shared" si="172"/>
        <v>29.089118264016392</v>
      </c>
      <c r="I182" s="1">
        <f t="shared" si="172"/>
        <v>24.0783699603221</v>
      </c>
      <c r="J182" s="1">
        <f t="shared" si="172"/>
        <v>24.024431128921684</v>
      </c>
      <c r="K182" s="1">
        <f t="shared" si="172"/>
        <v>23.797588173160012</v>
      </c>
      <c r="L182" s="1">
        <f t="shared" ref="L182:O182" si="173">L183+L210</f>
        <v>24.026178746868709</v>
      </c>
      <c r="M182" s="1">
        <f t="shared" si="173"/>
        <v>25.125687375607825</v>
      </c>
      <c r="N182" s="1">
        <f t="shared" si="173"/>
        <v>29.776756319756892</v>
      </c>
      <c r="O182" s="1">
        <f t="shared" si="173"/>
        <v>35.643453827179272</v>
      </c>
      <c r="P182" s="1">
        <f>P183+P210</f>
        <v>39.121156395565315</v>
      </c>
      <c r="Q182" s="1">
        <f>Q183+Q210</f>
        <v>42.136830181516942</v>
      </c>
      <c r="S182" s="3"/>
    </row>
    <row r="183" spans="1:19" x14ac:dyDescent="0.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74">SUM(F185,F189,F190,F198,F199,F207,F209)</f>
        <v>16.753194808829551</v>
      </c>
      <c r="G183" s="1">
        <f t="shared" si="174"/>
        <v>13.301340952294982</v>
      </c>
      <c r="H183" s="1">
        <f t="shared" si="174"/>
        <v>13.400765202441788</v>
      </c>
      <c r="I183" s="1">
        <f t="shared" si="174"/>
        <v>12.78335849853625</v>
      </c>
      <c r="J183" s="1">
        <f t="shared" si="174"/>
        <v>12.34860933625178</v>
      </c>
      <c r="K183" s="1">
        <f t="shared" si="174"/>
        <v>14.311665613782008</v>
      </c>
      <c r="L183" s="1">
        <f t="shared" ref="L183:O183" si="175">SUM(L185,L189,L190,L198,L199,L207,L209)</f>
        <v>14.829172555088803</v>
      </c>
      <c r="M183" s="1">
        <f t="shared" si="175"/>
        <v>16.066261801956657</v>
      </c>
      <c r="N183" s="1">
        <f t="shared" si="175"/>
        <v>16.075452365905594</v>
      </c>
      <c r="O183" s="1">
        <f t="shared" si="175"/>
        <v>15.897646687526061</v>
      </c>
      <c r="P183" s="1">
        <f>SUM(P185,P189,P190,P198,P199,P207,P209)</f>
        <v>16.088162632644419</v>
      </c>
      <c r="Q183" s="1">
        <f>SUM(Q185,Q189,Q190,Q198,Q199,Q207,Q209)</f>
        <v>16.125981270971234</v>
      </c>
      <c r="S183" s="3"/>
    </row>
    <row r="184" spans="1:19" x14ac:dyDescent="0.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9.2603734493201511E-3</v>
      </c>
      <c r="G184" s="1">
        <f t="shared" ref="G184:O184" si="176">G185</f>
        <v>1.1784767019189121E-4</v>
      </c>
      <c r="H184" s="1">
        <f t="shared" si="176"/>
        <v>3.6927499099483315E-3</v>
      </c>
      <c r="I184" s="1">
        <f t="shared" si="176"/>
        <v>1.2394231808887087E-3</v>
      </c>
      <c r="J184" s="1">
        <f t="shared" si="176"/>
        <v>4.9370389399298051E-4</v>
      </c>
      <c r="K184" s="1">
        <f t="shared" si="176"/>
        <v>3.2140895362112185E-3</v>
      </c>
      <c r="L184" s="1">
        <f t="shared" si="176"/>
        <v>1.9513050913576783E-3</v>
      </c>
      <c r="M184" s="1">
        <f t="shared" si="176"/>
        <v>7.1321271424165059E-6</v>
      </c>
      <c r="N184" s="1">
        <f t="shared" si="176"/>
        <v>2.2634355734610522E-4</v>
      </c>
      <c r="O184" s="1">
        <f t="shared" si="176"/>
        <v>2.2345948655308676E-4</v>
      </c>
      <c r="P184" s="1">
        <f>P185</f>
        <v>2.230651330434712E-4</v>
      </c>
      <c r="Q184" s="1">
        <f>Q185</f>
        <v>2.3135469265426063E-4</v>
      </c>
      <c r="S184" s="3"/>
    </row>
    <row r="185" spans="1:19" x14ac:dyDescent="0.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9.2603734493201511E-3</v>
      </c>
      <c r="G185" s="1">
        <f>'[1]Electricity and CHPs'!C$94</f>
        <v>1.1784767019189121E-4</v>
      </c>
      <c r="H185" s="1">
        <f>'[1]Electricity and CHPs'!D$94</f>
        <v>3.6927499099483315E-3</v>
      </c>
      <c r="I185" s="1">
        <f>'[1]Electricity and CHPs'!E$94</f>
        <v>1.2394231808887087E-3</v>
      </c>
      <c r="J185" s="1">
        <f>'[1]Electricity and CHPs'!F$94</f>
        <v>4.9370389399298051E-4</v>
      </c>
      <c r="K185" s="1">
        <f>'[1]Electricity and CHPs'!G$94</f>
        <v>3.2140895362112185E-3</v>
      </c>
      <c r="L185" s="1">
        <f>'[1]Electricity and CHPs'!H$94</f>
        <v>1.9513050913576783E-3</v>
      </c>
      <c r="M185" s="1">
        <f>'[1]Electricity and CHPs'!I$94</f>
        <v>7.1321271424165059E-6</v>
      </c>
      <c r="N185" s="1">
        <f>'[1]Electricity and CHPs'!J$94</f>
        <v>2.2634355734610522E-4</v>
      </c>
      <c r="O185" s="1">
        <f>'[1]Electricity and CHPs'!K$94</f>
        <v>2.2345948655308676E-4</v>
      </c>
      <c r="P185" s="1">
        <f>'[1]Electricity and CHPs'!L$94</f>
        <v>2.230651330434712E-4</v>
      </c>
      <c r="Q185" s="1">
        <f>'[1]Electricity and CHPs'!M$94</f>
        <v>2.3135469265426063E-4</v>
      </c>
      <c r="S185" s="3"/>
    </row>
    <row r="186" spans="1:19" x14ac:dyDescent="0.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9.2603734493201511E-3</v>
      </c>
      <c r="G186" s="1">
        <f t="shared" ref="G186:K186" si="177">G185-G187</f>
        <v>1.1784767019189121E-4</v>
      </c>
      <c r="H186" s="1">
        <f t="shared" si="177"/>
        <v>3.6927499099483315E-3</v>
      </c>
      <c r="I186" s="1">
        <f t="shared" si="177"/>
        <v>1.2394231808887087E-3</v>
      </c>
      <c r="J186" s="1">
        <f t="shared" si="177"/>
        <v>4.9370389399298051E-4</v>
      </c>
      <c r="K186" s="1">
        <f t="shared" si="177"/>
        <v>3.2140895362112185E-3</v>
      </c>
      <c r="L186" s="1">
        <f t="shared" ref="L186:O186" si="178">L185-L187</f>
        <v>1.9513050913576783E-3</v>
      </c>
      <c r="M186" s="1">
        <f t="shared" si="178"/>
        <v>7.1321271424165059E-6</v>
      </c>
      <c r="N186" s="1">
        <f t="shared" si="178"/>
        <v>2.2634355734610522E-4</v>
      </c>
      <c r="O186" s="1">
        <f t="shared" si="178"/>
        <v>2.2345948655308676E-4</v>
      </c>
      <c r="P186" s="1">
        <f>P185-P187</f>
        <v>2.230651330434712E-4</v>
      </c>
      <c r="Q186" s="1">
        <f>Q185-Q187</f>
        <v>2.3135469265426063E-4</v>
      </c>
      <c r="S186" s="3"/>
    </row>
    <row r="187" spans="1:19" x14ac:dyDescent="0.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9">F185*IFERROR(F80/F76,0)</f>
        <v>0</v>
      </c>
      <c r="G187" s="1">
        <f t="shared" si="179"/>
        <v>0</v>
      </c>
      <c r="H187" s="1">
        <f t="shared" si="179"/>
        <v>0</v>
      </c>
      <c r="I187" s="1">
        <f t="shared" si="179"/>
        <v>0</v>
      </c>
      <c r="J187" s="1">
        <f t="shared" si="179"/>
        <v>0</v>
      </c>
      <c r="K187" s="1">
        <f t="shared" si="179"/>
        <v>0</v>
      </c>
      <c r="L187" s="1">
        <f t="shared" ref="L187:O187" si="180">L185*IFERROR(L80/L76,0)</f>
        <v>0</v>
      </c>
      <c r="M187" s="1">
        <f t="shared" si="180"/>
        <v>0</v>
      </c>
      <c r="N187" s="1">
        <f t="shared" si="180"/>
        <v>0</v>
      </c>
      <c r="O187" s="1">
        <f t="shared" si="180"/>
        <v>0</v>
      </c>
      <c r="P187" s="1">
        <f>P185*IFERROR(P80/P76,0)</f>
        <v>0</v>
      </c>
      <c r="Q187" s="1">
        <f>Q185*IFERROR(Q80/Q76,0)</f>
        <v>0</v>
      </c>
      <c r="S187" s="3"/>
    </row>
    <row r="188" spans="1:19" x14ac:dyDescent="0.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1.8035509852617722</v>
      </c>
      <c r="G188" s="1">
        <f t="shared" ref="G188:K188" si="181">SUM(G189:G190)</f>
        <v>3.9571700478578491E-4</v>
      </c>
      <c r="H188" s="1">
        <f t="shared" si="181"/>
        <v>2.3821180805159259E-3</v>
      </c>
      <c r="I188" s="1">
        <f t="shared" si="181"/>
        <v>0</v>
      </c>
      <c r="J188" s="1">
        <f t="shared" si="181"/>
        <v>0</v>
      </c>
      <c r="K188" s="1">
        <f t="shared" si="181"/>
        <v>0</v>
      </c>
      <c r="L188" s="1">
        <f t="shared" ref="L188:O188" si="182">SUM(L189:L190)</f>
        <v>0</v>
      </c>
      <c r="M188" s="1">
        <f t="shared" si="182"/>
        <v>0</v>
      </c>
      <c r="N188" s="1">
        <f t="shared" si="182"/>
        <v>0</v>
      </c>
      <c r="O188" s="1">
        <f t="shared" si="182"/>
        <v>0</v>
      </c>
      <c r="P188" s="1">
        <f>SUM(P189:P190)</f>
        <v>0</v>
      </c>
      <c r="Q188" s="1">
        <f>SUM(Q189:Q190)</f>
        <v>0</v>
      </c>
      <c r="S188" s="3"/>
    </row>
    <row r="189" spans="1:19" x14ac:dyDescent="0.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1.8035509852617722</v>
      </c>
      <c r="G189" s="1">
        <f>'[1]Electricity and CHPs'!C$91</f>
        <v>3.9571700478578491E-4</v>
      </c>
      <c r="H189" s="1">
        <f>'[1]Electricity and CHPs'!D$91</f>
        <v>2.3821180805159259E-3</v>
      </c>
      <c r="I189" s="1">
        <f>'[1]Electricity and CHPs'!E$91</f>
        <v>0</v>
      </c>
      <c r="J189" s="1">
        <f>'[1]Electricity and CHPs'!F$91</f>
        <v>0</v>
      </c>
      <c r="K189" s="1">
        <f>'[1]Electricity and CHPs'!G$91</f>
        <v>0</v>
      </c>
      <c r="L189" s="1">
        <f>'[1]Electricity and CHPs'!H$91</f>
        <v>0</v>
      </c>
      <c r="M189" s="1">
        <f>'[1]Electricity and CHPs'!I$91</f>
        <v>0</v>
      </c>
      <c r="N189" s="1">
        <f>'[1]Electricity and CHPs'!J$91</f>
        <v>0</v>
      </c>
      <c r="O189" s="1">
        <f>'[1]Electricity and CHPs'!K$91</f>
        <v>0</v>
      </c>
      <c r="P189" s="1">
        <f>'[1]Electricity and CHPs'!L$91</f>
        <v>0</v>
      </c>
      <c r="Q189" s="1">
        <f>'[1]Electricity and CHPs'!M$91</f>
        <v>0</v>
      </c>
      <c r="S189" s="3"/>
    </row>
    <row r="190" spans="1:19" x14ac:dyDescent="0.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</v>
      </c>
      <c r="L190" s="1">
        <f>'[1]Electricity and CHPs'!H$95</f>
        <v>0</v>
      </c>
      <c r="M190" s="1">
        <f>'[1]Electricity and CHPs'!I$95</f>
        <v>0</v>
      </c>
      <c r="N190" s="1">
        <f>'[1]Electricity and CHPs'!J$95</f>
        <v>0</v>
      </c>
      <c r="O190" s="1">
        <f>'[1]Electricity and CHPs'!K$95</f>
        <v>0</v>
      </c>
      <c r="P190" s="1">
        <f>'[1]Electricity and CHPs'!L$95</f>
        <v>0</v>
      </c>
      <c r="Q190" s="1">
        <f>'[1]Electricity and CHPs'!M$95</f>
        <v>0</v>
      </c>
      <c r="S190" s="3"/>
    </row>
    <row r="191" spans="1:19" x14ac:dyDescent="0.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1.7562720525347941</v>
      </c>
      <c r="G191" s="1">
        <f t="shared" ref="G191:K191" si="183">SUM(G192:G193)</f>
        <v>3.7861635229051894E-4</v>
      </c>
      <c r="H191" s="1">
        <f t="shared" si="183"/>
        <v>2.2254377665783345E-3</v>
      </c>
      <c r="I191" s="1">
        <f t="shared" si="183"/>
        <v>0</v>
      </c>
      <c r="J191" s="1">
        <f t="shared" si="183"/>
        <v>0</v>
      </c>
      <c r="K191" s="1">
        <f t="shared" si="183"/>
        <v>0</v>
      </c>
      <c r="L191" s="1">
        <f t="shared" ref="L191:O191" si="184">SUM(L192:L193)</f>
        <v>0</v>
      </c>
      <c r="M191" s="1">
        <f t="shared" si="184"/>
        <v>0</v>
      </c>
      <c r="N191" s="1">
        <f t="shared" si="184"/>
        <v>0</v>
      </c>
      <c r="O191" s="1">
        <f t="shared" si="184"/>
        <v>0</v>
      </c>
      <c r="P191" s="1">
        <f>SUM(P192:P193)</f>
        <v>0</v>
      </c>
      <c r="Q191" s="1">
        <f>SUM(Q192:Q193)</f>
        <v>0</v>
      </c>
      <c r="S191" s="3"/>
    </row>
    <row r="192" spans="1:19" x14ac:dyDescent="0.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1.7562720525347941</v>
      </c>
      <c r="G192" s="1">
        <f t="shared" ref="G192:K192" si="185">G189-G195</f>
        <v>3.7861635229051894E-4</v>
      </c>
      <c r="H192" s="1">
        <f t="shared" si="185"/>
        <v>2.2254377665783345E-3</v>
      </c>
      <c r="I192" s="1">
        <f t="shared" si="185"/>
        <v>0</v>
      </c>
      <c r="J192" s="1">
        <f t="shared" si="185"/>
        <v>0</v>
      </c>
      <c r="K192" s="1">
        <f t="shared" si="185"/>
        <v>0</v>
      </c>
      <c r="L192" s="1">
        <f t="shared" ref="L192:O192" si="186">L189-L195</f>
        <v>0</v>
      </c>
      <c r="M192" s="1">
        <f t="shared" si="186"/>
        <v>0</v>
      </c>
      <c r="N192" s="1">
        <f t="shared" si="186"/>
        <v>0</v>
      </c>
      <c r="O192" s="1">
        <f t="shared" si="186"/>
        <v>0</v>
      </c>
      <c r="P192" s="1">
        <f>P189-P195</f>
        <v>0</v>
      </c>
      <c r="Q192" s="1">
        <f>Q189-Q195</f>
        <v>0</v>
      </c>
      <c r="S192" s="3"/>
    </row>
    <row r="193" spans="1:19" x14ac:dyDescent="0.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87">F190-F196</f>
        <v>0</v>
      </c>
      <c r="G193" s="1">
        <f t="shared" si="187"/>
        <v>0</v>
      </c>
      <c r="H193" s="1">
        <f t="shared" si="187"/>
        <v>0</v>
      </c>
      <c r="I193" s="1">
        <f t="shared" si="187"/>
        <v>0</v>
      </c>
      <c r="J193" s="1">
        <f t="shared" si="187"/>
        <v>0</v>
      </c>
      <c r="K193" s="1">
        <f t="shared" si="187"/>
        <v>0</v>
      </c>
      <c r="L193" s="1">
        <f t="shared" ref="L193:O193" si="188">L190-L196</f>
        <v>0</v>
      </c>
      <c r="M193" s="1">
        <f t="shared" si="188"/>
        <v>0</v>
      </c>
      <c r="N193" s="1">
        <f t="shared" si="188"/>
        <v>0</v>
      </c>
      <c r="O193" s="1">
        <f t="shared" si="188"/>
        <v>0</v>
      </c>
      <c r="P193" s="1">
        <f>P190-P196</f>
        <v>0</v>
      </c>
      <c r="Q193" s="1">
        <f>Q190-Q196</f>
        <v>0</v>
      </c>
      <c r="S193" s="3"/>
    </row>
    <row r="194" spans="1:19" x14ac:dyDescent="0.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4.7278932726978092E-2</v>
      </c>
      <c r="G194" s="1">
        <f t="shared" ref="G194:K194" si="189">SUM(G195:G196)</f>
        <v>1.7100652495265954E-5</v>
      </c>
      <c r="H194" s="1">
        <f t="shared" si="189"/>
        <v>1.566803139375915E-4</v>
      </c>
      <c r="I194" s="1">
        <f t="shared" si="189"/>
        <v>0</v>
      </c>
      <c r="J194" s="1">
        <f t="shared" si="189"/>
        <v>0</v>
      </c>
      <c r="K194" s="1">
        <f t="shared" si="189"/>
        <v>0</v>
      </c>
      <c r="L194" s="1">
        <f t="shared" ref="L194:O194" si="190">SUM(L195:L196)</f>
        <v>0</v>
      </c>
      <c r="M194" s="1">
        <f t="shared" si="190"/>
        <v>0</v>
      </c>
      <c r="N194" s="1">
        <f t="shared" si="190"/>
        <v>0</v>
      </c>
      <c r="O194" s="1">
        <f t="shared" si="190"/>
        <v>0</v>
      </c>
      <c r="P194" s="1">
        <f>SUM(P195:P196)</f>
        <v>0</v>
      </c>
      <c r="Q194" s="1">
        <f>SUM(Q195:Q196)</f>
        <v>0</v>
      </c>
      <c r="S194" s="3"/>
    </row>
    <row r="195" spans="1:19" x14ac:dyDescent="0.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91">F189*IFERROR(F118/F86,0)</f>
        <v>4.7278932726978092E-2</v>
      </c>
      <c r="G195" s="1">
        <f t="shared" si="191"/>
        <v>1.7100652495265954E-5</v>
      </c>
      <c r="H195" s="1">
        <f t="shared" si="191"/>
        <v>1.566803139375915E-4</v>
      </c>
      <c r="I195" s="1">
        <f t="shared" si="191"/>
        <v>0</v>
      </c>
      <c r="J195" s="1">
        <f t="shared" si="191"/>
        <v>0</v>
      </c>
      <c r="K195" s="1">
        <f t="shared" si="191"/>
        <v>0</v>
      </c>
      <c r="L195" s="1">
        <f t="shared" ref="L195:O195" si="192">L189*IFERROR(L118/L86,0)</f>
        <v>0</v>
      </c>
      <c r="M195" s="1">
        <f t="shared" si="192"/>
        <v>0</v>
      </c>
      <c r="N195" s="1">
        <f t="shared" si="192"/>
        <v>0</v>
      </c>
      <c r="O195" s="1">
        <f t="shared" si="192"/>
        <v>0</v>
      </c>
      <c r="P195" s="1">
        <f>P189*IFERROR(P118/P86,0)</f>
        <v>0</v>
      </c>
      <c r="Q195" s="1">
        <f>Q189*IFERROR(Q118/Q86,0)</f>
        <v>0</v>
      </c>
      <c r="S195" s="3"/>
    </row>
    <row r="196" spans="1:19" x14ac:dyDescent="0.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91"/>
        <v>0</v>
      </c>
      <c r="G196" s="1">
        <f t="shared" si="191"/>
        <v>0</v>
      </c>
      <c r="H196" s="1">
        <f t="shared" si="191"/>
        <v>0</v>
      </c>
      <c r="I196" s="1">
        <f t="shared" si="191"/>
        <v>0</v>
      </c>
      <c r="J196" s="1">
        <f t="shared" si="191"/>
        <v>0</v>
      </c>
      <c r="K196" s="1">
        <f t="shared" si="191"/>
        <v>0</v>
      </c>
      <c r="L196" s="1">
        <f t="shared" ref="L196:O196" si="193">L190*IFERROR(L119/L87,0)</f>
        <v>0</v>
      </c>
      <c r="M196" s="1">
        <f t="shared" si="193"/>
        <v>0</v>
      </c>
      <c r="N196" s="1">
        <f t="shared" si="193"/>
        <v>0</v>
      </c>
      <c r="O196" s="1">
        <f t="shared" si="193"/>
        <v>0</v>
      </c>
      <c r="P196" s="1">
        <f>P190*IFERROR(P119/P87,0)</f>
        <v>0</v>
      </c>
      <c r="Q196" s="1">
        <f>Q190*IFERROR(Q119/Q87,0)</f>
        <v>0</v>
      </c>
      <c r="S196" s="3"/>
    </row>
    <row r="197" spans="1:19" x14ac:dyDescent="0.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14.461260844411518</v>
      </c>
      <c r="G197" s="1">
        <f t="shared" ref="G197:K197" si="194">SUM(G198:G199)</f>
        <v>13.051647917369987</v>
      </c>
      <c r="H197" s="1">
        <f t="shared" si="194"/>
        <v>13.178224698632114</v>
      </c>
      <c r="I197" s="1">
        <f t="shared" si="194"/>
        <v>12.779633841584221</v>
      </c>
      <c r="J197" s="1">
        <f t="shared" si="194"/>
        <v>12.342946312727591</v>
      </c>
      <c r="K197" s="1">
        <f t="shared" si="194"/>
        <v>12.115052892112054</v>
      </c>
      <c r="L197" s="1">
        <f t="shared" ref="L197:O197" si="195">SUM(L198:L199)</f>
        <v>10.995366492995586</v>
      </c>
      <c r="M197" s="1">
        <f t="shared" si="195"/>
        <v>10.865288149258113</v>
      </c>
      <c r="N197" s="1">
        <f t="shared" si="195"/>
        <v>10.757712776634072</v>
      </c>
      <c r="O197" s="1">
        <f t="shared" si="195"/>
        <v>10.757712024975209</v>
      </c>
      <c r="P197" s="1">
        <f>SUM(P198:P199)</f>
        <v>10.757711210115456</v>
      </c>
      <c r="Q197" s="1">
        <f>SUM(Q198:Q199)</f>
        <v>10.757713370817113</v>
      </c>
      <c r="S197" s="3"/>
    </row>
    <row r="198" spans="1:19" x14ac:dyDescent="0.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14.461260844411518</v>
      </c>
      <c r="G198" s="1">
        <f>'[1]Electricity and CHPs'!C$93-G199</f>
        <v>13.051647917369987</v>
      </c>
      <c r="H198" s="1">
        <f>'[1]Electricity and CHPs'!D$93-H199</f>
        <v>13.178224698632114</v>
      </c>
      <c r="I198" s="1">
        <f>'[1]Electricity and CHPs'!E$93-I199</f>
        <v>12.779633841584221</v>
      </c>
      <c r="J198" s="1">
        <f>'[1]Electricity and CHPs'!F$93-J199</f>
        <v>12.342946312727591</v>
      </c>
      <c r="K198" s="1">
        <f>'[1]Electricity and CHPs'!G$93-K199</f>
        <v>9.14414830514459</v>
      </c>
      <c r="L198" s="1">
        <f>'[1]Electricity and CHPs'!H$93-L199</f>
        <v>4.5528339604842634</v>
      </c>
      <c r="M198" s="1">
        <f>'[1]Electricity and CHPs'!I$93-M199</f>
        <v>4.4961075761633271</v>
      </c>
      <c r="N198" s="1">
        <f>'[1]Electricity and CHPs'!J$93-N199</f>
        <v>4.4515927787902712</v>
      </c>
      <c r="O198" s="1">
        <f>'[1]Electricity and CHPs'!K$93-O199</f>
        <v>4.4515918523430011</v>
      </c>
      <c r="P198" s="1">
        <f>'[1]Electricity and CHPs'!L$93-P199</f>
        <v>4.4515917870124708</v>
      </c>
      <c r="Q198" s="1">
        <f>'[1]Electricity and CHPs'!M$93-Q199</f>
        <v>4.451593345914989</v>
      </c>
      <c r="S198" s="3"/>
    </row>
    <row r="199" spans="1:19" x14ac:dyDescent="0.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2.9709045869674648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6.442532532511323</v>
      </c>
      <c r="M199" s="1" cm="1">
        <f t="array" ref="M199">SUMPRODUCT(("CHPWSTCCS"=[1]OUT_Electricity_CHP!$B$1:$B$10000)*1,([1]OUT_Electricity_CHP!$C$1:$C$10000="Var_Fout")*1,([1]OUT_Electricity_CHP!$D$1:$D$10000="LTH")*1,[1]OUT_Electricity_CHP!L$1:L$10000)</f>
        <v>6.3691805730947859</v>
      </c>
      <c r="N199" s="1" cm="1">
        <f t="array" ref="N199">SUMPRODUCT(("CHPWSTCCS"=[1]OUT_Electricity_CHP!$B$1:$B$10000)*1,([1]OUT_Electricity_CHP!$C$1:$C$10000="Var_Fout")*1,([1]OUT_Electricity_CHP!$D$1:$D$10000="LTH")*1,[1]OUT_Electricity_CHP!M$1:M$10000)</f>
        <v>6.3061199978438012</v>
      </c>
      <c r="O199" s="1" cm="1">
        <f t="array" ref="O199">SUMPRODUCT(("CHPWSTCCS"=[1]OUT_Electricity_CHP!$B$1:$B$10000)*1,([1]OUT_Electricity_CHP!$C$1:$C$10000="Var_Fout")*1,([1]OUT_Electricity_CHP!$D$1:$D$10000="LTH")*1,[1]OUT_Electricity_CHP!N$1:N$10000)</f>
        <v>6.306120172632208</v>
      </c>
      <c r="P199" s="1" cm="1">
        <f t="array" ref="P199">SUMPRODUCT(("CHPWSTCCS"=[1]OUT_Electricity_CHP!$B$1:$B$10000)*1,([1]OUT_Electricity_CHP!$C$1:$C$10000="Var_Fout")*1,([1]OUT_Electricity_CHP!$D$1:$D$10000="LTH")*1,[1]OUT_Electricity_CHP!O$1:O$10000)</f>
        <v>6.3061194231029853</v>
      </c>
      <c r="Q199" s="1" cm="1">
        <f t="array" ref="Q199">SUMPRODUCT(("CHPWSTCCS"=[1]OUT_Electricity_CHP!$B$1:$B$10000)*1,([1]OUT_Electricity_CHP!$C$1:$C$10000="Var_Fout")*1,([1]OUT_Electricity_CHP!$D$1:$D$10000="LTH")*1,[1]OUT_Electricity_CHP!P$1:P$10000)</f>
        <v>6.3061200249021239</v>
      </c>
      <c r="S199" s="3"/>
    </row>
    <row r="200" spans="1:19" x14ac:dyDescent="0.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7.230630422205758</v>
      </c>
      <c r="G200" s="1">
        <f t="shared" ref="G200:K200" si="196">SUM(G201:G202)</f>
        <v>6.5258239586849927</v>
      </c>
      <c r="H200" s="1">
        <f t="shared" si="196"/>
        <v>6.5891123493160579</v>
      </c>
      <c r="I200" s="1">
        <f t="shared" si="196"/>
        <v>6.3898169207921098</v>
      </c>
      <c r="J200" s="1">
        <f t="shared" si="196"/>
        <v>6.1714731563637955</v>
      </c>
      <c r="K200" s="1">
        <f t="shared" si="196"/>
        <v>6.057526446056027</v>
      </c>
      <c r="L200" s="1">
        <f t="shared" ref="L200:O200" si="197">SUM(L201:L202)</f>
        <v>5.4976832464977932</v>
      </c>
      <c r="M200" s="1">
        <f t="shared" si="197"/>
        <v>5.4326440746290565</v>
      </c>
      <c r="N200" s="1">
        <f t="shared" si="197"/>
        <v>5.3788563883170362</v>
      </c>
      <c r="O200" s="1">
        <f t="shared" si="197"/>
        <v>5.3788560124876055</v>
      </c>
      <c r="P200" s="1">
        <f>SUM(P201:P202)</f>
        <v>5.3788556050577281</v>
      </c>
      <c r="Q200" s="1">
        <f>SUM(Q201:Q202)</f>
        <v>5.3788566854085564</v>
      </c>
      <c r="S200" s="3"/>
    </row>
    <row r="201" spans="1:19" x14ac:dyDescent="0.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8">F198*F140/F133</f>
        <v>7.230630422205758</v>
      </c>
      <c r="G201" s="1">
        <f t="shared" si="198"/>
        <v>6.5258239586849927</v>
      </c>
      <c r="H201" s="1">
        <f t="shared" si="198"/>
        <v>6.5891123493160579</v>
      </c>
      <c r="I201" s="1">
        <f t="shared" si="198"/>
        <v>6.3898169207921098</v>
      </c>
      <c r="J201" s="1">
        <f t="shared" si="198"/>
        <v>6.1714731563637955</v>
      </c>
      <c r="K201" s="1">
        <f t="shared" si="198"/>
        <v>4.572074152572295</v>
      </c>
      <c r="L201" s="1">
        <f t="shared" ref="L201:O201" si="199">L198*L140/L133</f>
        <v>2.2764169802421317</v>
      </c>
      <c r="M201" s="1">
        <f t="shared" si="199"/>
        <v>2.2480537880816636</v>
      </c>
      <c r="N201" s="1">
        <f t="shared" si="199"/>
        <v>2.2257963893951356</v>
      </c>
      <c r="O201" s="1">
        <f t="shared" si="199"/>
        <v>2.2257959261715006</v>
      </c>
      <c r="P201" s="1">
        <f>P198*P140/P133</f>
        <v>2.2257958935062354</v>
      </c>
      <c r="Q201" s="1">
        <f>Q198*Q140/Q133</f>
        <v>2.2257966729574945</v>
      </c>
      <c r="S201" s="3"/>
    </row>
    <row r="202" spans="1:19" x14ac:dyDescent="0.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200">F199*IFERROR(F141/F134,0)</f>
        <v>0</v>
      </c>
      <c r="G202" s="1">
        <f t="shared" si="200"/>
        <v>0</v>
      </c>
      <c r="H202" s="1">
        <f t="shared" si="200"/>
        <v>0</v>
      </c>
      <c r="I202" s="1">
        <f t="shared" si="200"/>
        <v>0</v>
      </c>
      <c r="J202" s="1">
        <f t="shared" si="200"/>
        <v>0</v>
      </c>
      <c r="K202" s="1">
        <f t="shared" si="200"/>
        <v>1.4854522934837324</v>
      </c>
      <c r="L202" s="1">
        <f t="shared" ref="L202:O202" si="201">L199*IFERROR(L141/L134,0)</f>
        <v>3.2212662662556615</v>
      </c>
      <c r="M202" s="1">
        <f t="shared" si="201"/>
        <v>3.184590286547393</v>
      </c>
      <c r="N202" s="1">
        <f t="shared" si="201"/>
        <v>3.1530599989219006</v>
      </c>
      <c r="O202" s="1">
        <f t="shared" si="201"/>
        <v>3.1530600863161049</v>
      </c>
      <c r="P202" s="1">
        <f>P199*IFERROR(P141/P134,0)</f>
        <v>3.1530597115514922</v>
      </c>
      <c r="Q202" s="1">
        <f>Q199*IFERROR(Q141/Q134,0)</f>
        <v>3.1530600124510619</v>
      </c>
      <c r="S202" s="3"/>
    </row>
    <row r="203" spans="1:19" x14ac:dyDescent="0.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7.2306304222057598</v>
      </c>
      <c r="G203" s="1">
        <f t="shared" ref="G203:K203" si="202">SUM(G204:G205)</f>
        <v>6.5258239586849944</v>
      </c>
      <c r="H203" s="1">
        <f t="shared" si="202"/>
        <v>6.5891123493160562</v>
      </c>
      <c r="I203" s="1">
        <f t="shared" si="202"/>
        <v>6.3898169207921116</v>
      </c>
      <c r="J203" s="1">
        <f t="shared" si="202"/>
        <v>6.1714731563637955</v>
      </c>
      <c r="K203" s="1">
        <f t="shared" si="202"/>
        <v>6.057526446056027</v>
      </c>
      <c r="L203" s="1">
        <f t="shared" ref="L203:O203" si="203">SUM(L204:L205)</f>
        <v>5.4976832464977932</v>
      </c>
      <c r="M203" s="1">
        <f t="shared" si="203"/>
        <v>5.4326440746290565</v>
      </c>
      <c r="N203" s="1">
        <f t="shared" si="203"/>
        <v>5.3788563883170362</v>
      </c>
      <c r="O203" s="1">
        <f t="shared" si="203"/>
        <v>5.3788560124876037</v>
      </c>
      <c r="P203" s="1">
        <f>SUM(P204:P205)</f>
        <v>5.3788556050577281</v>
      </c>
      <c r="Q203" s="1">
        <f>SUM(Q204:Q205)</f>
        <v>5.3788566854085564</v>
      </c>
      <c r="S203" s="3"/>
    </row>
    <row r="204" spans="1:19" x14ac:dyDescent="0.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204">F198-F201</f>
        <v>7.2306304222057598</v>
      </c>
      <c r="G204" s="1">
        <f t="shared" si="204"/>
        <v>6.5258239586849944</v>
      </c>
      <c r="H204" s="1">
        <f t="shared" si="204"/>
        <v>6.5891123493160562</v>
      </c>
      <c r="I204" s="1">
        <f t="shared" si="204"/>
        <v>6.3898169207921116</v>
      </c>
      <c r="J204" s="1">
        <f t="shared" si="204"/>
        <v>6.1714731563637955</v>
      </c>
      <c r="K204" s="1">
        <f t="shared" si="204"/>
        <v>4.572074152572295</v>
      </c>
      <c r="L204" s="1">
        <f t="shared" ref="L204:O204" si="205">L198-L201</f>
        <v>2.2764169802421317</v>
      </c>
      <c r="M204" s="1">
        <f t="shared" si="205"/>
        <v>2.2480537880816636</v>
      </c>
      <c r="N204" s="1">
        <f t="shared" si="205"/>
        <v>2.2257963893951356</v>
      </c>
      <c r="O204" s="1">
        <f t="shared" si="205"/>
        <v>2.2257959261715006</v>
      </c>
      <c r="P204" s="1">
        <f>P198-P201</f>
        <v>2.2257958935062354</v>
      </c>
      <c r="Q204" s="1">
        <f>Q198-Q201</f>
        <v>2.2257966729574945</v>
      </c>
      <c r="S204" s="3"/>
    </row>
    <row r="205" spans="1:19" x14ac:dyDescent="0.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204"/>
        <v>0</v>
      </c>
      <c r="G205" s="1">
        <f t="shared" si="204"/>
        <v>0</v>
      </c>
      <c r="H205" s="1">
        <f t="shared" si="204"/>
        <v>0</v>
      </c>
      <c r="I205" s="1">
        <f t="shared" si="204"/>
        <v>0</v>
      </c>
      <c r="J205" s="1">
        <f t="shared" si="204"/>
        <v>0</v>
      </c>
      <c r="K205" s="1">
        <f t="shared" si="204"/>
        <v>1.4854522934837324</v>
      </c>
      <c r="L205" s="1">
        <f t="shared" ref="L205:O205" si="206">L199-L202</f>
        <v>3.2212662662556615</v>
      </c>
      <c r="M205" s="1">
        <f t="shared" si="206"/>
        <v>3.184590286547393</v>
      </c>
      <c r="N205" s="1">
        <f t="shared" si="206"/>
        <v>3.1530599989219006</v>
      </c>
      <c r="O205" s="1">
        <f t="shared" si="206"/>
        <v>3.1530600863161031</v>
      </c>
      <c r="P205" s="1">
        <f>P199-P202</f>
        <v>3.1530597115514931</v>
      </c>
      <c r="Q205" s="1">
        <f>Q199-Q202</f>
        <v>3.1530600124510619</v>
      </c>
      <c r="S205" s="3"/>
    </row>
    <row r="206" spans="1:19" x14ac:dyDescent="0.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0.47912260570694015</v>
      </c>
      <c r="G206" s="1">
        <f t="shared" ref="G206:O206" si="207">G207</f>
        <v>0.24917947025001569</v>
      </c>
      <c r="H206" s="1">
        <f t="shared" si="207"/>
        <v>0.21646563581921027</v>
      </c>
      <c r="I206" s="1">
        <f t="shared" si="207"/>
        <v>2.4852337711385813E-3</v>
      </c>
      <c r="J206" s="1">
        <f t="shared" si="207"/>
        <v>5.1693196301959817E-3</v>
      </c>
      <c r="K206" s="1">
        <f t="shared" si="207"/>
        <v>1.8877652407582941</v>
      </c>
      <c r="L206" s="1">
        <f t="shared" si="207"/>
        <v>2.9316264946500059</v>
      </c>
      <c r="M206" s="1">
        <f t="shared" si="207"/>
        <v>3.8420948798122181</v>
      </c>
      <c r="N206" s="1">
        <f t="shared" si="207"/>
        <v>3.9586421842789603</v>
      </c>
      <c r="O206" s="1">
        <f t="shared" si="207"/>
        <v>3.7808384817944245</v>
      </c>
      <c r="P206" s="1">
        <f>P207</f>
        <v>3.9713531819903105</v>
      </c>
      <c r="Q206" s="1">
        <f>Q207</f>
        <v>4.0091367885576981</v>
      </c>
      <c r="S206" s="3"/>
    </row>
    <row r="207" spans="1:19" x14ac:dyDescent="0.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0.47912260570694015</v>
      </c>
      <c r="G207" s="1">
        <f>'[1]Electricity and CHPs'!C$92</f>
        <v>0.24917947025001569</v>
      </c>
      <c r="H207" s="1">
        <f>'[1]Electricity and CHPs'!D$92</f>
        <v>0.21646563581921027</v>
      </c>
      <c r="I207" s="1">
        <f>'[1]Electricity and CHPs'!E$92</f>
        <v>2.4852337711385813E-3</v>
      </c>
      <c r="J207" s="1">
        <f>'[1]Electricity and CHPs'!F$92</f>
        <v>5.1693196301959817E-3</v>
      </c>
      <c r="K207" s="1">
        <f>'[1]Electricity and CHPs'!G$92</f>
        <v>1.8877652407582941</v>
      </c>
      <c r="L207" s="1">
        <f>'[1]Electricity and CHPs'!H$92</f>
        <v>2.9316264946500059</v>
      </c>
      <c r="M207" s="1">
        <f>'[1]Electricity and CHPs'!I$92</f>
        <v>3.8420948798122181</v>
      </c>
      <c r="N207" s="1">
        <f>'[1]Electricity and CHPs'!J$92</f>
        <v>3.9586421842789603</v>
      </c>
      <c r="O207" s="1">
        <f>'[1]Electricity and CHPs'!K$92</f>
        <v>3.7808384817944245</v>
      </c>
      <c r="P207" s="1">
        <f>'[1]Electricity and CHPs'!L$92</f>
        <v>3.9713531819903105</v>
      </c>
      <c r="Q207" s="1">
        <f>'[1]Electricity and CHPs'!M$92</f>
        <v>4.0091367885576981</v>
      </c>
      <c r="S207" s="3"/>
    </row>
    <row r="208" spans="1:19" x14ac:dyDescent="0.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O208" si="208">+G209</f>
        <v>0</v>
      </c>
      <c r="H208" s="1">
        <f t="shared" si="208"/>
        <v>0</v>
      </c>
      <c r="I208" s="1">
        <f t="shared" si="208"/>
        <v>0</v>
      </c>
      <c r="J208" s="1">
        <f t="shared" si="208"/>
        <v>0</v>
      </c>
      <c r="K208" s="1">
        <f t="shared" si="208"/>
        <v>0.30563339137544698</v>
      </c>
      <c r="L208" s="1">
        <f t="shared" si="208"/>
        <v>0.90022826235185494</v>
      </c>
      <c r="M208" s="1">
        <f t="shared" si="208"/>
        <v>1.3588716407591843</v>
      </c>
      <c r="N208" s="1">
        <f t="shared" si="208"/>
        <v>1.3588710614352153</v>
      </c>
      <c r="O208" s="1">
        <f t="shared" si="208"/>
        <v>1.358872721269875</v>
      </c>
      <c r="P208" s="1">
        <f>+P209</f>
        <v>1.3588751754056108</v>
      </c>
      <c r="Q208" s="1">
        <f>+Q209</f>
        <v>1.3588997569037702</v>
      </c>
      <c r="S208" s="3"/>
    </row>
    <row r="209" spans="1:20" x14ac:dyDescent="0.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0.30563339137544698</v>
      </c>
      <c r="L209" s="1">
        <f>'[1]Electricity and CHPs'!H$96</f>
        <v>0.90022826235185494</v>
      </c>
      <c r="M209" s="1">
        <f>'[1]Electricity and CHPs'!I$96</f>
        <v>1.3588716407591843</v>
      </c>
      <c r="N209" s="1">
        <f>'[1]Electricity and CHPs'!J$96</f>
        <v>1.3588710614352153</v>
      </c>
      <c r="O209" s="1">
        <f>'[1]Electricity and CHPs'!K$96</f>
        <v>1.358872721269875</v>
      </c>
      <c r="P209" s="1">
        <f>'[1]Electricity and CHPs'!L$96</f>
        <v>1.3588751754056108</v>
      </c>
      <c r="Q209" s="1">
        <f>'[1]Electricity and CHPs'!M$96</f>
        <v>1.3588997569037702</v>
      </c>
      <c r="S209" s="3"/>
    </row>
    <row r="210" spans="1:20" x14ac:dyDescent="0.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7.754725171467058</v>
      </c>
      <c r="G210" s="1">
        <f t="shared" ref="G210:K210" si="209">SUM(G211,G217,G219,G225,G227,G229,G231)</f>
        <v>15.973533762340747</v>
      </c>
      <c r="H210" s="1">
        <f t="shared" si="209"/>
        <v>15.688353061574604</v>
      </c>
      <c r="I210" s="1">
        <f t="shared" si="209"/>
        <v>11.295011461785851</v>
      </c>
      <c r="J210" s="1">
        <f t="shared" si="209"/>
        <v>11.675821792669904</v>
      </c>
      <c r="K210" s="1">
        <f t="shared" si="209"/>
        <v>9.4859225593780039</v>
      </c>
      <c r="L210" s="1">
        <f t="shared" ref="L210:O210" si="210">SUM(L211,L217,L219,L225,L227,L229,L231)</f>
        <v>9.1970061917799057</v>
      </c>
      <c r="M210" s="1">
        <f t="shared" si="210"/>
        <v>9.0594255736511684</v>
      </c>
      <c r="N210" s="1">
        <f t="shared" si="210"/>
        <v>13.701303953851298</v>
      </c>
      <c r="O210" s="1">
        <f t="shared" si="210"/>
        <v>19.745807139653209</v>
      </c>
      <c r="P210" s="1">
        <f>SUM(P211,P217,P219,P225,P227,P229,P231)</f>
        <v>23.032993762920896</v>
      </c>
      <c r="Q210" s="1">
        <f>SUM(Q211,Q217,Q219,Q225,Q227,Q229,Q231)</f>
        <v>26.010848910545704</v>
      </c>
      <c r="S210" s="3"/>
    </row>
    <row r="211" spans="1:20" x14ac:dyDescent="0.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2.6346755333451584</v>
      </c>
      <c r="G211" s="1">
        <f t="shared" ref="G211:O211" si="211">+G212</f>
        <v>2.4888462821974473</v>
      </c>
      <c r="H211" s="1">
        <f t="shared" si="211"/>
        <v>2.482819838605681</v>
      </c>
      <c r="I211" s="1">
        <f t="shared" si="211"/>
        <v>0.90177507722987804</v>
      </c>
      <c r="J211" s="1">
        <f t="shared" si="211"/>
        <v>0.90181155820059988</v>
      </c>
      <c r="K211" s="1">
        <f t="shared" si="211"/>
        <v>0.90181249014360743</v>
      </c>
      <c r="L211" s="1">
        <f t="shared" si="211"/>
        <v>0.9018107314390349</v>
      </c>
      <c r="M211" s="1">
        <f t="shared" si="211"/>
        <v>0.90181406142816545</v>
      </c>
      <c r="N211" s="1">
        <f t="shared" si="211"/>
        <v>0.90181140116589298</v>
      </c>
      <c r="O211" s="1">
        <f t="shared" si="211"/>
        <v>2.1936406334543288</v>
      </c>
      <c r="P211" s="1">
        <f>+P212</f>
        <v>5.3223209030099925</v>
      </c>
      <c r="Q211" s="1">
        <f>+Q212</f>
        <v>8.0726699100139125</v>
      </c>
      <c r="S211" s="3"/>
    </row>
    <row r="212" spans="1:20" x14ac:dyDescent="0.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2.6346755333451584</v>
      </c>
      <c r="G212" s="1">
        <f>'[1]Electricity and CHPs'!C$97+G216</f>
        <v>2.4888462821974473</v>
      </c>
      <c r="H212" s="1">
        <f>'[1]Electricity and CHPs'!D$97+H216</f>
        <v>2.482819838605681</v>
      </c>
      <c r="I212" s="1">
        <f>'[1]Electricity and CHPs'!E$97+I216</f>
        <v>0.90177507722987804</v>
      </c>
      <c r="J212" s="1">
        <f>'[1]Electricity and CHPs'!F$97+J216</f>
        <v>0.90181155820059988</v>
      </c>
      <c r="K212" s="1">
        <f>'[1]Electricity and CHPs'!G$97+K216</f>
        <v>0.90181249014360743</v>
      </c>
      <c r="L212" s="1">
        <f>'[1]Electricity and CHPs'!H$97+L216</f>
        <v>0.9018107314390349</v>
      </c>
      <c r="M212" s="1">
        <f>'[1]Electricity and CHPs'!I$97+M216</f>
        <v>0.90181406142816545</v>
      </c>
      <c r="N212" s="1">
        <f>'[1]Electricity and CHPs'!J$97+N216</f>
        <v>0.90181140116589298</v>
      </c>
      <c r="O212" s="1">
        <f>'[1]Electricity and CHPs'!K$97+O216</f>
        <v>2.1936406334543288</v>
      </c>
      <c r="P212" s="1">
        <f>'[1]Electricity and CHPs'!L$97+P216</f>
        <v>5.3223209030099925</v>
      </c>
      <c r="Q212" s="1">
        <f>'[1]Electricity and CHPs'!M$97+Q216</f>
        <v>8.0726699100139125</v>
      </c>
      <c r="S212" s="3"/>
    </row>
    <row r="213" spans="1:20" x14ac:dyDescent="0.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1.7329000527855167</v>
      </c>
      <c r="G213" s="1">
        <f t="shared" ref="G213:O213" si="212">G214</f>
        <v>1.5870720525343711</v>
      </c>
      <c r="H213" s="1">
        <f t="shared" si="212"/>
        <v>1.581045133420607</v>
      </c>
      <c r="I213" s="1">
        <f t="shared" si="212"/>
        <v>0</v>
      </c>
      <c r="J213" s="1">
        <f t="shared" si="212"/>
        <v>0</v>
      </c>
      <c r="K213" s="1">
        <f t="shared" si="212"/>
        <v>0</v>
      </c>
      <c r="L213" s="1">
        <f t="shared" si="212"/>
        <v>0</v>
      </c>
      <c r="M213" s="1">
        <f t="shared" si="212"/>
        <v>0</v>
      </c>
      <c r="N213" s="1">
        <f t="shared" si="212"/>
        <v>0</v>
      </c>
      <c r="O213" s="1">
        <f t="shared" si="212"/>
        <v>0</v>
      </c>
      <c r="P213" s="1">
        <f>P214</f>
        <v>0</v>
      </c>
      <c r="Q213" s="1">
        <f>Q214</f>
        <v>0</v>
      </c>
      <c r="S213" s="3"/>
    </row>
    <row r="214" spans="1:20" x14ac:dyDescent="0.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1.7329000527855167</v>
      </c>
      <c r="G214" s="1">
        <f t="shared" ref="G214:K214" si="213">G212-G216</f>
        <v>1.5870720525343711</v>
      </c>
      <c r="H214" s="1">
        <f t="shared" si="213"/>
        <v>1.581045133420607</v>
      </c>
      <c r="I214" s="1">
        <f t="shared" si="213"/>
        <v>0</v>
      </c>
      <c r="J214" s="1">
        <f t="shared" si="213"/>
        <v>0</v>
      </c>
      <c r="K214" s="1">
        <f t="shared" si="213"/>
        <v>0</v>
      </c>
      <c r="L214" s="1">
        <f t="shared" ref="L214:O214" si="214">L212-L216</f>
        <v>0</v>
      </c>
      <c r="M214" s="1">
        <f t="shared" si="214"/>
        <v>0</v>
      </c>
      <c r="N214" s="1">
        <f t="shared" si="214"/>
        <v>0</v>
      </c>
      <c r="O214" s="1">
        <f t="shared" si="214"/>
        <v>0</v>
      </c>
      <c r="P214" s="1">
        <f>P212-P216</f>
        <v>0</v>
      </c>
      <c r="Q214" s="1">
        <f>Q212-Q216</f>
        <v>0</v>
      </c>
      <c r="S214" s="3"/>
    </row>
    <row r="215" spans="1:20" x14ac:dyDescent="0.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0.90177548055964152</v>
      </c>
      <c r="G215" s="1">
        <f t="shared" ref="G215:O215" si="215">G216</f>
        <v>0.90177422966307608</v>
      </c>
      <c r="H215" s="1">
        <f t="shared" si="215"/>
        <v>0.90177470518507408</v>
      </c>
      <c r="I215" s="1">
        <f t="shared" si="215"/>
        <v>0.90177507722987804</v>
      </c>
      <c r="J215" s="1">
        <f t="shared" si="215"/>
        <v>0.90181155820059988</v>
      </c>
      <c r="K215" s="1">
        <f t="shared" si="215"/>
        <v>0.90181249014360743</v>
      </c>
      <c r="L215" s="1">
        <f t="shared" si="215"/>
        <v>0.9018107314390349</v>
      </c>
      <c r="M215" s="1">
        <f t="shared" si="215"/>
        <v>0.90181406142816545</v>
      </c>
      <c r="N215" s="1">
        <f t="shared" si="215"/>
        <v>0.90181140116589298</v>
      </c>
      <c r="O215" s="1">
        <f t="shared" si="215"/>
        <v>2.1936406334543288</v>
      </c>
      <c r="P215" s="1">
        <f>P216</f>
        <v>5.3223209030099925</v>
      </c>
      <c r="Q215" s="1">
        <f>Q216</f>
        <v>8.0726699100139125</v>
      </c>
      <c r="S215" s="3"/>
    </row>
    <row r="216" spans="1:20" x14ac:dyDescent="0.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0.90177548055964152</v>
      </c>
      <c r="G216" s="1">
        <f>'[1]Electricity and CHPs'!C$98</f>
        <v>0.90177422966307608</v>
      </c>
      <c r="H216" s="1">
        <f>'[1]Electricity and CHPs'!D$98</f>
        <v>0.90177470518507408</v>
      </c>
      <c r="I216" s="1">
        <f>'[1]Electricity and CHPs'!E$98</f>
        <v>0.90177507722987804</v>
      </c>
      <c r="J216" s="1">
        <f>'[1]Electricity and CHPs'!F$98</f>
        <v>0.90181155820059988</v>
      </c>
      <c r="K216" s="1">
        <f>'[1]Electricity and CHPs'!G$98</f>
        <v>0.90181249014360743</v>
      </c>
      <c r="L216" s="1">
        <f>'[1]Electricity and CHPs'!H$98</f>
        <v>0.9018107314390349</v>
      </c>
      <c r="M216" s="1">
        <f>'[1]Electricity and CHPs'!I$98</f>
        <v>0.90181406142816545</v>
      </c>
      <c r="N216" s="1">
        <f>'[1]Electricity and CHPs'!J$98</f>
        <v>0.90181140116589298</v>
      </c>
      <c r="O216" s="1">
        <f>'[1]Electricity and CHPs'!K$98</f>
        <v>2.1936406334543288</v>
      </c>
      <c r="P216" s="1">
        <f>'[1]Electricity and CHPs'!L$98</f>
        <v>5.3223209030099925</v>
      </c>
      <c r="Q216" s="1">
        <f>'[1]Electricity and CHPs'!M$98</f>
        <v>8.0726699100139125</v>
      </c>
      <c r="S216" s="3"/>
    </row>
    <row r="217" spans="1:20" x14ac:dyDescent="0.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2.9000150635446222</v>
      </c>
      <c r="G217" s="1">
        <f t="shared" ref="G217:O217" si="216">+G218</f>
        <v>7.6036763478872045</v>
      </c>
      <c r="H217" s="1">
        <f t="shared" si="216"/>
        <v>7.6028576756491333</v>
      </c>
      <c r="I217" s="1">
        <f t="shared" si="216"/>
        <v>2.3004930706992024</v>
      </c>
      <c r="J217" s="1">
        <f t="shared" si="216"/>
        <v>1.7123205378434525</v>
      </c>
      <c r="K217" s="1">
        <f t="shared" si="216"/>
        <v>0</v>
      </c>
      <c r="L217" s="1">
        <f t="shared" si="216"/>
        <v>0</v>
      </c>
      <c r="M217" s="1">
        <f t="shared" si="216"/>
        <v>0</v>
      </c>
      <c r="N217" s="1">
        <f t="shared" si="216"/>
        <v>4.6611279954164004</v>
      </c>
      <c r="O217" s="1">
        <f t="shared" si="216"/>
        <v>9.3353637957245361</v>
      </c>
      <c r="P217" s="1">
        <f>+P218</f>
        <v>9.3353632069584442</v>
      </c>
      <c r="Q217" s="1">
        <f>+Q218</f>
        <v>9.3353853783738909</v>
      </c>
      <c r="S217" s="3"/>
    </row>
    <row r="218" spans="1:20" x14ac:dyDescent="0.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2.9000150635446222</v>
      </c>
      <c r="G218" s="1">
        <f>'[1]Electricity and CHPs'!C$99</f>
        <v>7.6036763478872045</v>
      </c>
      <c r="H218" s="1">
        <f>'[1]Electricity and CHPs'!D$99</f>
        <v>7.6028576756491333</v>
      </c>
      <c r="I218" s="1">
        <f>'[1]Electricity and CHPs'!E$99</f>
        <v>2.3004930706992024</v>
      </c>
      <c r="J218" s="1">
        <f>'[1]Electricity and CHPs'!F$99</f>
        <v>1.7123205378434525</v>
      </c>
      <c r="K218" s="1">
        <f>'[1]Electricity and CHPs'!G$99</f>
        <v>0</v>
      </c>
      <c r="L218" s="1">
        <f>'[1]Electricity and CHPs'!H$99</f>
        <v>0</v>
      </c>
      <c r="M218" s="1">
        <f>'[1]Electricity and CHPs'!I$99</f>
        <v>0</v>
      </c>
      <c r="N218" s="1">
        <f>'[1]Electricity and CHPs'!J$99</f>
        <v>4.6611279954164004</v>
      </c>
      <c r="O218" s="1">
        <f>'[1]Electricity and CHPs'!K$99</f>
        <v>9.3353637957245361</v>
      </c>
      <c r="P218" s="1">
        <f>'[1]Electricity and CHPs'!L$99</f>
        <v>9.3353632069584442</v>
      </c>
      <c r="Q218" s="1">
        <f>'[1]Electricity and CHPs'!M$99</f>
        <v>9.3353853783738909</v>
      </c>
      <c r="S218" s="3"/>
    </row>
    <row r="219" spans="1:20" x14ac:dyDescent="0.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0.18406650092938465</v>
      </c>
      <c r="G219" s="1">
        <f t="shared" ref="G219:O219" si="217">+G220</f>
        <v>0.18585123292821853</v>
      </c>
      <c r="H219" s="1">
        <f t="shared" si="217"/>
        <v>5.267802440144656E-2</v>
      </c>
      <c r="I219" s="1">
        <f t="shared" si="217"/>
        <v>5.3132593685571133E-2</v>
      </c>
      <c r="J219" s="1">
        <f t="shared" si="217"/>
        <v>5.846690304069723E-4</v>
      </c>
      <c r="K219" s="1">
        <f t="shared" si="217"/>
        <v>5.5982942098308904E-5</v>
      </c>
      <c r="L219" s="1">
        <f t="shared" si="217"/>
        <v>3.0300172462649423E-4</v>
      </c>
      <c r="M219" s="1">
        <f t="shared" si="217"/>
        <v>4.6509930040747159E-5</v>
      </c>
      <c r="N219" s="1">
        <f t="shared" si="217"/>
        <v>1.5309657933697258E-6</v>
      </c>
      <c r="O219" s="1">
        <f t="shared" si="217"/>
        <v>1.5316757942074511E-7</v>
      </c>
      <c r="P219" s="1">
        <f>+P220</f>
        <v>9.5018092833330056E-7</v>
      </c>
      <c r="Q219" s="1">
        <f>+Q220</f>
        <v>4.9329772387598305E-7</v>
      </c>
      <c r="S219" s="3"/>
    </row>
    <row r="220" spans="1:20" x14ac:dyDescent="0.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0.18406650092938465</v>
      </c>
      <c r="G220" s="1">
        <f>'[1]Electricity and CHPs'!C$100</f>
        <v>0.18585123292821853</v>
      </c>
      <c r="H220" s="1">
        <f>'[1]Electricity and CHPs'!D$100</f>
        <v>5.267802440144656E-2</v>
      </c>
      <c r="I220" s="1">
        <f>'[1]Electricity and CHPs'!E$100</f>
        <v>5.3132593685571133E-2</v>
      </c>
      <c r="J220" s="1">
        <f>'[1]Electricity and CHPs'!F$100</f>
        <v>5.846690304069723E-4</v>
      </c>
      <c r="K220" s="1">
        <f>'[1]Electricity and CHPs'!G$100</f>
        <v>5.5982942098308904E-5</v>
      </c>
      <c r="L220" s="1">
        <f>'[1]Electricity and CHPs'!H$100</f>
        <v>3.0300172462649423E-4</v>
      </c>
      <c r="M220" s="1">
        <f>'[1]Electricity and CHPs'!I$100</f>
        <v>4.6509930040747159E-5</v>
      </c>
      <c r="N220" s="1">
        <f>'[1]Electricity and CHPs'!J$100</f>
        <v>1.5309657933697258E-6</v>
      </c>
      <c r="O220" s="1">
        <f>'[1]Electricity and CHPs'!K$100</f>
        <v>1.5316757942074511E-7</v>
      </c>
      <c r="P220" s="1">
        <f>'[1]Electricity and CHPs'!L$100</f>
        <v>9.5018092833330056E-7</v>
      </c>
      <c r="Q220" s="1">
        <f>'[1]Electricity and CHPs'!M$100</f>
        <v>4.9329772387598305E-7</v>
      </c>
      <c r="S220" s="3"/>
    </row>
    <row r="221" spans="1:20" x14ac:dyDescent="0.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0.18406650092938465</v>
      </c>
      <c r="G221" s="1">
        <f t="shared" ref="G221:O221" si="218">G222</f>
        <v>0.18585123292821853</v>
      </c>
      <c r="H221" s="1">
        <f t="shared" si="218"/>
        <v>5.267802440144656E-2</v>
      </c>
      <c r="I221" s="1">
        <f t="shared" si="218"/>
        <v>5.3132593685571133E-2</v>
      </c>
      <c r="J221" s="1">
        <f t="shared" si="218"/>
        <v>5.846690304069723E-4</v>
      </c>
      <c r="K221" s="1">
        <f t="shared" si="218"/>
        <v>5.5982942098308904E-5</v>
      </c>
      <c r="L221" s="1">
        <f>L222</f>
        <v>3.0300172462649423E-4</v>
      </c>
      <c r="M221" s="1">
        <f t="shared" si="218"/>
        <v>4.6509930040747159E-5</v>
      </c>
      <c r="N221" s="1">
        <f t="shared" si="218"/>
        <v>1.5309657933697258E-6</v>
      </c>
      <c r="O221" s="1">
        <f t="shared" si="218"/>
        <v>1.5316757942074511E-7</v>
      </c>
      <c r="P221" s="1">
        <f>P222</f>
        <v>9.5018092833330056E-7</v>
      </c>
      <c r="Q221" s="1">
        <f>Q222</f>
        <v>4.9329772387598305E-7</v>
      </c>
      <c r="S221" s="3"/>
    </row>
    <row r="222" spans="1:20" x14ac:dyDescent="0.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0.18406650092938465</v>
      </c>
      <c r="G222" s="1">
        <f t="shared" ref="G222:K222" si="219">G220-G224</f>
        <v>0.18585123292821853</v>
      </c>
      <c r="H222" s="1">
        <f t="shared" si="219"/>
        <v>5.267802440144656E-2</v>
      </c>
      <c r="I222" s="1">
        <f t="shared" si="219"/>
        <v>5.3132593685571133E-2</v>
      </c>
      <c r="J222" s="1">
        <f t="shared" si="219"/>
        <v>5.846690304069723E-4</v>
      </c>
      <c r="K222" s="1">
        <f t="shared" si="219"/>
        <v>5.5982942098308904E-5</v>
      </c>
      <c r="L222" s="1">
        <f>L220-L224</f>
        <v>3.0300172462649423E-4</v>
      </c>
      <c r="M222" s="1">
        <f t="shared" ref="M222:O222" si="220">M220-M224</f>
        <v>4.6509930040747159E-5</v>
      </c>
      <c r="N222" s="1">
        <f t="shared" si="220"/>
        <v>1.5309657933697258E-6</v>
      </c>
      <c r="O222" s="1">
        <f t="shared" si="220"/>
        <v>1.5316757942074511E-7</v>
      </c>
      <c r="P222" s="1">
        <f>P220-P224</f>
        <v>9.5018092833330056E-7</v>
      </c>
      <c r="Q222" s="1">
        <f>Q220-Q224</f>
        <v>4.9329772387598305E-7</v>
      </c>
      <c r="S222" s="3"/>
    </row>
    <row r="223" spans="1:20" x14ac:dyDescent="0.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O223" si="221">G224</f>
        <v>0</v>
      </c>
      <c r="H223" s="1">
        <f t="shared" si="221"/>
        <v>0</v>
      </c>
      <c r="I223" s="1">
        <f t="shared" si="221"/>
        <v>0</v>
      </c>
      <c r="J223" s="1">
        <f t="shared" si="221"/>
        <v>0</v>
      </c>
      <c r="K223" s="1">
        <f t="shared" si="221"/>
        <v>0</v>
      </c>
      <c r="L223" s="1">
        <f t="shared" si="221"/>
        <v>0</v>
      </c>
      <c r="M223" s="1">
        <f t="shared" si="221"/>
        <v>0</v>
      </c>
      <c r="N223" s="1">
        <f t="shared" si="221"/>
        <v>0</v>
      </c>
      <c r="O223" s="1">
        <f t="shared" si="221"/>
        <v>0</v>
      </c>
      <c r="P223" s="1">
        <f>P224</f>
        <v>0</v>
      </c>
      <c r="Q223" s="1">
        <f>Q224</f>
        <v>0</v>
      </c>
      <c r="S223" s="3"/>
    </row>
    <row r="224" spans="1:20" x14ac:dyDescent="0.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/>
      <c r="S224" s="3"/>
      <c r="T224" s="1"/>
    </row>
    <row r="225" spans="1:19" x14ac:dyDescent="0.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2.0359680736478922</v>
      </c>
      <c r="G225" s="1">
        <f t="shared" ref="G225:O225" si="222">+G226</f>
        <v>1.8374609832207596</v>
      </c>
      <c r="H225" s="1">
        <f t="shared" si="222"/>
        <v>1.5754054031536835</v>
      </c>
      <c r="I225" s="1">
        <f t="shared" si="222"/>
        <v>3.6056795808039332</v>
      </c>
      <c r="J225" s="1">
        <f t="shared" si="222"/>
        <v>3.3891406460936278</v>
      </c>
      <c r="K225" s="1">
        <f t="shared" si="222"/>
        <v>2.6224526343538201</v>
      </c>
      <c r="L225" s="1">
        <f t="shared" si="222"/>
        <v>2.0292048811631829</v>
      </c>
      <c r="M225" s="1">
        <f t="shared" si="222"/>
        <v>1.5701659440348414</v>
      </c>
      <c r="N225" s="1">
        <f t="shared" si="222"/>
        <v>1.2149586390630274</v>
      </c>
      <c r="O225" s="1">
        <f t="shared" si="222"/>
        <v>0.94011471102055821</v>
      </c>
      <c r="P225" s="1">
        <f>+P226</f>
        <v>0.72744262046586761</v>
      </c>
      <c r="Q225" s="1">
        <f>+Q226</f>
        <v>0.56292127973259642</v>
      </c>
      <c r="S225" s="3"/>
    </row>
    <row r="226" spans="1:19" x14ac:dyDescent="0.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2.0359680736478922</v>
      </c>
      <c r="G226" s="1">
        <f>'[1]Electricity and CHPs'!C$101</f>
        <v>1.8374609832207596</v>
      </c>
      <c r="H226" s="1">
        <f>'[1]Electricity and CHPs'!D$101</f>
        <v>1.5754054031536835</v>
      </c>
      <c r="I226" s="1">
        <f>'[1]Electricity and CHPs'!E$101</f>
        <v>3.6056795808039332</v>
      </c>
      <c r="J226" s="1">
        <f>'[1]Electricity and CHPs'!F$101</f>
        <v>3.3891406460936278</v>
      </c>
      <c r="K226" s="1">
        <f>'[1]Electricity and CHPs'!G$101</f>
        <v>2.6224526343538201</v>
      </c>
      <c r="L226" s="1">
        <f>'[1]Electricity and CHPs'!H$101</f>
        <v>2.0292048811631829</v>
      </c>
      <c r="M226" s="1">
        <f>'[1]Electricity and CHPs'!I$101</f>
        <v>1.5701659440348414</v>
      </c>
      <c r="N226" s="1">
        <f>'[1]Electricity and CHPs'!J$101</f>
        <v>1.2149586390630274</v>
      </c>
      <c r="O226" s="1">
        <f>'[1]Electricity and CHPs'!K$101</f>
        <v>0.94011471102055821</v>
      </c>
      <c r="P226" s="1">
        <f>'[1]Electricity and CHPs'!L$101</f>
        <v>0.72744262046586761</v>
      </c>
      <c r="Q226" s="1">
        <f>'[1]Electricity and CHPs'!M$101</f>
        <v>0.56292127973259642</v>
      </c>
      <c r="S226" s="3"/>
    </row>
    <row r="227" spans="1:19" x14ac:dyDescent="0.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O227" si="223">+G228</f>
        <v>0</v>
      </c>
      <c r="H227" s="1">
        <f t="shared" si="223"/>
        <v>0</v>
      </c>
      <c r="I227" s="1">
        <f t="shared" si="223"/>
        <v>3.7818176694793667E-5</v>
      </c>
      <c r="J227" s="1">
        <f t="shared" si="223"/>
        <v>6.0196400965602759E-5</v>
      </c>
      <c r="K227" s="1">
        <f t="shared" si="223"/>
        <v>6.0842394687490188E-5</v>
      </c>
      <c r="L227" s="1">
        <f t="shared" si="223"/>
        <v>6.1895146483664258E-5</v>
      </c>
      <c r="M227" s="1">
        <f t="shared" si="223"/>
        <v>6.5597471546425295E-5</v>
      </c>
      <c r="N227" s="1">
        <f t="shared" si="223"/>
        <v>6.5953903866810442E-5</v>
      </c>
      <c r="O227" s="1">
        <f t="shared" si="223"/>
        <v>6.8347400139015266E-5</v>
      </c>
      <c r="P227" s="1">
        <f>+P228</f>
        <v>7.1074217713085398E-5</v>
      </c>
      <c r="Q227" s="1">
        <f>+Q228</f>
        <v>1.400638831387823E-4</v>
      </c>
      <c r="S227" s="3"/>
    </row>
    <row r="228" spans="1:19" x14ac:dyDescent="0.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3.7818176694793667E-5</v>
      </c>
      <c r="J228" s="1">
        <f>'[1]Electricity and CHPs'!F$102</f>
        <v>6.0196400965602759E-5</v>
      </c>
      <c r="K228" s="1">
        <f>'[1]Electricity and CHPs'!G$102</f>
        <v>6.0842394687490188E-5</v>
      </c>
      <c r="L228" s="1">
        <f>'[1]Electricity and CHPs'!H$102</f>
        <v>6.1895146483664258E-5</v>
      </c>
      <c r="M228" s="1">
        <f>'[1]Electricity and CHPs'!I$102</f>
        <v>6.5597471546425295E-5</v>
      </c>
      <c r="N228" s="1">
        <f>'[1]Electricity and CHPs'!J$102</f>
        <v>6.5953903866810442E-5</v>
      </c>
      <c r="O228" s="1">
        <f>'[1]Electricity and CHPs'!K$102</f>
        <v>6.8347400139015266E-5</v>
      </c>
      <c r="P228" s="1">
        <f>'[1]Electricity and CHPs'!L$102</f>
        <v>7.1074217713085398E-5</v>
      </c>
      <c r="Q228" s="1">
        <f>'[1]Electricity and CHPs'!M$102</f>
        <v>1.400638831387823E-4</v>
      </c>
      <c r="S228" s="3"/>
    </row>
    <row r="229" spans="1:19" x14ac:dyDescent="0.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O229" si="224">+G230</f>
        <v>0</v>
      </c>
      <c r="H229" s="1">
        <f t="shared" si="224"/>
        <v>0</v>
      </c>
      <c r="I229" s="1">
        <f t="shared" si="224"/>
        <v>0</v>
      </c>
      <c r="J229" s="1">
        <f t="shared" si="224"/>
        <v>0</v>
      </c>
      <c r="K229" s="1">
        <f t="shared" si="224"/>
        <v>3.112122599239399E-4</v>
      </c>
      <c r="L229" s="1">
        <f t="shared" si="224"/>
        <v>3.120178967371002E-4</v>
      </c>
      <c r="M229" s="1">
        <f t="shared" si="224"/>
        <v>3.1331970745377444E-4</v>
      </c>
      <c r="N229" s="1">
        <f t="shared" si="224"/>
        <v>3.1386321091420532E-4</v>
      </c>
      <c r="O229" s="1">
        <f t="shared" si="224"/>
        <v>3.1549494275742387E-4</v>
      </c>
      <c r="P229" s="1">
        <f>+P230</f>
        <v>3.193863036971898E-4</v>
      </c>
      <c r="Q229" s="1">
        <f>+Q230</f>
        <v>5.4164293879879516E-4</v>
      </c>
      <c r="S229" s="3"/>
    </row>
    <row r="230" spans="1:19" x14ac:dyDescent="0.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3.112122599239399E-4</v>
      </c>
      <c r="L230" s="1">
        <f>'[1]Electricity and CHPs'!H$90</f>
        <v>3.120178967371002E-4</v>
      </c>
      <c r="M230" s="1">
        <f>'[1]Electricity and CHPs'!I$90</f>
        <v>3.1331970745377444E-4</v>
      </c>
      <c r="N230" s="1">
        <f>'[1]Electricity and CHPs'!J$90</f>
        <v>3.1386321091420532E-4</v>
      </c>
      <c r="O230" s="1">
        <f>'[1]Electricity and CHPs'!K$90</f>
        <v>3.1549494275742387E-4</v>
      </c>
      <c r="P230" s="1">
        <f>'[1]Electricity and CHPs'!L$90</f>
        <v>3.193863036971898E-4</v>
      </c>
      <c r="Q230" s="1">
        <f>'[1]Electricity and CHPs'!M$90</f>
        <v>5.4164293879879516E-4</v>
      </c>
      <c r="S230" s="3"/>
    </row>
    <row r="231" spans="1:19" x14ac:dyDescent="0.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O231" si="225">+G232</f>
        <v>3.8576989161071156</v>
      </c>
      <c r="H231" s="1">
        <f t="shared" si="225"/>
        <v>3.9745921197646603</v>
      </c>
      <c r="I231" s="1">
        <f t="shared" si="225"/>
        <v>4.4338933211905696</v>
      </c>
      <c r="J231" s="1">
        <f t="shared" si="225"/>
        <v>5.6719041851008525</v>
      </c>
      <c r="K231" s="1">
        <f t="shared" si="225"/>
        <v>5.9612293972838666</v>
      </c>
      <c r="L231" s="1">
        <f t="shared" si="225"/>
        <v>6.2653136644098417</v>
      </c>
      <c r="M231" s="1">
        <f t="shared" si="225"/>
        <v>6.5870201410791207</v>
      </c>
      <c r="N231" s="1">
        <f t="shared" si="225"/>
        <v>6.9230245701254027</v>
      </c>
      <c r="O231" s="1">
        <f t="shared" si="225"/>
        <v>7.2763040039433093</v>
      </c>
      <c r="P231" s="1">
        <f>+P232</f>
        <v>7.6474756217842543</v>
      </c>
      <c r="Q231" s="1">
        <f>+Q232</f>
        <v>8.039190142305646</v>
      </c>
      <c r="S231" s="3"/>
    </row>
    <row r="232" spans="1:19" x14ac:dyDescent="0.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3.8576989161071156</v>
      </c>
      <c r="H232" s="1">
        <f>'[1]Electricity and CHPs'!D$123</f>
        <v>3.9745921197646603</v>
      </c>
      <c r="I232" s="1">
        <f>'[1]Electricity and CHPs'!E$123</f>
        <v>4.4338933211905696</v>
      </c>
      <c r="J232" s="1">
        <f>'[1]Electricity and CHPs'!F$123</f>
        <v>5.6719041851008525</v>
      </c>
      <c r="K232" s="1">
        <f>'[1]Electricity and CHPs'!G$123</f>
        <v>5.9612293972838666</v>
      </c>
      <c r="L232" s="1">
        <f>'[1]Electricity and CHPs'!H$123</f>
        <v>6.2653136644098417</v>
      </c>
      <c r="M232" s="1">
        <f>'[1]Electricity and CHPs'!I$123</f>
        <v>6.5870201410791207</v>
      </c>
      <c r="N232" s="1">
        <f>'[1]Electricity and CHPs'!J$123</f>
        <v>6.9230245701254027</v>
      </c>
      <c r="O232" s="1">
        <f>'[1]Electricity and CHPs'!K$123</f>
        <v>7.2763040039433093</v>
      </c>
      <c r="P232" s="1">
        <f>'[1]Electricity and CHPs'!L$123</f>
        <v>7.6474756217842543</v>
      </c>
      <c r="Q232" s="1">
        <f>'[1]Electricity and CHPs'!M$123</f>
        <v>8.039190142305646</v>
      </c>
      <c r="S232" s="3"/>
    </row>
    <row r="233" spans="1:19" x14ac:dyDescent="0.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6.5041372644158955</v>
      </c>
      <c r="G233" s="1">
        <f t="shared" ref="G233:K233" si="226">SUM(G234,G240,G273,G282,G288)</f>
        <v>7.6607451263740876</v>
      </c>
      <c r="H233" s="1">
        <f t="shared" si="226"/>
        <v>9.3011422422202852</v>
      </c>
      <c r="I233" s="1">
        <f t="shared" si="226"/>
        <v>10.592916999165716</v>
      </c>
      <c r="J233" s="1">
        <f t="shared" si="226"/>
        <v>10.536479870588856</v>
      </c>
      <c r="K233" s="1">
        <f t="shared" si="226"/>
        <v>13.936388264579119</v>
      </c>
      <c r="L233" s="1">
        <f t="shared" ref="L233:O233" si="227">SUM(L234,L240,L273,L282,L288)</f>
        <v>17.143682049105003</v>
      </c>
      <c r="M233" s="1">
        <f t="shared" si="227"/>
        <v>17.664960351897957</v>
      </c>
      <c r="N233" s="1">
        <f t="shared" si="227"/>
        <v>18.477364989409605</v>
      </c>
      <c r="O233" s="1">
        <f t="shared" si="227"/>
        <v>19.483082031079597</v>
      </c>
      <c r="P233" s="1">
        <f>SUM(P234,P240,P273,P282,P288)</f>
        <v>19.850742334261863</v>
      </c>
      <c r="Q233" s="1">
        <f>SUM(Q234,Q240,Q273,Q282,Q288)</f>
        <v>19.894937710764449</v>
      </c>
      <c r="S233" s="3"/>
    </row>
    <row r="234" spans="1:19" x14ac:dyDescent="0.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0.92933060974984127</v>
      </c>
      <c r="G234" s="1">
        <f t="shared" ref="G234:O234" si="228">+G235</f>
        <v>2.072278539732801</v>
      </c>
      <c r="H234" s="1">
        <f t="shared" si="228"/>
        <v>9.0992925945108813E-2</v>
      </c>
      <c r="I234" s="1">
        <f t="shared" si="228"/>
        <v>1.3164212358740199</v>
      </c>
      <c r="J234" s="1">
        <f t="shared" si="228"/>
        <v>0.84865969751812875</v>
      </c>
      <c r="K234" s="1">
        <f t="shared" si="228"/>
        <v>0</v>
      </c>
      <c r="L234" s="1">
        <f t="shared" si="228"/>
        <v>0</v>
      </c>
      <c r="M234" s="1">
        <f t="shared" si="228"/>
        <v>0</v>
      </c>
      <c r="N234" s="1">
        <f t="shared" si="228"/>
        <v>0.26171623929181637</v>
      </c>
      <c r="O234" s="1">
        <f t="shared" si="228"/>
        <v>0.26122462936035468</v>
      </c>
      <c r="P234" s="1">
        <f>+P235</f>
        <v>0.37781685127118259</v>
      </c>
      <c r="Q234" s="1">
        <f>+Q235</f>
        <v>0.3752068843669456</v>
      </c>
      <c r="S234" s="3"/>
    </row>
    <row r="235" spans="1:19" x14ac:dyDescent="0.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0.92933060974984127</v>
      </c>
      <c r="G235" s="1">
        <f>'[1]Electricity and CHPs'!C$104</f>
        <v>2.072278539732801</v>
      </c>
      <c r="H235" s="1">
        <f>'[1]Electricity and CHPs'!D$104</f>
        <v>9.0992925945108813E-2</v>
      </c>
      <c r="I235" s="1">
        <f>'[1]Electricity and CHPs'!E$104</f>
        <v>1.3164212358740199</v>
      </c>
      <c r="J235" s="1">
        <f>'[1]Electricity and CHPs'!F$104</f>
        <v>0.84865969751812875</v>
      </c>
      <c r="K235" s="1">
        <f>'[1]Electricity and CHPs'!G$104</f>
        <v>0</v>
      </c>
      <c r="L235" s="1">
        <f>'[1]Electricity and CHPs'!H$104</f>
        <v>0</v>
      </c>
      <c r="M235" s="1">
        <f>'[1]Electricity and CHPs'!I$104</f>
        <v>0</v>
      </c>
      <c r="N235" s="1">
        <f>'[1]Electricity and CHPs'!J$104</f>
        <v>0.26171623929181637</v>
      </c>
      <c r="O235" s="1">
        <f>'[1]Electricity and CHPs'!K$104</f>
        <v>0.26122462936035468</v>
      </c>
      <c r="P235" s="1">
        <f>'[1]Electricity and CHPs'!L$104</f>
        <v>0.37781685127118259</v>
      </c>
      <c r="Q235" s="1">
        <f>'[1]Electricity and CHPs'!M$104</f>
        <v>0.3752068843669456</v>
      </c>
      <c r="S235" s="3"/>
    </row>
    <row r="236" spans="1:19" x14ac:dyDescent="0.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0.92933060974984127</v>
      </c>
      <c r="G236" s="1">
        <f t="shared" ref="G236:O236" si="229">G237</f>
        <v>2.072278539732801</v>
      </c>
      <c r="H236" s="1">
        <f t="shared" si="229"/>
        <v>9.0992925945108813E-2</v>
      </c>
      <c r="I236" s="1">
        <f t="shared" si="229"/>
        <v>1.3164212358740199</v>
      </c>
      <c r="J236" s="1">
        <f t="shared" si="229"/>
        <v>0.84865969751812875</v>
      </c>
      <c r="K236" s="1">
        <f t="shared" si="229"/>
        <v>0</v>
      </c>
      <c r="L236" s="1">
        <f t="shared" si="229"/>
        <v>0</v>
      </c>
      <c r="M236" s="1">
        <f t="shared" si="229"/>
        <v>0</v>
      </c>
      <c r="N236" s="1">
        <f t="shared" si="229"/>
        <v>0.26171623929181637</v>
      </c>
      <c r="O236" s="1">
        <f t="shared" si="229"/>
        <v>0.26122462936035468</v>
      </c>
      <c r="P236" s="1">
        <f>P237</f>
        <v>0.37781685127118259</v>
      </c>
      <c r="Q236" s="1">
        <f>Q237</f>
        <v>0.3752068843669456</v>
      </c>
      <c r="S236" s="3"/>
    </row>
    <row r="237" spans="1:19" x14ac:dyDescent="0.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0.92933060974984127</v>
      </c>
      <c r="G237" s="1">
        <f t="shared" ref="G237:K237" si="230">G235-G239</f>
        <v>2.072278539732801</v>
      </c>
      <c r="H237" s="1">
        <f t="shared" si="230"/>
        <v>9.0992925945108813E-2</v>
      </c>
      <c r="I237" s="1">
        <f t="shared" si="230"/>
        <v>1.3164212358740199</v>
      </c>
      <c r="J237" s="1">
        <f t="shared" si="230"/>
        <v>0.84865969751812875</v>
      </c>
      <c r="K237" s="1">
        <f t="shared" si="230"/>
        <v>0</v>
      </c>
      <c r="L237" s="1">
        <f t="shared" ref="L237:O237" si="231">L235-L239</f>
        <v>0</v>
      </c>
      <c r="M237" s="1">
        <f t="shared" si="231"/>
        <v>0</v>
      </c>
      <c r="N237" s="1">
        <f t="shared" si="231"/>
        <v>0.26171623929181637</v>
      </c>
      <c r="O237" s="1">
        <f t="shared" si="231"/>
        <v>0.26122462936035468</v>
      </c>
      <c r="P237" s="1">
        <f>P235-P239</f>
        <v>0.37781685127118259</v>
      </c>
      <c r="Q237" s="1">
        <f>Q235-Q239</f>
        <v>0.3752068843669456</v>
      </c>
      <c r="S237" s="3"/>
    </row>
    <row r="238" spans="1:19" x14ac:dyDescent="0.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O238" si="232">G239</f>
        <v>0</v>
      </c>
      <c r="H238" s="1">
        <f t="shared" si="232"/>
        <v>0</v>
      </c>
      <c r="I238" s="1">
        <f t="shared" si="232"/>
        <v>0</v>
      </c>
      <c r="J238" s="1">
        <f t="shared" si="232"/>
        <v>0</v>
      </c>
      <c r="K238" s="1">
        <f t="shared" si="232"/>
        <v>0</v>
      </c>
      <c r="L238" s="1">
        <f t="shared" si="232"/>
        <v>0</v>
      </c>
      <c r="M238" s="1">
        <f t="shared" si="232"/>
        <v>0</v>
      </c>
      <c r="N238" s="1">
        <f t="shared" si="232"/>
        <v>0</v>
      </c>
      <c r="O238" s="1">
        <f t="shared" si="232"/>
        <v>0</v>
      </c>
      <c r="P238" s="1">
        <f>P239</f>
        <v>0</v>
      </c>
      <c r="Q238" s="1">
        <f>Q239</f>
        <v>0</v>
      </c>
      <c r="S238" s="3"/>
    </row>
    <row r="239" spans="1:19" x14ac:dyDescent="0.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33">F235*IFERROR(F81/F77,0)</f>
        <v>0</v>
      </c>
      <c r="G239" s="1">
        <f t="shared" si="233"/>
        <v>0</v>
      </c>
      <c r="H239" s="1">
        <f t="shared" si="233"/>
        <v>0</v>
      </c>
      <c r="I239" s="1">
        <f t="shared" si="233"/>
        <v>0</v>
      </c>
      <c r="J239" s="1">
        <f t="shared" si="233"/>
        <v>0</v>
      </c>
      <c r="K239" s="1">
        <f t="shared" si="233"/>
        <v>0</v>
      </c>
      <c r="L239" s="1">
        <f t="shared" ref="L239:O239" si="234">L235*IFERROR(L81/L77,0)</f>
        <v>0</v>
      </c>
      <c r="M239" s="1">
        <f t="shared" si="234"/>
        <v>0</v>
      </c>
      <c r="N239" s="1">
        <f t="shared" si="234"/>
        <v>0</v>
      </c>
      <c r="O239" s="1">
        <f t="shared" si="234"/>
        <v>0</v>
      </c>
      <c r="P239" s="1">
        <f>P235*IFERROR(P81/P77,0)</f>
        <v>0</v>
      </c>
      <c r="Q239" s="1">
        <f>Q235*IFERROR(Q81/Q77,0)</f>
        <v>0</v>
      </c>
      <c r="S239" s="3"/>
    </row>
    <row r="240" spans="1:19" x14ac:dyDescent="0.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2.9804007542299322</v>
      </c>
      <c r="G240" s="1">
        <f t="shared" ref="G240:K240" si="235">SUM(G241:G250)</f>
        <v>2.8713330550659295</v>
      </c>
      <c r="H240" s="1">
        <f t="shared" si="235"/>
        <v>3.2967453745062141</v>
      </c>
      <c r="I240" s="1">
        <f t="shared" si="235"/>
        <v>3.7672271912757354</v>
      </c>
      <c r="J240" s="1">
        <f t="shared" si="235"/>
        <v>3.9769896275321646</v>
      </c>
      <c r="K240" s="1">
        <f t="shared" si="235"/>
        <v>3.3272336436039733</v>
      </c>
      <c r="L240" s="1">
        <f t="shared" ref="L240:O240" si="236">SUM(L241:L250)</f>
        <v>3.6565329681176024</v>
      </c>
      <c r="M240" s="1">
        <f t="shared" si="236"/>
        <v>3.8595552328612865</v>
      </c>
      <c r="N240" s="1">
        <f t="shared" si="236"/>
        <v>4.5049406359469897</v>
      </c>
      <c r="O240" s="1">
        <f t="shared" si="236"/>
        <v>5.4668891997167854</v>
      </c>
      <c r="P240" s="1">
        <f>SUM(P241:P250)</f>
        <v>5.7516923218873979</v>
      </c>
      <c r="Q240" s="1">
        <f>SUM(Q241:Q250)</f>
        <v>5.776769876949257</v>
      </c>
      <c r="S240" s="3"/>
    </row>
    <row r="241" spans="1:19" x14ac:dyDescent="0.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0.76930782645403428</v>
      </c>
      <c r="G241" s="1">
        <f>'[1]Electricity and CHPs_IN'!C$39*0.75-G88-G242</f>
        <v>0.47353281410956449</v>
      </c>
      <c r="H241" s="1">
        <f>'[1]Electricity and CHPs_IN'!D$39*0.75-H88-H242</f>
        <v>6.0773067599211895E-2</v>
      </c>
      <c r="I241" s="1">
        <f>'[1]Electricity and CHPs_IN'!E$39*0.75-I88-I242</f>
        <v>0.45068866016299114</v>
      </c>
      <c r="J241" s="1">
        <f>'[1]Electricity and CHPs'!F$103-J242</f>
        <v>0.4239291129499419</v>
      </c>
      <c r="K241" s="1">
        <f>'[1]Electricity and CHPs'!G$103-K242</f>
        <v>0.74884096896742181</v>
      </c>
      <c r="L241" s="1">
        <f>'[1]Electricity and CHPs'!H$103-L242</f>
        <v>0.47290811392110488</v>
      </c>
      <c r="M241" s="1">
        <f>'[1]Electricity and CHPs'!I$103-M242</f>
        <v>0.46851197849068937</v>
      </c>
      <c r="N241" s="1">
        <f>'[1]Electricity and CHPs'!J$103-N242</f>
        <v>0.46824721783694156</v>
      </c>
      <c r="O241" s="1">
        <f>'[1]Electricity and CHPs'!K$103-O242</f>
        <v>0.39292596101320387</v>
      </c>
      <c r="P241" s="1">
        <f>'[1]Electricity and CHPs'!L$103-P242</f>
        <v>0.46835211710008873</v>
      </c>
      <c r="Q241" s="1">
        <f>'[1]Electricity and CHPs'!M$103-Q242</f>
        <v>0.46865682275968257</v>
      </c>
      <c r="S241" s="3"/>
    </row>
    <row r="242" spans="1:19" x14ac:dyDescent="0.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5.1398991182091186E-3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0.27341908598960152</v>
      </c>
      <c r="M242" s="1" cm="1">
        <f t="array" ref="M242">SUMPRODUCT((ISNUMBER(SEARCH("ITOT-CHPNGACCS",[1]OUT_Electricity_CHP!$B$1:$B$10000)))*1,([1]OUT_Electricity_CHP!$C$1:$C$10000="Var_Fout")*1,([1]OUT_Electricity_CHP!$D$1:$D$10000="ITOT_LTH_CHP")*1,[1]OUT_Electricity_CHP!L$1:L$10000)</f>
        <v>0.27090006439131809</v>
      </c>
      <c r="N242" s="1" cm="1">
        <f t="array" ref="N242">SUMPRODUCT((ISNUMBER(SEARCH("ITOT-CHPNGACCS",[1]OUT_Electricity_CHP!$B$1:$B$10000)))*1,([1]OUT_Electricity_CHP!$C$1:$C$10000="Var_Fout")*1,([1]OUT_Electricity_CHP!$D$1:$D$10000="ITOT_LTH_CHP")*1,[1]OUT_Electricity_CHP!M$1:M$10000)</f>
        <v>0.27073918177023493</v>
      </c>
      <c r="O242" s="1" cm="1">
        <f t="array" ref="O242">SUMPRODUCT((ISNUMBER(SEARCH("ITOT-CHPNGACCS",[1]OUT_Electricity_CHP!$B$1:$B$10000)))*1,([1]OUT_Electricity_CHP!$C$1:$C$10000="Var_Fout")*1,([1]OUT_Electricity_CHP!$D$1:$D$10000="ITOT_LTH_CHP")*1,[1]OUT_Electricity_CHP!N$1:N$10000)</f>
        <v>0.22719489778061638</v>
      </c>
      <c r="P242" s="1" cm="1">
        <f t="array" ref="P242">SUMPRODUCT((ISNUMBER(SEARCH("ITOT-CHPNGACCS",[1]OUT_Electricity_CHP!$B$1:$B$10000)))*1,([1]OUT_Electricity_CHP!$C$1:$C$10000="Var_Fout")*1,([1]OUT_Electricity_CHP!$D$1:$D$10000="ITOT_LTH_CHP")*1,[1]OUT_Electricity_CHP!O$1:O$10000)</f>
        <v>0.27080474356481188</v>
      </c>
      <c r="Q242" s="1" cm="1">
        <f t="array" ref="Q242">SUMPRODUCT((ISNUMBER(SEARCH("ITOT-CHPNGACCS",[1]OUT_Electricity_CHP!$B$1:$B$10000)))*1,([1]OUT_Electricity_CHP!$C$1:$C$10000="Var_Fout")*1,([1]OUT_Electricity_CHP!$D$1:$D$10000="ITOT_LTH_CHP")*1,[1]OUT_Electricity_CHP!P$1:P$10000)</f>
        <v>0.27097900858774271</v>
      </c>
      <c r="S242" s="3"/>
    </row>
    <row r="243" spans="1:19" x14ac:dyDescent="0.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1.4879417098979028E-4</v>
      </c>
      <c r="J243" s="1">
        <f>'[1]Electricity and CHPs'!F$107</f>
        <v>2.2432635994312834E-4</v>
      </c>
      <c r="K243" s="1">
        <f>'[1]Electricity and CHPs'!G$107</f>
        <v>1.9217257539161515E-3</v>
      </c>
      <c r="L243" s="1">
        <f>'[1]Electricity and CHPs'!H$107</f>
        <v>1.2738342101888038E-3</v>
      </c>
      <c r="M243" s="1">
        <f>'[1]Electricity and CHPs'!I$107</f>
        <v>3.9569551350233185E-4</v>
      </c>
      <c r="N243" s="1">
        <f>'[1]Electricity and CHPs'!J$107</f>
        <v>5.5205535408067317E-4</v>
      </c>
      <c r="O243" s="1">
        <f>'[1]Electricity and CHPs'!K$107</f>
        <v>1.1430045131604226E-3</v>
      </c>
      <c r="P243" s="1">
        <f>'[1]Electricity and CHPs'!L$107</f>
        <v>4.9050050728856179E-4</v>
      </c>
      <c r="Q243" s="1">
        <f>'[1]Electricity and CHPs'!M$107</f>
        <v>3.1865124747921652E-4</v>
      </c>
      <c r="S243" s="3"/>
    </row>
    <row r="244" spans="1:19" x14ac:dyDescent="0.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3.3692168423317098E-2</v>
      </c>
      <c r="G244" s="1">
        <f>'[1]Electricity and CHPs'!C$109</f>
        <v>5.8161990361386001E-3</v>
      </c>
      <c r="H244" s="1">
        <f>'[1]Electricity and CHPs'!D$109</f>
        <v>1.7563509321741489E-2</v>
      </c>
      <c r="I244" s="1">
        <f>'[1]Electricity and CHPs'!E$109</f>
        <v>1.3534560311222337E-2</v>
      </c>
      <c r="J244" s="1">
        <f>'[1]Electricity and CHPs'!F$109</f>
        <v>1.3059546224028681E-2</v>
      </c>
      <c r="K244" s="1">
        <f>'[1]Electricity and CHPs'!G$109</f>
        <v>5.6504516437718023E-3</v>
      </c>
      <c r="L244" s="1">
        <f>'[1]Electricity and CHPs'!H$109</f>
        <v>0</v>
      </c>
      <c r="M244" s="1">
        <f>'[1]Electricity and CHPs'!I$109</f>
        <v>0</v>
      </c>
      <c r="N244" s="1">
        <f>'[1]Electricity and CHPs'!J$109</f>
        <v>6.7146253278946126E-3</v>
      </c>
      <c r="O244" s="1">
        <f>'[1]Electricity and CHPs'!K$109</f>
        <v>8.953124122691879E-3</v>
      </c>
      <c r="P244" s="1">
        <f>'[1]Electricity and CHPs'!L$109</f>
        <v>1.1308826355198302E-2</v>
      </c>
      <c r="Q244" s="1">
        <f>'[1]Electricity and CHPs'!M$109</f>
        <v>1.5717153520252672E-2</v>
      </c>
      <c r="S244" s="3"/>
    </row>
    <row r="245" spans="1:19" x14ac:dyDescent="0.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M245" s="1">
        <f>'[1]Electricity and CHPs'!I$111</f>
        <v>0</v>
      </c>
      <c r="N245" s="1">
        <f>'[1]Electricity and CHPs'!J$111</f>
        <v>0</v>
      </c>
      <c r="O245" s="1">
        <f>'[1]Electricity and CHPs'!K$111</f>
        <v>0</v>
      </c>
      <c r="P245" s="1">
        <f>'[1]Electricity and CHPs'!L$111</f>
        <v>0</v>
      </c>
      <c r="Q245" s="1">
        <f>'[1]Electricity and CHPs'!M$111</f>
        <v>0</v>
      </c>
      <c r="S245" s="3"/>
    </row>
    <row r="246" spans="1:19" x14ac:dyDescent="0.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6.0512014408762027E-2</v>
      </c>
      <c r="G246" s="1">
        <f>'[1]Electricity and CHPs'!C$112</f>
        <v>6.3437565610057992E-2</v>
      </c>
      <c r="H246" s="1">
        <f>'[1]Electricity and CHPs'!D$112</f>
        <v>0.25459517423333744</v>
      </c>
      <c r="I246" s="1">
        <f>'[1]Electricity and CHPs'!E$112</f>
        <v>0.2480676395448817</v>
      </c>
      <c r="J246" s="1">
        <f>'[1]Electricity and CHPs'!F$112</f>
        <v>0.24512242935529091</v>
      </c>
      <c r="K246" s="1">
        <f>'[1]Electricity and CHPs'!G$112</f>
        <v>0.10347334040513101</v>
      </c>
      <c r="L246" s="1">
        <f>'[1]Electricity and CHPs'!H$112</f>
        <v>0</v>
      </c>
      <c r="M246" s="1">
        <f>'[1]Electricity and CHPs'!I$112</f>
        <v>0</v>
      </c>
      <c r="N246" s="1">
        <f>'[1]Electricity and CHPs'!J$112</f>
        <v>7.1858416615581955E-3</v>
      </c>
      <c r="O246" s="1">
        <f>'[1]Electricity and CHPs'!K$112</f>
        <v>1.5493695235126812E-2</v>
      </c>
      <c r="P246" s="1">
        <f>'[1]Electricity and CHPs'!L$112</f>
        <v>1.1930945143233521E-2</v>
      </c>
      <c r="Q246" s="1">
        <f>'[1]Electricity and CHPs'!M$112</f>
        <v>2.8684298718248142E-2</v>
      </c>
      <c r="S246" s="3"/>
    </row>
    <row r="247" spans="1:19" x14ac:dyDescent="0.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M247" s="1">
        <f>'[1]Electricity and CHPs'!I$114</f>
        <v>0</v>
      </c>
      <c r="N247" s="1">
        <f>'[1]Electricity and CHPs'!J$114</f>
        <v>0</v>
      </c>
      <c r="O247" s="1">
        <f>'[1]Electricity and CHPs'!K$114</f>
        <v>0</v>
      </c>
      <c r="P247" s="1">
        <f>'[1]Electricity and CHPs'!L$114</f>
        <v>0</v>
      </c>
      <c r="Q247" s="1">
        <f>'[1]Electricity and CHPs'!M$114</f>
        <v>0</v>
      </c>
      <c r="S247" s="3"/>
    </row>
    <row r="248" spans="1:19" x14ac:dyDescent="0.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1.4243091839913171</v>
      </c>
      <c r="G248" s="1">
        <f>'[1]Electricity and CHPs'!C$115</f>
        <v>1.5783396211976675</v>
      </c>
      <c r="H248" s="1">
        <f>'[1]Electricity and CHPs'!D$115</f>
        <v>1.4830354095727802</v>
      </c>
      <c r="I248" s="1">
        <f>'[1]Electricity and CHPs'!E$115</f>
        <v>1.3240211054326432</v>
      </c>
      <c r="J248" s="1">
        <f>'[1]Electricity and CHPs'!F$115</f>
        <v>1.52024641131919</v>
      </c>
      <c r="K248" s="1">
        <f>'[1]Electricity and CHPs'!G$115</f>
        <v>1.3128035664411679</v>
      </c>
      <c r="L248" s="1">
        <f>'[1]Electricity and CHPs'!H$115</f>
        <v>2.908931933996707</v>
      </c>
      <c r="M248" s="1">
        <f>'[1]Electricity and CHPs'!I$115</f>
        <v>3.1197474944657766</v>
      </c>
      <c r="N248" s="1">
        <f>'[1]Electricity and CHPs'!J$115</f>
        <v>3.748427761327275</v>
      </c>
      <c r="O248" s="1">
        <f>'[1]Electricity and CHPs'!K$115</f>
        <v>4.8180961995324578</v>
      </c>
      <c r="P248" s="1">
        <f>'[1]Electricity and CHPs'!L$115</f>
        <v>4.9864493905591152</v>
      </c>
      <c r="Q248" s="1">
        <f>'[1]Electricity and CHPs'!M$115</f>
        <v>4.9869489716721223</v>
      </c>
      <c r="S248" s="3"/>
    </row>
    <row r="249" spans="1:19" x14ac:dyDescent="0.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0.69257956095250173</v>
      </c>
      <c r="G249" s="1">
        <f>'[1]Electricity and CHPs'!C$116</f>
        <v>0.75020685511250096</v>
      </c>
      <c r="H249" s="1">
        <f>'[1]Electricity and CHPs'!D$116</f>
        <v>1.480778213779143</v>
      </c>
      <c r="I249" s="1">
        <f>'[1]Electricity and CHPs'!E$116</f>
        <v>1.7307664316530071</v>
      </c>
      <c r="J249" s="1">
        <f>'[1]Electricity and CHPs'!F$116</f>
        <v>1.7744078013237699</v>
      </c>
      <c r="K249" s="1">
        <f>'[1]Electricity and CHPs'!G$116</f>
        <v>1.1494036912743557</v>
      </c>
      <c r="L249" s="1">
        <f>'[1]Electricity and CHPs'!H$116</f>
        <v>0</v>
      </c>
      <c r="M249" s="1">
        <f>'[1]Electricity and CHPs'!I$116</f>
        <v>0</v>
      </c>
      <c r="N249" s="1">
        <f>'[1]Electricity and CHPs'!J$116</f>
        <v>2.8193899226296201E-3</v>
      </c>
      <c r="O249" s="1">
        <f>'[1]Electricity and CHPs'!K$116</f>
        <v>2.6414838209352859E-3</v>
      </c>
      <c r="P249" s="1">
        <f>'[1]Electricity and CHPs'!L$116</f>
        <v>2.0262279434118194E-3</v>
      </c>
      <c r="Q249" s="1">
        <f>'[1]Electricity and CHPs'!M$116</f>
        <v>4.7241894275221984E-3</v>
      </c>
      <c r="S249" s="3"/>
    </row>
    <row r="250" spans="1:19" x14ac:dyDescent="0.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'[1]Electricity and CHPs'!F$118</f>
        <v>0</v>
      </c>
      <c r="K250" s="1">
        <f>'[1]Electricity and CHPs'!G$118</f>
        <v>0</v>
      </c>
      <c r="L250" s="1">
        <f>'[1]Electricity and CHPs'!H$118</f>
        <v>0</v>
      </c>
      <c r="M250" s="1">
        <f>'[1]Electricity and CHPs'!I$118</f>
        <v>0</v>
      </c>
      <c r="N250" s="1">
        <f>'[1]Electricity and CHPs'!J$118</f>
        <v>2.5456274637467518E-4</v>
      </c>
      <c r="O250" s="1">
        <f>'[1]Electricity and CHPs'!K$118</f>
        <v>4.4083369859346201E-4</v>
      </c>
      <c r="P250" s="1">
        <f>'[1]Electricity and CHPs'!L$118</f>
        <v>3.29570714249954E-4</v>
      </c>
      <c r="Q250" s="1">
        <f>'[1]Electricity and CHPs'!M$118</f>
        <v>7.4078101620804037E-4</v>
      </c>
      <c r="S250" s="3"/>
    </row>
    <row r="251" spans="1:19" x14ac:dyDescent="0.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1.5152996274171866</v>
      </c>
      <c r="G251" s="1">
        <f t="shared" ref="G251:K251" si="237">SUM(G252:G261)</f>
        <v>1.237117565194862</v>
      </c>
      <c r="H251" s="1">
        <f t="shared" si="237"/>
        <v>1.6944158589771239</v>
      </c>
      <c r="I251" s="1">
        <f t="shared" si="237"/>
        <v>2.3906736831699495</v>
      </c>
      <c r="J251" s="1">
        <f t="shared" si="237"/>
        <v>2.3865535140820802</v>
      </c>
      <c r="K251" s="1">
        <f t="shared" si="237"/>
        <v>1.8441241814781908</v>
      </c>
      <c r="L251" s="1">
        <f t="shared" ref="L251:O251" si="238">SUM(L252:L261)</f>
        <v>0.58381257023439193</v>
      </c>
      <c r="M251" s="1">
        <f t="shared" si="238"/>
        <v>0.339720094793728</v>
      </c>
      <c r="N251" s="1">
        <f t="shared" si="238"/>
        <v>4.5810045216002713E-3</v>
      </c>
      <c r="O251" s="1">
        <f t="shared" si="238"/>
        <v>5.6108504091430577E-3</v>
      </c>
      <c r="P251" s="1">
        <f>SUM(P252:P261)</f>
        <v>4.9512888581785264E-3</v>
      </c>
      <c r="Q251" s="1">
        <f>SUM(Q252:Q261)</f>
        <v>6.9462489079899024E-3</v>
      </c>
      <c r="S251" s="3"/>
    </row>
    <row r="252" spans="1:19" x14ac:dyDescent="0.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9">F241-F263</f>
        <v>0.74914091502736402</v>
      </c>
      <c r="G252" s="1">
        <f t="shared" si="239"/>
        <v>0.45306940212256486</v>
      </c>
      <c r="H252" s="1">
        <f t="shared" si="239"/>
        <v>5.6775808442212972E-2</v>
      </c>
      <c r="I252" s="1">
        <f t="shared" si="239"/>
        <v>0.44099821353505897</v>
      </c>
      <c r="J252" s="1">
        <f t="shared" si="239"/>
        <v>0.41181736355496923</v>
      </c>
      <c r="K252" s="1">
        <f t="shared" si="239"/>
        <v>0.68553173158502922</v>
      </c>
      <c r="L252" s="1">
        <f t="shared" ref="L252:O252" si="240">L241-L263</f>
        <v>0.36930085549926106</v>
      </c>
      <c r="M252" s="1">
        <f t="shared" si="240"/>
        <v>0.21514094201021144</v>
      </c>
      <c r="N252" s="1">
        <f t="shared" si="240"/>
        <v>2.8354343912733171E-3</v>
      </c>
      <c r="O252" s="1">
        <f t="shared" si="240"/>
        <v>3.3980773351245941E-3</v>
      </c>
      <c r="P252" s="1">
        <f t="shared" ref="P252:Q261" si="241">P241-P263</f>
        <v>3.0303404633569841E-3</v>
      </c>
      <c r="Q252" s="1">
        <f t="shared" si="241"/>
        <v>4.1217026816657842E-3</v>
      </c>
      <c r="S252" s="3"/>
    </row>
    <row r="253" spans="1:19" x14ac:dyDescent="0.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9"/>
        <v>0</v>
      </c>
      <c r="G253" s="1">
        <f t="shared" si="239"/>
        <v>0</v>
      </c>
      <c r="H253" s="1">
        <f t="shared" si="239"/>
        <v>0</v>
      </c>
      <c r="I253" s="1">
        <f t="shared" si="239"/>
        <v>0</v>
      </c>
      <c r="J253" s="1">
        <f t="shared" si="239"/>
        <v>0</v>
      </c>
      <c r="K253" s="1">
        <f t="shared" si="239"/>
        <v>4.7053567962993675E-3</v>
      </c>
      <c r="L253" s="1">
        <f t="shared" ref="L253:O253" si="242">L242-L264</f>
        <v>0.21351695898927059</v>
      </c>
      <c r="M253" s="1">
        <f t="shared" si="242"/>
        <v>0.12439744919976115</v>
      </c>
      <c r="N253" s="1">
        <f t="shared" si="242"/>
        <v>1.6394399321852382E-3</v>
      </c>
      <c r="O253" s="1">
        <f t="shared" si="242"/>
        <v>1.9648124822638779E-3</v>
      </c>
      <c r="P253" s="1">
        <f t="shared" si="241"/>
        <v>1.7521658216783087E-3</v>
      </c>
      <c r="Q253" s="1">
        <f t="shared" si="241"/>
        <v>2.3831828581826753E-3</v>
      </c>
      <c r="S253" s="3"/>
    </row>
    <row r="254" spans="1:19" x14ac:dyDescent="0.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9"/>
        <v>0</v>
      </c>
      <c r="G254" s="1">
        <f t="shared" si="239"/>
        <v>0</v>
      </c>
      <c r="H254" s="1">
        <f t="shared" si="239"/>
        <v>0</v>
      </c>
      <c r="I254" s="1">
        <f t="shared" si="239"/>
        <v>1.4559488487506417E-4</v>
      </c>
      <c r="J254" s="1">
        <f t="shared" si="239"/>
        <v>2.1791730576090605E-4</v>
      </c>
      <c r="K254" s="1">
        <f t="shared" si="239"/>
        <v>1.7592573567793116E-3</v>
      </c>
      <c r="L254" s="1">
        <f t="shared" ref="L254:O254" si="243">L243-L265</f>
        <v>9.9475574586024569E-4</v>
      </c>
      <c r="M254" s="1">
        <f t="shared" si="243"/>
        <v>1.8170358375543176E-4</v>
      </c>
      <c r="N254" s="1">
        <f t="shared" si="243"/>
        <v>3.3429280030276495E-6</v>
      </c>
      <c r="O254" s="1">
        <f t="shared" si="243"/>
        <v>9.8848590205143777E-6</v>
      </c>
      <c r="P254" s="1">
        <f t="shared" si="241"/>
        <v>3.1736453840262554E-6</v>
      </c>
      <c r="Q254" s="1">
        <f t="shared" si="241"/>
        <v>2.8024465610409035E-6</v>
      </c>
      <c r="S254" s="3"/>
    </row>
    <row r="255" spans="1:19" x14ac:dyDescent="0.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3.2808949829926007E-2</v>
      </c>
      <c r="G255" s="1">
        <f t="shared" ref="G255:K255" si="244">G244-G266</f>
        <v>5.5648557848821919E-3</v>
      </c>
      <c r="H255" s="1">
        <f t="shared" si="244"/>
        <v>1.6408295322534419E-2</v>
      </c>
      <c r="I255" s="1">
        <f t="shared" si="244"/>
        <v>1.3243548031745421E-2</v>
      </c>
      <c r="J255" s="1">
        <f t="shared" si="244"/>
        <v>1.2686432072993307E-2</v>
      </c>
      <c r="K255" s="1">
        <f t="shared" si="244"/>
        <v>5.1727456965043224E-3</v>
      </c>
      <c r="L255" s="1">
        <f t="shared" ref="L255:O255" si="245">L244-L266</f>
        <v>0</v>
      </c>
      <c r="M255" s="1">
        <f t="shared" si="245"/>
        <v>0</v>
      </c>
      <c r="N255" s="1">
        <f t="shared" si="245"/>
        <v>4.0659888311086329E-5</v>
      </c>
      <c r="O255" s="1">
        <f t="shared" si="245"/>
        <v>7.7427839284089847E-5</v>
      </c>
      <c r="P255" s="1">
        <f t="shared" si="241"/>
        <v>7.3170575825348347E-5</v>
      </c>
      <c r="Q255" s="1">
        <f t="shared" si="241"/>
        <v>1.3822786880838059E-4</v>
      </c>
      <c r="S255" s="3"/>
    </row>
    <row r="256" spans="1:19" x14ac:dyDescent="0.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46">F245-F267</f>
        <v>0</v>
      </c>
      <c r="G256" s="1">
        <f t="shared" si="246"/>
        <v>0</v>
      </c>
      <c r="H256" s="1">
        <f t="shared" si="246"/>
        <v>0</v>
      </c>
      <c r="I256" s="1">
        <f t="shared" si="246"/>
        <v>0</v>
      </c>
      <c r="J256" s="1">
        <f t="shared" si="246"/>
        <v>0</v>
      </c>
      <c r="K256" s="1">
        <f t="shared" si="246"/>
        <v>0</v>
      </c>
      <c r="L256" s="1">
        <f t="shared" ref="L256:O256" si="247">L245-L267</f>
        <v>0</v>
      </c>
      <c r="M256" s="1">
        <f t="shared" si="247"/>
        <v>0</v>
      </c>
      <c r="N256" s="1">
        <f t="shared" si="247"/>
        <v>0</v>
      </c>
      <c r="O256" s="1">
        <f t="shared" si="247"/>
        <v>0</v>
      </c>
      <c r="P256" s="1">
        <f t="shared" si="241"/>
        <v>0</v>
      </c>
      <c r="Q256" s="1">
        <f t="shared" si="241"/>
        <v>0</v>
      </c>
      <c r="S256" s="3"/>
    </row>
    <row r="257" spans="1:19" x14ac:dyDescent="0.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48">F246-F268</f>
        <v>5.892573074848028E-2</v>
      </c>
      <c r="G257" s="1">
        <f t="shared" si="248"/>
        <v>6.0696152550918703E-2</v>
      </c>
      <c r="H257" s="1">
        <f t="shared" si="248"/>
        <v>0.23784955102005173</v>
      </c>
      <c r="I257" s="1">
        <f t="shared" si="248"/>
        <v>0.24273383278733554</v>
      </c>
      <c r="J257" s="1">
        <f t="shared" si="248"/>
        <v>0.23811922682744577</v>
      </c>
      <c r="K257" s="1">
        <f t="shared" si="248"/>
        <v>9.4725397194317523E-2</v>
      </c>
      <c r="L257" s="1">
        <f t="shared" ref="L257:O257" si="249">L246-L268</f>
        <v>0</v>
      </c>
      <c r="M257" s="1">
        <f t="shared" si="249"/>
        <v>0</v>
      </c>
      <c r="N257" s="1">
        <f t="shared" si="249"/>
        <v>4.3513301950941045E-5</v>
      </c>
      <c r="O257" s="1">
        <f t="shared" si="249"/>
        <v>1.3399159088407255E-4</v>
      </c>
      <c r="P257" s="1">
        <f t="shared" si="241"/>
        <v>7.7195820224947378E-5</v>
      </c>
      <c r="Q257" s="1">
        <f t="shared" si="241"/>
        <v>2.5227020115170529E-4</v>
      </c>
      <c r="S257" s="3"/>
    </row>
    <row r="258" spans="1:19" x14ac:dyDescent="0.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50">F247-F269</f>
        <v>0</v>
      </c>
      <c r="G258" s="1">
        <f t="shared" si="250"/>
        <v>0</v>
      </c>
      <c r="H258" s="1">
        <f t="shared" si="250"/>
        <v>0</v>
      </c>
      <c r="I258" s="1">
        <f t="shared" si="250"/>
        <v>0</v>
      </c>
      <c r="J258" s="1">
        <f t="shared" si="250"/>
        <v>0</v>
      </c>
      <c r="K258" s="1">
        <f t="shared" si="250"/>
        <v>0</v>
      </c>
      <c r="L258" s="1">
        <f t="shared" ref="L258:O258" si="251">L247-L269</f>
        <v>0</v>
      </c>
      <c r="M258" s="1">
        <f t="shared" si="251"/>
        <v>0</v>
      </c>
      <c r="N258" s="1">
        <f t="shared" si="251"/>
        <v>0</v>
      </c>
      <c r="O258" s="1">
        <f t="shared" si="251"/>
        <v>0</v>
      </c>
      <c r="P258" s="1">
        <f t="shared" si="241"/>
        <v>0</v>
      </c>
      <c r="Q258" s="1">
        <f t="shared" si="241"/>
        <v>0</v>
      </c>
      <c r="S258" s="3"/>
    </row>
    <row r="259" spans="1:19" x14ac:dyDescent="0.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50"/>
        <v>0</v>
      </c>
      <c r="G259" s="1">
        <f t="shared" ref="G259:K259" si="252">G248-G270</f>
        <v>0</v>
      </c>
      <c r="H259" s="1">
        <f t="shared" si="252"/>
        <v>0</v>
      </c>
      <c r="I259" s="1">
        <f t="shared" si="252"/>
        <v>0</v>
      </c>
      <c r="J259" s="1">
        <f t="shared" si="252"/>
        <v>0</v>
      </c>
      <c r="K259" s="1">
        <f t="shared" si="252"/>
        <v>0</v>
      </c>
      <c r="L259" s="1">
        <f t="shared" ref="L259:O259" si="253">L248-L270</f>
        <v>0</v>
      </c>
      <c r="M259" s="1">
        <f t="shared" si="253"/>
        <v>0</v>
      </c>
      <c r="N259" s="1">
        <f t="shared" si="253"/>
        <v>0</v>
      </c>
      <c r="O259" s="1">
        <f t="shared" si="253"/>
        <v>0</v>
      </c>
      <c r="P259" s="1">
        <f t="shared" si="241"/>
        <v>0</v>
      </c>
      <c r="Q259" s="1">
        <f t="shared" si="241"/>
        <v>0</v>
      </c>
      <c r="S259" s="3"/>
    </row>
    <row r="260" spans="1:19" x14ac:dyDescent="0.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54">F249-F271</f>
        <v>0.6744240318114163</v>
      </c>
      <c r="G260" s="1">
        <f t="shared" si="254"/>
        <v>0.71778715473649612</v>
      </c>
      <c r="H260" s="1">
        <f t="shared" si="254"/>
        <v>1.3833822041923247</v>
      </c>
      <c r="I260" s="1">
        <f t="shared" si="254"/>
        <v>1.6935524939309343</v>
      </c>
      <c r="J260" s="1">
        <f t="shared" si="254"/>
        <v>1.7237125743209107</v>
      </c>
      <c r="K260" s="1">
        <f t="shared" si="254"/>
        <v>1.0522296928492612</v>
      </c>
      <c r="L260" s="1">
        <f t="shared" ref="L260:O260" si="255">L249-L271</f>
        <v>0</v>
      </c>
      <c r="M260" s="1">
        <f t="shared" si="255"/>
        <v>0</v>
      </c>
      <c r="N260" s="1">
        <f t="shared" si="255"/>
        <v>1.7072595083346236E-5</v>
      </c>
      <c r="O260" s="1">
        <f t="shared" si="255"/>
        <v>2.2843912578016014E-5</v>
      </c>
      <c r="P260" s="1">
        <f t="shared" si="241"/>
        <v>1.3110137225221408E-5</v>
      </c>
      <c r="Q260" s="1">
        <f t="shared" si="241"/>
        <v>4.1547894507235061E-5</v>
      </c>
      <c r="S260" s="3"/>
    </row>
    <row r="261" spans="1:19" x14ac:dyDescent="0.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56">F250-F272</f>
        <v>0</v>
      </c>
      <c r="G261" s="1">
        <f t="shared" si="256"/>
        <v>0</v>
      </c>
      <c r="H261" s="1">
        <f t="shared" si="256"/>
        <v>0</v>
      </c>
      <c r="I261" s="1">
        <f t="shared" si="256"/>
        <v>0</v>
      </c>
      <c r="J261" s="1">
        <f t="shared" si="256"/>
        <v>0</v>
      </c>
      <c r="K261" s="1">
        <f t="shared" si="256"/>
        <v>0</v>
      </c>
      <c r="L261" s="1">
        <f t="shared" ref="L261:O261" si="257">L250-L272</f>
        <v>0</v>
      </c>
      <c r="M261" s="1">
        <f t="shared" si="257"/>
        <v>0</v>
      </c>
      <c r="N261" s="1">
        <f t="shared" si="257"/>
        <v>1.5414847933151155E-6</v>
      </c>
      <c r="O261" s="1">
        <f t="shared" si="257"/>
        <v>3.8123899878920878E-6</v>
      </c>
      <c r="P261" s="1">
        <f t="shared" si="241"/>
        <v>2.1323944836906805E-6</v>
      </c>
      <c r="Q261" s="1">
        <f t="shared" si="241"/>
        <v>6.5149571130803047E-6</v>
      </c>
      <c r="S261" s="3"/>
    </row>
    <row r="262" spans="1:19" x14ac:dyDescent="0.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1.4651011268127456</v>
      </c>
      <c r="G262" s="1">
        <f t="shared" ref="G262:K262" si="258">SUM(G263:G272)</f>
        <v>1.6342154898710675</v>
      </c>
      <c r="H262" s="1">
        <f t="shared" si="258"/>
        <v>1.6023295155290902</v>
      </c>
      <c r="I262" s="1">
        <f t="shared" si="258"/>
        <v>1.376553508105786</v>
      </c>
      <c r="J262" s="1">
        <f t="shared" si="258"/>
        <v>1.5904361134500846</v>
      </c>
      <c r="K262" s="1">
        <f t="shared" si="258"/>
        <v>1.4831094621257825</v>
      </c>
      <c r="L262" s="1">
        <f t="shared" ref="L262:O262" si="259">SUM(L263:L272)</f>
        <v>3.0727203978832103</v>
      </c>
      <c r="M262" s="1">
        <f t="shared" si="259"/>
        <v>3.5198351380675583</v>
      </c>
      <c r="N262" s="1">
        <f t="shared" si="259"/>
        <v>4.5003596314253898</v>
      </c>
      <c r="O262" s="1">
        <f t="shared" si="259"/>
        <v>5.4612783493076424</v>
      </c>
      <c r="P262" s="1">
        <f>SUM(P263:P272)</f>
        <v>5.7467410330292203</v>
      </c>
      <c r="Q262" s="1">
        <f>SUM(Q263:Q272)</f>
        <v>5.7698236280412685</v>
      </c>
      <c r="R262" s="1"/>
      <c r="S262" s="3"/>
    </row>
    <row r="263" spans="1:19" x14ac:dyDescent="0.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60">F241*IFERROR(F120/F88,0)</f>
        <v>2.0166911426670254E-2</v>
      </c>
      <c r="G263" s="1">
        <f t="shared" si="260"/>
        <v>2.046341198699966E-2</v>
      </c>
      <c r="H263" s="1">
        <f t="shared" si="260"/>
        <v>3.9972591569989264E-3</v>
      </c>
      <c r="I263" s="1">
        <f t="shared" si="260"/>
        <v>9.6904466279321439E-3</v>
      </c>
      <c r="J263" s="1">
        <f t="shared" si="260"/>
        <v>1.2111749394972685E-2</v>
      </c>
      <c r="K263" s="1">
        <f t="shared" si="260"/>
        <v>6.3309237382392608E-2</v>
      </c>
      <c r="L263" s="1">
        <f t="shared" ref="L263:O263" si="261">L241*IFERROR(L120/L88,0)</f>
        <v>0.10360725842184385</v>
      </c>
      <c r="M263" s="1">
        <f t="shared" si="261"/>
        <v>0.25337103648047793</v>
      </c>
      <c r="N263" s="1">
        <f t="shared" si="261"/>
        <v>0.46541178344566825</v>
      </c>
      <c r="O263" s="1">
        <f t="shared" si="261"/>
        <v>0.38952788367807928</v>
      </c>
      <c r="P263" s="1">
        <f t="shared" ref="P263:Q272" si="262">P241*IFERROR(P120/P88,0)</f>
        <v>0.46532177663673174</v>
      </c>
      <c r="Q263" s="1">
        <f t="shared" si="262"/>
        <v>0.46453512007801678</v>
      </c>
      <c r="S263" s="3"/>
    </row>
    <row r="264" spans="1:19" x14ac:dyDescent="0.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60"/>
        <v>0</v>
      </c>
      <c r="G264" s="1">
        <f t="shared" si="260"/>
        <v>0</v>
      </c>
      <c r="H264" s="1">
        <f t="shared" si="260"/>
        <v>0</v>
      </c>
      <c r="I264" s="1">
        <f t="shared" si="260"/>
        <v>0</v>
      </c>
      <c r="J264" s="1">
        <f t="shared" si="260"/>
        <v>0</v>
      </c>
      <c r="K264" s="1">
        <f t="shared" si="260"/>
        <v>4.3454232190975135E-4</v>
      </c>
      <c r="L264" s="1">
        <f t="shared" ref="L264:O264" si="263">L242*IFERROR(L121/L89,0)</f>
        <v>5.9902127000330929E-2</v>
      </c>
      <c r="M264" s="1">
        <f t="shared" si="263"/>
        <v>0.14650261519155694</v>
      </c>
      <c r="N264" s="1">
        <f t="shared" si="263"/>
        <v>0.26909974183804969</v>
      </c>
      <c r="O264" s="1">
        <f t="shared" si="263"/>
        <v>0.22523008529835251</v>
      </c>
      <c r="P264" s="1">
        <f t="shared" si="262"/>
        <v>0.26905257774313357</v>
      </c>
      <c r="Q264" s="1">
        <f t="shared" si="262"/>
        <v>0.26859582572956003</v>
      </c>
      <c r="S264" s="3"/>
    </row>
    <row r="265" spans="1:19" x14ac:dyDescent="0.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60"/>
        <v>0</v>
      </c>
      <c r="G265" s="1">
        <f t="shared" si="260"/>
        <v>0</v>
      </c>
      <c r="H265" s="1">
        <f t="shared" si="260"/>
        <v>0</v>
      </c>
      <c r="I265" s="1">
        <f t="shared" si="260"/>
        <v>3.1992861147261099E-6</v>
      </c>
      <c r="J265" s="1">
        <f t="shared" si="260"/>
        <v>6.4090541822222871E-6</v>
      </c>
      <c r="K265" s="1">
        <f t="shared" si="260"/>
        <v>1.6246839713683983E-4</v>
      </c>
      <c r="L265" s="1">
        <f t="shared" ref="L265:O265" si="264">L243*IFERROR(L122/L90,0)</f>
        <v>2.7907846432855807E-4</v>
      </c>
      <c r="M265" s="1">
        <f t="shared" si="264"/>
        <v>2.1399192974690009E-4</v>
      </c>
      <c r="N265" s="1">
        <f t="shared" si="264"/>
        <v>5.4871242607764552E-4</v>
      </c>
      <c r="O265" s="1">
        <f t="shared" si="264"/>
        <v>1.1331196541399082E-3</v>
      </c>
      <c r="P265" s="1">
        <f t="shared" si="262"/>
        <v>4.8732686190453554E-4</v>
      </c>
      <c r="Q265" s="1">
        <f t="shared" si="262"/>
        <v>3.1584880091817561E-4</v>
      </c>
      <c r="S265" s="3"/>
    </row>
    <row r="266" spans="1:19" x14ac:dyDescent="0.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60"/>
        <v>8.8321859339109436E-4</v>
      </c>
      <c r="G266" s="1">
        <f t="shared" si="260"/>
        <v>2.5134325125640859E-4</v>
      </c>
      <c r="H266" s="1">
        <f t="shared" si="260"/>
        <v>1.1552139992070697E-3</v>
      </c>
      <c r="I266" s="1">
        <f t="shared" si="260"/>
        <v>2.9101227947691502E-4</v>
      </c>
      <c r="J266" s="1">
        <f t="shared" si="260"/>
        <v>3.7311415103537504E-4</v>
      </c>
      <c r="K266" s="1">
        <f t="shared" si="260"/>
        <v>4.7770594726747961E-4</v>
      </c>
      <c r="L266" s="1">
        <f t="shared" ref="L266:O266" si="265">L244*IFERROR(L123/L91,0)</f>
        <v>0</v>
      </c>
      <c r="M266" s="1">
        <f t="shared" si="265"/>
        <v>0</v>
      </c>
      <c r="N266" s="1">
        <f t="shared" si="265"/>
        <v>6.6739654395835263E-3</v>
      </c>
      <c r="O266" s="1">
        <f t="shared" si="265"/>
        <v>8.8756962834077892E-3</v>
      </c>
      <c r="P266" s="1">
        <f t="shared" si="262"/>
        <v>1.1235655779372954E-2</v>
      </c>
      <c r="Q266" s="1">
        <f t="shared" si="262"/>
        <v>1.5578925651444291E-2</v>
      </c>
      <c r="S266" s="3"/>
    </row>
    <row r="267" spans="1:19" x14ac:dyDescent="0.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60"/>
        <v>0</v>
      </c>
      <c r="G267" s="1">
        <f t="shared" si="260"/>
        <v>0</v>
      </c>
      <c r="H267" s="1">
        <f t="shared" si="260"/>
        <v>0</v>
      </c>
      <c r="I267" s="1">
        <f t="shared" si="260"/>
        <v>0</v>
      </c>
      <c r="J267" s="1">
        <f t="shared" si="260"/>
        <v>0</v>
      </c>
      <c r="K267" s="1">
        <f t="shared" si="260"/>
        <v>0</v>
      </c>
      <c r="L267" s="1">
        <f t="shared" ref="L267:O267" si="266">L245*IFERROR(L124/L92,0)</f>
        <v>0</v>
      </c>
      <c r="M267" s="1">
        <f t="shared" si="266"/>
        <v>0</v>
      </c>
      <c r="N267" s="1">
        <f t="shared" si="266"/>
        <v>0</v>
      </c>
      <c r="O267" s="1">
        <f t="shared" si="266"/>
        <v>0</v>
      </c>
      <c r="P267" s="1">
        <f t="shared" si="262"/>
        <v>0</v>
      </c>
      <c r="Q267" s="1">
        <f t="shared" si="262"/>
        <v>0</v>
      </c>
      <c r="S267" s="3"/>
    </row>
    <row r="268" spans="1:19" x14ac:dyDescent="0.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60"/>
        <v>1.5862836602817437E-3</v>
      </c>
      <c r="G268" s="1">
        <f t="shared" si="260"/>
        <v>2.7414130591392905E-3</v>
      </c>
      <c r="H268" s="1">
        <f t="shared" si="260"/>
        <v>1.6745623213285724E-2</v>
      </c>
      <c r="I268" s="1">
        <f t="shared" si="260"/>
        <v>5.3338067575461568E-3</v>
      </c>
      <c r="J268" s="1">
        <f t="shared" si="260"/>
        <v>7.0032025278451357E-3</v>
      </c>
      <c r="K268" s="1">
        <f t="shared" si="260"/>
        <v>8.7479432108134927E-3</v>
      </c>
      <c r="L268" s="1">
        <f t="shared" ref="L268:O268" si="267">L246*IFERROR(L125/L93,0)</f>
        <v>0</v>
      </c>
      <c r="M268" s="1">
        <f t="shared" si="267"/>
        <v>0</v>
      </c>
      <c r="N268" s="1">
        <f t="shared" si="267"/>
        <v>7.1423283596072544E-3</v>
      </c>
      <c r="O268" s="1">
        <f t="shared" si="267"/>
        <v>1.535970364424274E-2</v>
      </c>
      <c r="P268" s="1">
        <f t="shared" si="262"/>
        <v>1.1853749323008573E-2</v>
      </c>
      <c r="Q268" s="1">
        <f t="shared" si="262"/>
        <v>2.8432028517096437E-2</v>
      </c>
      <c r="S268" s="3"/>
    </row>
    <row r="269" spans="1:19" x14ac:dyDescent="0.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60"/>
        <v>0</v>
      </c>
      <c r="G269" s="1">
        <f t="shared" si="260"/>
        <v>0</v>
      </c>
      <c r="H269" s="1">
        <f t="shared" si="260"/>
        <v>0</v>
      </c>
      <c r="I269" s="1">
        <f t="shared" si="260"/>
        <v>0</v>
      </c>
      <c r="J269" s="1">
        <f t="shared" si="260"/>
        <v>0</v>
      </c>
      <c r="K269" s="1">
        <f t="shared" si="260"/>
        <v>0</v>
      </c>
      <c r="L269" s="1">
        <f t="shared" ref="L269:O269" si="268">L247*IFERROR(L126/L94,0)</f>
        <v>0</v>
      </c>
      <c r="M269" s="1">
        <f t="shared" si="268"/>
        <v>0</v>
      </c>
      <c r="N269" s="1">
        <f t="shared" si="268"/>
        <v>0</v>
      </c>
      <c r="O269" s="1">
        <f t="shared" si="268"/>
        <v>0</v>
      </c>
      <c r="P269" s="1">
        <f t="shared" si="262"/>
        <v>0</v>
      </c>
      <c r="Q269" s="1">
        <f t="shared" si="262"/>
        <v>0</v>
      </c>
      <c r="S269" s="3"/>
    </row>
    <row r="270" spans="1:19" x14ac:dyDescent="0.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60"/>
        <v>1.4243091839913171</v>
      </c>
      <c r="G270" s="1">
        <f t="shared" si="260"/>
        <v>1.5783396211976675</v>
      </c>
      <c r="H270" s="1">
        <f t="shared" si="260"/>
        <v>1.4830354095727802</v>
      </c>
      <c r="I270" s="1">
        <f t="shared" si="260"/>
        <v>1.3240211054326432</v>
      </c>
      <c r="J270" s="1">
        <f t="shared" si="260"/>
        <v>1.52024641131919</v>
      </c>
      <c r="K270" s="1">
        <f t="shared" si="260"/>
        <v>1.3128035664411679</v>
      </c>
      <c r="L270" s="1">
        <f t="shared" ref="L270:O270" si="269">L248*IFERROR(L127/L95,0)</f>
        <v>2.908931933996707</v>
      </c>
      <c r="M270" s="1">
        <f t="shared" si="269"/>
        <v>3.1197474944657766</v>
      </c>
      <c r="N270" s="1">
        <f t="shared" si="269"/>
        <v>3.748427761327275</v>
      </c>
      <c r="O270" s="1">
        <f t="shared" si="269"/>
        <v>4.8180961995324578</v>
      </c>
      <c r="P270" s="1">
        <f t="shared" si="262"/>
        <v>4.9864493905591152</v>
      </c>
      <c r="Q270" s="1">
        <f t="shared" si="262"/>
        <v>4.9869489716721223</v>
      </c>
      <c r="S270" s="3"/>
    </row>
    <row r="271" spans="1:19" x14ac:dyDescent="0.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60"/>
        <v>1.815552914108538E-2</v>
      </c>
      <c r="G271" s="1">
        <f t="shared" si="260"/>
        <v>3.241970037600482E-2</v>
      </c>
      <c r="H271" s="1">
        <f t="shared" si="260"/>
        <v>9.7396009586818197E-2</v>
      </c>
      <c r="I271" s="1">
        <f t="shared" si="260"/>
        <v>3.7213937722072911E-2</v>
      </c>
      <c r="J271" s="1">
        <f t="shared" si="260"/>
        <v>5.0695227002859056E-2</v>
      </c>
      <c r="K271" s="1">
        <f t="shared" si="260"/>
        <v>9.7173998425094513E-2</v>
      </c>
      <c r="L271" s="1">
        <f t="shared" ref="L271:O271" si="270">L249*IFERROR(L128/L96,0)</f>
        <v>0</v>
      </c>
      <c r="M271" s="1">
        <f t="shared" si="270"/>
        <v>0</v>
      </c>
      <c r="N271" s="1">
        <f t="shared" si="270"/>
        <v>2.8023173275462739E-3</v>
      </c>
      <c r="O271" s="1">
        <f t="shared" si="270"/>
        <v>2.6186399083572699E-3</v>
      </c>
      <c r="P271" s="1">
        <f t="shared" si="262"/>
        <v>2.013117806186598E-3</v>
      </c>
      <c r="Q271" s="1">
        <f t="shared" si="262"/>
        <v>4.6826415330149633E-3</v>
      </c>
      <c r="S271" s="3"/>
    </row>
    <row r="272" spans="1:19" x14ac:dyDescent="0.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60"/>
        <v>0</v>
      </c>
      <c r="G272" s="1">
        <f t="shared" si="260"/>
        <v>0</v>
      </c>
      <c r="H272" s="1">
        <f t="shared" si="260"/>
        <v>0</v>
      </c>
      <c r="I272" s="1">
        <f t="shared" si="260"/>
        <v>0</v>
      </c>
      <c r="J272" s="1">
        <f t="shared" si="260"/>
        <v>0</v>
      </c>
      <c r="K272" s="1">
        <f t="shared" si="260"/>
        <v>0</v>
      </c>
      <c r="L272" s="1">
        <f t="shared" ref="L272:O272" si="271">L250*IFERROR(L129/L97,0)</f>
        <v>0</v>
      </c>
      <c r="M272" s="1">
        <f t="shared" si="271"/>
        <v>0</v>
      </c>
      <c r="N272" s="1">
        <f t="shared" si="271"/>
        <v>2.5302126158136006E-4</v>
      </c>
      <c r="O272" s="1">
        <f t="shared" si="271"/>
        <v>4.3702130860556992E-4</v>
      </c>
      <c r="P272" s="1">
        <f t="shared" si="262"/>
        <v>3.2743831976626332E-4</v>
      </c>
      <c r="Q272" s="1">
        <f t="shared" si="262"/>
        <v>7.3426605909496007E-4</v>
      </c>
      <c r="S272" s="3"/>
    </row>
    <row r="273" spans="1:19" x14ac:dyDescent="0.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1.9347926511265963</v>
      </c>
      <c r="G273" s="1">
        <f t="shared" ref="G273:K273" si="272">SUM(G274:G275)</f>
        <v>1.8587665077795834</v>
      </c>
      <c r="H273" s="1">
        <f t="shared" si="272"/>
        <v>2.5502871241423537</v>
      </c>
      <c r="I273" s="1">
        <f t="shared" si="272"/>
        <v>2.243330358406173</v>
      </c>
      <c r="J273" s="1">
        <f t="shared" si="272"/>
        <v>1.9426654011197206</v>
      </c>
      <c r="K273" s="1">
        <f t="shared" si="272"/>
        <v>1.6330998224358284</v>
      </c>
      <c r="L273" s="1">
        <f t="shared" ref="L273:O273" si="273">SUM(L274:L275)</f>
        <v>2.5189218421588642</v>
      </c>
      <c r="M273" s="1">
        <f t="shared" si="273"/>
        <v>2.0114194512814212</v>
      </c>
      <c r="N273" s="1">
        <f t="shared" si="273"/>
        <v>2.0113757161382639</v>
      </c>
      <c r="O273" s="1">
        <f t="shared" si="273"/>
        <v>2.0111712115916855</v>
      </c>
      <c r="P273" s="1">
        <f>SUM(P274:P275)</f>
        <v>2.0113871862231427</v>
      </c>
      <c r="Q273" s="1">
        <f>SUM(Q274:Q275)</f>
        <v>2.0114773770080512</v>
      </c>
      <c r="S273" s="3"/>
    </row>
    <row r="274" spans="1:19" x14ac:dyDescent="0.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1.9347926511265963</v>
      </c>
      <c r="G274" s="1">
        <f>'[1]Electricity and CHPs'!C$106-G275</f>
        <v>1.8587665077795834</v>
      </c>
      <c r="H274" s="1">
        <f>'[1]Electricity and CHPs'!D$106-H275</f>
        <v>2.5502871241423537</v>
      </c>
      <c r="I274" s="1">
        <f>'[1]Electricity and CHPs'!E$106-I275</f>
        <v>2.243330358406173</v>
      </c>
      <c r="J274" s="1">
        <f>'[1]Electricity and CHPs'!F$106-J275</f>
        <v>1.9426654011197206</v>
      </c>
      <c r="K274" s="1">
        <f>'[1]Electricity and CHPs'!G$106-K275</f>
        <v>1.4005971568376532</v>
      </c>
      <c r="L274" s="1">
        <f>'[1]Electricity and CHPs'!H$106-L275</f>
        <v>6.7147067915840353E-4</v>
      </c>
      <c r="M274" s="1">
        <f>'[1]Electricity and CHPs'!I$106-M275</f>
        <v>2.1770382624408668E-4</v>
      </c>
      <c r="N274" s="1">
        <f>'[1]Electricity and CHPs'!J$106-N275</f>
        <v>3.4806126947684035E-4</v>
      </c>
      <c r="O274" s="1">
        <f>'[1]Electricity and CHPs'!K$106-O275</f>
        <v>6.0501356727904465E-4</v>
      </c>
      <c r="P274" s="1">
        <f>'[1]Electricity and CHPs'!L$106-P275</f>
        <v>3.7638536261130895E-4</v>
      </c>
      <c r="Q274" s="1">
        <f>'[1]Electricity and CHPs'!M$106-Q275</f>
        <v>1.3771980697629971E-4</v>
      </c>
      <c r="S274" s="3"/>
    </row>
    <row r="275" spans="1:19" x14ac:dyDescent="0.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0.23250266559817523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2.5182503714797058</v>
      </c>
      <c r="M275" s="10" cm="1">
        <f t="array" ref="M275">SUMPRODUCT((ISNUMBER(SEARCH("itot*CHPWST*ccs*",[1]OUT_Electricity_CHP!$B$1:$B$10000)))*1,([1]OUT_Electricity_CHP!$C$1:$C$10000="Var_Fout")*1,+([1]OUT_Electricity_CHP!$D$1:$D$10000="ITOT_LTH_CHP")*1,[1]OUT_Electricity_CHP!L$1:L$10000)</f>
        <v>2.0112017474551771</v>
      </c>
      <c r="N275" s="10" cm="1">
        <f t="array" ref="N275">SUMPRODUCT((ISNUMBER(SEARCH("itot*CHPWST*ccs*",[1]OUT_Electricity_CHP!$B$1:$B$10000)))*1,([1]OUT_Electricity_CHP!$C$1:$C$10000="Var_Fout")*1,+([1]OUT_Electricity_CHP!$D$1:$D$10000="ITOT_LTH_CHP")*1,[1]OUT_Electricity_CHP!M$1:M$10000)</f>
        <v>2.0110276548687871</v>
      </c>
      <c r="O275" s="10" cm="1">
        <f t="array" ref="O275">SUMPRODUCT((ISNUMBER(SEARCH("itot*CHPWST*ccs*",[1]OUT_Electricity_CHP!$B$1:$B$10000)))*1,([1]OUT_Electricity_CHP!$C$1:$C$10000="Var_Fout")*1,+([1]OUT_Electricity_CHP!$D$1:$D$10000="ITOT_LTH_CHP")*1,[1]OUT_Electricity_CHP!N$1:N$10000)</f>
        <v>2.0105661980244065</v>
      </c>
      <c r="P275" s="10" cm="1">
        <f t="array" ref="P275">SUMPRODUCT((ISNUMBER(SEARCH("itot*CHPWST*ccs*",[1]OUT_Electricity_CHP!$B$1:$B$10000)))*1,([1]OUT_Electricity_CHP!$C$1:$C$10000="Var_Fout")*1,+([1]OUT_Electricity_CHP!$D$1:$D$10000="ITOT_LTH_CHP")*1,[1]OUT_Electricity_CHP!O$1:O$10000)</f>
        <v>2.0110108008605314</v>
      </c>
      <c r="Q275" s="10" cm="1">
        <f t="array" ref="Q275">SUMPRODUCT((ISNUMBER(SEARCH("itot*CHPWST*ccs*",[1]OUT_Electricity_CHP!$B$1:$B$10000)))*1,([1]OUT_Electricity_CHP!$C$1:$C$10000="Var_Fout")*1,+([1]OUT_Electricity_CHP!$D$1:$D$10000="ITOT_LTH_CHP")*1,[1]OUT_Electricity_CHP!P$1:P$10000)</f>
        <v>2.0113396572010749</v>
      </c>
      <c r="S275" s="3"/>
    </row>
    <row r="276" spans="1:19" x14ac:dyDescent="0.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74">SUM(G277:G278)</f>
        <v>0</v>
      </c>
      <c r="H276" s="10">
        <f t="shared" si="274"/>
        <v>0</v>
      </c>
      <c r="I276" s="10">
        <f t="shared" si="274"/>
        <v>0</v>
      </c>
      <c r="J276" s="10">
        <f t="shared" si="274"/>
        <v>0</v>
      </c>
      <c r="K276" s="10">
        <f t="shared" si="274"/>
        <v>0</v>
      </c>
      <c r="L276" s="10">
        <f t="shared" ref="L276:O276" si="275">SUM(L277:L278)</f>
        <v>0</v>
      </c>
      <c r="M276" s="10">
        <f t="shared" si="275"/>
        <v>0</v>
      </c>
      <c r="N276" s="10">
        <f t="shared" si="275"/>
        <v>0</v>
      </c>
      <c r="O276" s="10">
        <f t="shared" si="275"/>
        <v>0</v>
      </c>
      <c r="P276" s="10">
        <f>SUM(P277:P278)</f>
        <v>0</v>
      </c>
      <c r="Q276" s="10">
        <f>SUM(Q277:Q278)</f>
        <v>0</v>
      </c>
      <c r="S276" s="3"/>
    </row>
    <row r="277" spans="1:19" x14ac:dyDescent="0.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S277" s="3"/>
    </row>
    <row r="278" spans="1:19" x14ac:dyDescent="0.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S278" s="3"/>
    </row>
    <row r="279" spans="1:19" x14ac:dyDescent="0.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1.9347926511265963</v>
      </c>
      <c r="G279" s="1">
        <f t="shared" ref="G279:K279" si="276">SUM(G280:G281)</f>
        <v>1.8587665077795834</v>
      </c>
      <c r="H279" s="1">
        <f t="shared" si="276"/>
        <v>2.5502871241423537</v>
      </c>
      <c r="I279" s="1">
        <f t="shared" si="276"/>
        <v>2.243330358406173</v>
      </c>
      <c r="J279" s="1">
        <f t="shared" si="276"/>
        <v>1.9426654011197206</v>
      </c>
      <c r="K279" s="1">
        <f t="shared" si="276"/>
        <v>1.6330998224358284</v>
      </c>
      <c r="L279" s="1">
        <f t="shared" ref="L279:O279" si="277">SUM(L280:L281)</f>
        <v>2.5189218421588642</v>
      </c>
      <c r="M279" s="1">
        <f t="shared" si="277"/>
        <v>2.0114194512814212</v>
      </c>
      <c r="N279" s="1">
        <f t="shared" si="277"/>
        <v>2.0113757161382639</v>
      </c>
      <c r="O279" s="1">
        <f t="shared" si="277"/>
        <v>2.0111712115916855</v>
      </c>
      <c r="P279" s="1">
        <f>SUM(P280:P281)</f>
        <v>2.0113871862231427</v>
      </c>
      <c r="Q279" s="1">
        <f>SUM(Q280:Q281)</f>
        <v>2.0114773770080512</v>
      </c>
      <c r="S279" s="3"/>
    </row>
    <row r="280" spans="1:19" x14ac:dyDescent="0.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1.9347926511265963</v>
      </c>
      <c r="G280" s="1">
        <f t="shared" ref="G280:K280" si="278">G274</f>
        <v>1.8587665077795834</v>
      </c>
      <c r="H280" s="1">
        <f t="shared" si="278"/>
        <v>2.5502871241423537</v>
      </c>
      <c r="I280" s="1">
        <f t="shared" si="278"/>
        <v>2.243330358406173</v>
      </c>
      <c r="J280" s="1">
        <f t="shared" si="278"/>
        <v>1.9426654011197206</v>
      </c>
      <c r="K280" s="1">
        <f t="shared" si="278"/>
        <v>1.4005971568376532</v>
      </c>
      <c r="L280" s="1">
        <f t="shared" ref="L280:O280" si="279">L274</f>
        <v>6.7147067915840353E-4</v>
      </c>
      <c r="M280" s="1">
        <f t="shared" si="279"/>
        <v>2.1770382624408668E-4</v>
      </c>
      <c r="N280" s="1">
        <f t="shared" si="279"/>
        <v>3.4806126947684035E-4</v>
      </c>
      <c r="O280" s="1">
        <f t="shared" si="279"/>
        <v>6.0501356727904465E-4</v>
      </c>
      <c r="P280" s="1">
        <f>P274</f>
        <v>3.7638536261130895E-4</v>
      </c>
      <c r="Q280" s="1">
        <f>Q274</f>
        <v>1.3771980697629971E-4</v>
      </c>
      <c r="S280" s="3"/>
    </row>
    <row r="281" spans="1:19" x14ac:dyDescent="0.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80">F275</f>
        <v>0</v>
      </c>
      <c r="G281" s="1">
        <f t="shared" si="280"/>
        <v>0</v>
      </c>
      <c r="H281" s="1">
        <f t="shared" si="280"/>
        <v>0</v>
      </c>
      <c r="I281" s="1">
        <f t="shared" si="280"/>
        <v>0</v>
      </c>
      <c r="J281" s="1">
        <f t="shared" si="280"/>
        <v>0</v>
      </c>
      <c r="K281" s="1">
        <f t="shared" si="280"/>
        <v>0.23250266559817523</v>
      </c>
      <c r="L281" s="1">
        <f t="shared" ref="L281:O281" si="281">L275</f>
        <v>2.5182503714797058</v>
      </c>
      <c r="M281" s="1">
        <f t="shared" si="281"/>
        <v>2.0112017474551771</v>
      </c>
      <c r="N281" s="1">
        <f t="shared" si="281"/>
        <v>2.0110276548687871</v>
      </c>
      <c r="O281" s="1">
        <f t="shared" si="281"/>
        <v>2.0105661980244065</v>
      </c>
      <c r="P281" s="1">
        <f>P275</f>
        <v>2.0110108008605314</v>
      </c>
      <c r="Q281" s="1">
        <f>Q275</f>
        <v>2.0113396572010749</v>
      </c>
      <c r="S281" s="3"/>
    </row>
    <row r="282" spans="1:19" x14ac:dyDescent="0.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0.65961324930952603</v>
      </c>
      <c r="G282" s="1">
        <f t="shared" ref="G282:K282" si="282">SUM(G283:G287)</f>
        <v>0.85836702379577445</v>
      </c>
      <c r="H282" s="1">
        <f t="shared" si="282"/>
        <v>3.3631168176266075</v>
      </c>
      <c r="I282" s="1">
        <f t="shared" si="282"/>
        <v>3.2597253268528448</v>
      </c>
      <c r="J282" s="1">
        <f t="shared" si="282"/>
        <v>3.2580717861872772</v>
      </c>
      <c r="K282" s="1">
        <f t="shared" si="282"/>
        <v>7.1984791454599062</v>
      </c>
      <c r="L282" s="1">
        <f t="shared" ref="L282:O282" si="283">SUM(L283:L287)</f>
        <v>8.7157397613933156</v>
      </c>
      <c r="M282" s="1">
        <f t="shared" si="283"/>
        <v>9.7278890071612452</v>
      </c>
      <c r="N282" s="1">
        <f t="shared" si="283"/>
        <v>9.6423545278112961</v>
      </c>
      <c r="O282" s="1">
        <f t="shared" si="283"/>
        <v>9.7126576478155702</v>
      </c>
      <c r="P282" s="1">
        <f>SUM(P283:P287)</f>
        <v>9.6895735501333178</v>
      </c>
      <c r="Q282" s="1">
        <f>SUM(Q283:Q287)</f>
        <v>9.7025169658142065</v>
      </c>
      <c r="S282" s="3"/>
    </row>
    <row r="283" spans="1:19" x14ac:dyDescent="0.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0.65961324930952603</v>
      </c>
      <c r="G283" s="1">
        <f>'[1]Electricity and CHPs'!C$105-G284</f>
        <v>0.85836702379577445</v>
      </c>
      <c r="H283" s="1">
        <f>'[1]Electricity and CHPs'!D$105-H284</f>
        <v>3.3631168176266075</v>
      </c>
      <c r="I283" s="1">
        <f>'[1]Electricity and CHPs'!E$105-I284</f>
        <v>3.2550987573717522</v>
      </c>
      <c r="J283" s="1">
        <f>'[1]Electricity and CHPs'!F$105-J284</f>
        <v>3.2510340481196658</v>
      </c>
      <c r="K283" s="1">
        <f>'[1]Electricity and CHPs'!G$105-K284</f>
        <v>1.3748546125207026</v>
      </c>
      <c r="L283" s="1">
        <f>'[1]Electricity and CHPs'!H$105-L284</f>
        <v>0.39953018709216703</v>
      </c>
      <c r="M283" s="1">
        <f>'[1]Electricity and CHPs'!I$105-M284</f>
        <v>2.2297266027546669E-3</v>
      </c>
      <c r="N283" s="1">
        <f>'[1]Electricity and CHPs'!J$105-N284</f>
        <v>1.9573379075197295E-3</v>
      </c>
      <c r="O283" s="1">
        <f>'[1]Electricity and CHPs'!K$105-O284</f>
        <v>2.3551423005621075E-3</v>
      </c>
      <c r="P283" s="1">
        <f>'[1]Electricity and CHPs'!L$105-P284</f>
        <v>1.9261179344649548E-3</v>
      </c>
      <c r="Q283" s="1">
        <f>'[1]Electricity and CHPs'!M$105-Q284</f>
        <v>2.6984648005559109E-3</v>
      </c>
      <c r="S283" s="3"/>
    </row>
    <row r="284" spans="1:19" x14ac:dyDescent="0.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5.3797053215624198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7.7695007451479112</v>
      </c>
      <c r="M284" s="1" cm="1">
        <f t="array" ref="M284">SUMPRODUCT((ISNUMBER(SEARCH("itot*CHPWOD*ccs",[1]OUT_Electricity_CHP!$B$1:$B$10000)))*1,([1]OUT_Electricity_CHP!$C$1:$C$10000="Var_Fout")*1,([1]OUT_Electricity_CHP!$D$1:$D$10000="ITOT_LTH_CHP")*1,[1]OUT_Electricity_CHP!L$1:L$10000)</f>
        <v>9.1915550665586672</v>
      </c>
      <c r="N284" s="1" cm="1">
        <f t="array" ref="N284">SUMPRODUCT((ISNUMBER(SEARCH("itot*CHPWOD*ccs",[1]OUT_Electricity_CHP!$B$1:$B$10000)))*1,([1]OUT_Electricity_CHP!$C$1:$C$10000="Var_Fout")*1,([1]OUT_Electricity_CHP!$D$1:$D$10000="ITOT_LTH_CHP")*1,[1]OUT_Electricity_CHP!M$1:M$10000)</f>
        <v>9.1157078297473522</v>
      </c>
      <c r="O284" s="1" cm="1">
        <f t="array" ref="O284">SUMPRODUCT((ISNUMBER(SEARCH("itot*CHPWOD*ccs",[1]OUT_Electricity_CHP!$B$1:$B$10000)))*1,([1]OUT_Electricity_CHP!$C$1:$C$10000="Var_Fout")*1,([1]OUT_Electricity_CHP!$D$1:$D$10000="ITOT_LTH_CHP")*1,[1]OUT_Electricity_CHP!N$1:N$10000)</f>
        <v>9.1915556356874113</v>
      </c>
      <c r="P284" s="1" cm="1">
        <f t="array" ref="P284">SUMPRODUCT((ISNUMBER(SEARCH("itot*CHPWOD*ccs",[1]OUT_Electricity_CHP!$B$1:$B$10000)))*1,([1]OUT_Electricity_CHP!$C$1:$C$10000="Var_Fout")*1,([1]OUT_Electricity_CHP!$D$1:$D$10000="ITOT_LTH_CHP")*1,[1]OUT_Electricity_CHP!O$1:O$10000)</f>
        <v>9.1700403403817159</v>
      </c>
      <c r="Q284" s="1" cm="1">
        <f t="array" ref="Q284">SUMPRODUCT((ISNUMBER(SEARCH("itot*CHPWOD*ccs",[1]OUT_Electricity_CHP!$B$1:$B$10000)))*1,([1]OUT_Electricity_CHP!$C$1:$C$10000="Var_Fout")*1,([1]OUT_Electricity_CHP!$D$1:$D$10000="ITOT_LTH_CHP")*1,[1]OUT_Electricity_CHP!P$1:P$10000)</f>
        <v>9.1915636085258292</v>
      </c>
      <c r="S284" s="3"/>
    </row>
    <row r="285" spans="1:19" x14ac:dyDescent="0.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1.4837968589978905E-3</v>
      </c>
      <c r="J285" s="1">
        <f>'[1]Electricity and CHPs'!F$110</f>
        <v>2.4456826247707128E-3</v>
      </c>
      <c r="K285" s="1">
        <f>'[1]Electricity and CHPs'!G$110</f>
        <v>1.0459662917424145E-2</v>
      </c>
      <c r="L285" s="1">
        <f>'[1]Electricity and CHPs'!H$110</f>
        <v>1.2959157375000408E-2</v>
      </c>
      <c r="M285" s="1">
        <f>'[1]Electricity and CHPs'!I$110</f>
        <v>1.6182505371724311E-2</v>
      </c>
      <c r="N285" s="1">
        <f>'[1]Electricity and CHPs'!J$110</f>
        <v>8.5657676386444448E-3</v>
      </c>
      <c r="O285" s="1">
        <f>'[1]Electricity and CHPs'!K$110</f>
        <v>8.3895214428776777E-3</v>
      </c>
      <c r="P285" s="1">
        <f>'[1]Electricity and CHPs'!L$110</f>
        <v>8.1871982341256179E-3</v>
      </c>
      <c r="Q285" s="1">
        <f>'[1]Electricity and CHPs'!M$110</f>
        <v>1.1054808266205267E-2</v>
      </c>
      <c r="S285" s="3"/>
    </row>
    <row r="286" spans="1:19" x14ac:dyDescent="0.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2.1697127781321341E-3</v>
      </c>
      <c r="J286" s="1">
        <f>'[1]Electricity and CHPs'!F$113</f>
        <v>3.5911007855977529E-3</v>
      </c>
      <c r="K286" s="1">
        <f>'[1]Electricity and CHPs'!G$113</f>
        <v>0.42407274722088129</v>
      </c>
      <c r="L286" s="1">
        <f>'[1]Electricity and CHPs'!H$113</f>
        <v>0.5259315494436857</v>
      </c>
      <c r="M286" s="1">
        <f>'[1]Electricity and CHPs'!I$113</f>
        <v>0.51444108039669301</v>
      </c>
      <c r="N286" s="1">
        <f>'[1]Electricity and CHPs'!J$113</f>
        <v>0.51162427275879141</v>
      </c>
      <c r="O286" s="1">
        <f>'[1]Electricity and CHPs'!K$113</f>
        <v>0.50716814720093262</v>
      </c>
      <c r="P286" s="1">
        <f>'[1]Electricity and CHPs'!L$113</f>
        <v>0.50678208513548617</v>
      </c>
      <c r="Q286" s="1">
        <f>'[1]Electricity and CHPs'!M$113</f>
        <v>0.49230973485599117</v>
      </c>
      <c r="S286" s="3"/>
    </row>
    <row r="287" spans="1:19" x14ac:dyDescent="0.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9.730598439625785E-4</v>
      </c>
      <c r="J287" s="1">
        <f>'[1]Electricity and CHPs'!F$117</f>
        <v>1.0009546572428763E-3</v>
      </c>
      <c r="K287" s="1">
        <f>'[1]Electricity and CHPs'!G$117</f>
        <v>9.3868012384784559E-3</v>
      </c>
      <c r="L287" s="1">
        <f>'[1]Electricity and CHPs'!H$117</f>
        <v>7.818122334551909E-3</v>
      </c>
      <c r="M287" s="1">
        <f>'[1]Electricity and CHPs'!I$117</f>
        <v>3.4806282314056433E-3</v>
      </c>
      <c r="N287" s="1">
        <f>'[1]Electricity and CHPs'!J$117</f>
        <v>4.4993197589884553E-3</v>
      </c>
      <c r="O287" s="1">
        <f>'[1]Electricity and CHPs'!K$117</f>
        <v>3.1892011837864514E-3</v>
      </c>
      <c r="P287" s="1">
        <f>'[1]Electricity and CHPs'!L$117</f>
        <v>2.6378084475257089E-3</v>
      </c>
      <c r="Q287" s="1">
        <f>'[1]Electricity and CHPs'!M$117</f>
        <v>4.8903493656248702E-3</v>
      </c>
      <c r="S287" s="3"/>
    </row>
    <row r="288" spans="1:19" x14ac:dyDescent="0.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84">SUM(G289:G290)</f>
        <v>0</v>
      </c>
      <c r="H288" s="1">
        <f t="shared" si="284"/>
        <v>0</v>
      </c>
      <c r="I288" s="1">
        <f t="shared" si="284"/>
        <v>6.2128867569438738E-3</v>
      </c>
      <c r="J288" s="1">
        <f t="shared" si="284"/>
        <v>0.5100933582315641</v>
      </c>
      <c r="K288" s="1">
        <f t="shared" si="284"/>
        <v>1.7775756530794102</v>
      </c>
      <c r="L288" s="1">
        <f t="shared" ref="L288:O288" si="285">SUM(L289:L290)</f>
        <v>2.2524874774352224</v>
      </c>
      <c r="M288" s="1">
        <f t="shared" si="285"/>
        <v>2.066096660594003</v>
      </c>
      <c r="N288" s="1">
        <f t="shared" si="285"/>
        <v>2.056977870221238</v>
      </c>
      <c r="O288" s="1">
        <f t="shared" si="285"/>
        <v>2.0311393425952033</v>
      </c>
      <c r="P288" s="1">
        <f>SUM(P289:P290)</f>
        <v>2.0202724247468207</v>
      </c>
      <c r="Q288" s="1">
        <f>SUM(Q289:Q290)</f>
        <v>2.028966606625989</v>
      </c>
      <c r="S288" s="3"/>
    </row>
    <row r="289" spans="1:19" x14ac:dyDescent="0.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5.3338300104569846E-3</v>
      </c>
      <c r="J289" s="1">
        <f>'[1]Electricity and CHPs'!F$108</f>
        <v>0.50803057365529991</v>
      </c>
      <c r="K289" s="1">
        <f>'[1]Electricity and CHPs'!G$108</f>
        <v>1.7678934148356868</v>
      </c>
      <c r="L289" s="1">
        <f>'[1]Electricity and CHPs'!H$108</f>
        <v>2.2164232337746399</v>
      </c>
      <c r="M289" s="1">
        <f>'[1]Electricity and CHPs'!I$108</f>
        <v>2.0149307832804788</v>
      </c>
      <c r="N289" s="1">
        <f>'[1]Electricity and CHPs'!J$108</f>
        <v>2.0149311630396722</v>
      </c>
      <c r="O289" s="1">
        <f>'[1]Electricity and CHPs'!K$108</f>
        <v>2.0149304658144209</v>
      </c>
      <c r="P289" s="1">
        <f>'[1]Electricity and CHPs'!L$108</f>
        <v>2.0149308369741639</v>
      </c>
      <c r="Q289" s="1">
        <f>'[1]Electricity and CHPs'!M$108</f>
        <v>2.0149319126491148</v>
      </c>
      <c r="S289" s="3"/>
    </row>
    <row r="290" spans="1:19" x14ac:dyDescent="0.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8.7905674648688947E-4</v>
      </c>
      <c r="J290" s="1">
        <f>'[1]Electricity and CHPs'!F$119</f>
        <v>2.0627845762642184E-3</v>
      </c>
      <c r="K290" s="1">
        <f>'[1]Electricity and CHPs'!G$119</f>
        <v>9.6822382437233446E-3</v>
      </c>
      <c r="L290" s="1">
        <f>'[1]Electricity and CHPs'!H$119</f>
        <v>3.6064243660582418E-2</v>
      </c>
      <c r="M290" s="1">
        <f>'[1]Electricity and CHPs'!I$119</f>
        <v>5.1165877313523983E-2</v>
      </c>
      <c r="N290" s="1">
        <f>'[1]Electricity and CHPs'!J$119</f>
        <v>4.2046707181565904E-2</v>
      </c>
      <c r="O290" s="1">
        <f>'[1]Electricity and CHPs'!K$119</f>
        <v>1.6208876780782564E-2</v>
      </c>
      <c r="P290" s="1">
        <f>'[1]Electricity and CHPs'!L$119</f>
        <v>5.3415877726566531E-3</v>
      </c>
      <c r="Q290" s="1">
        <f>'[1]Electricity and CHPs'!M$119</f>
        <v>1.4034693976874138E-2</v>
      </c>
      <c r="S290" s="3"/>
    </row>
    <row r="291" spans="1:19" x14ac:dyDescent="0.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437.3234930953974</v>
      </c>
      <c r="G291" s="3">
        <f t="shared" ref="G291" si="286">SUM(G292,G294,G302,G310,G358,G379,G387,G389,G397,G401,G395)</f>
        <v>420.93174963837691</v>
      </c>
      <c r="H291" s="3">
        <f t="shared" ref="H291" si="287">SUM(H292,H294,H302,H310,H358,H379,H387,H389,H397,H401,H395)</f>
        <v>424.06676172838212</v>
      </c>
      <c r="I291" s="3">
        <f t="shared" ref="I291" si="288">SUM(I292,I294,I302,I310,I358,I379,I387,I389,I397,I401,I395)</f>
        <v>459.34700049144982</v>
      </c>
      <c r="J291" s="3">
        <f t="shared" ref="J291" si="289">SUM(J292,J294,J302,J310,J358,J379,J387,J389,J397,J401,J395)</f>
        <v>457.50071360816679</v>
      </c>
      <c r="K291" s="3">
        <f t="shared" ref="K291" si="290">SUM(K292,K294,K302,K310,K358,K379,K387,K389,K397,K401,K395)</f>
        <v>378.74513314518913</v>
      </c>
      <c r="L291" s="3">
        <f t="shared" ref="L291:O291" si="291">SUM(L292,L294,L302,L310,L358,L379,L387,L389,L397,L401,L395)</f>
        <v>298.14149739122252</v>
      </c>
      <c r="M291" s="3">
        <f t="shared" si="291"/>
        <v>310.6891374672453</v>
      </c>
      <c r="N291" s="3">
        <f t="shared" si="291"/>
        <v>366.85855859804138</v>
      </c>
      <c r="O291" s="3">
        <f t="shared" si="291"/>
        <v>433.39699686580428</v>
      </c>
      <c r="P291" s="3">
        <f>SUM(P292,P294,P302,P310,P358,P379,P387,P389,P397,P401,P395)</f>
        <v>437.00503548486711</v>
      </c>
      <c r="Q291" s="3">
        <f>SUM(Q292,Q294,Q302,Q310,Q358,Q379,Q387,Q389,Q397,Q401,Q395)</f>
        <v>439.53722932341964</v>
      </c>
      <c r="S291" s="3"/>
    </row>
    <row r="292" spans="1:19" x14ac:dyDescent="0.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250.94818047858215</v>
      </c>
      <c r="G292" s="1">
        <f t="shared" ref="G292:O292" si="292">G293</f>
        <v>254.3924508428228</v>
      </c>
      <c r="H292" s="1">
        <f t="shared" si="292"/>
        <v>224.18651727165295</v>
      </c>
      <c r="I292" s="1">
        <f t="shared" si="292"/>
        <v>221.53741709702842</v>
      </c>
      <c r="J292" s="1">
        <f t="shared" si="292"/>
        <v>190.48232501039547</v>
      </c>
      <c r="K292" s="1">
        <f t="shared" si="292"/>
        <v>100.03205193756989</v>
      </c>
      <c r="L292" s="1">
        <f t="shared" si="292"/>
        <v>0</v>
      </c>
      <c r="M292" s="1">
        <f t="shared" si="292"/>
        <v>0</v>
      </c>
      <c r="N292" s="1">
        <f t="shared" si="292"/>
        <v>50.72044952530392</v>
      </c>
      <c r="O292" s="1">
        <f t="shared" si="292"/>
        <v>111.87545287452092</v>
      </c>
      <c r="P292" s="1">
        <f>P293</f>
        <v>112.123508705151</v>
      </c>
      <c r="Q292" s="1">
        <f>Q293</f>
        <v>112.18734343512267</v>
      </c>
      <c r="S292" s="3"/>
    </row>
    <row r="293" spans="1:19" x14ac:dyDescent="0.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250.94818047858215</v>
      </c>
      <c r="G293" s="1">
        <f>'[1]Electricity and CHPs_IN'!C$14</f>
        <v>254.3924508428228</v>
      </c>
      <c r="H293" s="1">
        <f>'[1]Electricity and CHPs_IN'!D$14</f>
        <v>224.18651727165295</v>
      </c>
      <c r="I293" s="1">
        <f>'[1]Electricity and CHPs_IN'!E$14</f>
        <v>221.53741709702842</v>
      </c>
      <c r="J293" s="1">
        <f>'[1]Electricity and CHPs_IN'!F$14</f>
        <v>190.48232501039547</v>
      </c>
      <c r="K293" s="1">
        <f>'[1]Electricity and CHPs_IN'!G$14</f>
        <v>100.03205193756989</v>
      </c>
      <c r="L293" s="1">
        <f>'[1]Electricity and CHPs_IN'!H$14</f>
        <v>0</v>
      </c>
      <c r="M293" s="1">
        <f>'[1]Electricity and CHPs_IN'!I$14</f>
        <v>0</v>
      </c>
      <c r="N293" s="1">
        <f>'[1]Electricity and CHPs_IN'!J$14</f>
        <v>50.72044952530392</v>
      </c>
      <c r="O293" s="1">
        <f>'[1]Electricity and CHPs_IN'!K$14</f>
        <v>111.87545287452092</v>
      </c>
      <c r="P293" s="1">
        <f>'[1]Electricity and CHPs_IN'!L$14</f>
        <v>112.123508705151</v>
      </c>
      <c r="Q293" s="1">
        <f>'[1]Electricity and CHPs_IN'!M$14</f>
        <v>112.18734343512267</v>
      </c>
      <c r="S293" s="3"/>
    </row>
    <row r="294" spans="1:19" x14ac:dyDescent="0.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93">E293</f>
        <v>PJ/yr.</v>
      </c>
      <c r="F294" s="1">
        <f>SUM(F295:F297)</f>
        <v>149.43048270694527</v>
      </c>
      <c r="G294" s="1">
        <f t="shared" ref="G294:K294" si="294">SUM(G295:G297)</f>
        <v>125.60567770774072</v>
      </c>
      <c r="H294" s="1">
        <f t="shared" si="294"/>
        <v>141.1520556829862</v>
      </c>
      <c r="I294" s="1">
        <f t="shared" si="294"/>
        <v>151.12853071354942</v>
      </c>
      <c r="J294" s="1">
        <f t="shared" si="294"/>
        <v>151.49296164108551</v>
      </c>
      <c r="K294" s="1">
        <f t="shared" si="294"/>
        <v>151.56125846819117</v>
      </c>
      <c r="L294" s="1">
        <f t="shared" ref="L294:O294" si="295">SUM(L295:L297)</f>
        <v>151.83797388649475</v>
      </c>
      <c r="M294" s="1">
        <f t="shared" si="295"/>
        <v>151.9388809743806</v>
      </c>
      <c r="N294" s="1">
        <f t="shared" si="295"/>
        <v>151.98940678802151</v>
      </c>
      <c r="O294" s="1">
        <f t="shared" si="295"/>
        <v>153.45502538250255</v>
      </c>
      <c r="P294" s="1">
        <f>SUM(P295:P297)</f>
        <v>153.90670794716786</v>
      </c>
      <c r="Q294" s="1">
        <f>SUM(Q295:Q297)</f>
        <v>153.83803090277098</v>
      </c>
      <c r="S294" s="3"/>
    </row>
    <row r="295" spans="1:19" x14ac:dyDescent="0.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93"/>
        <v>PJ/yr.</v>
      </c>
      <c r="F295" s="1">
        <f>'[1]Electricity and CHPs_IN'!B$15</f>
        <v>66.745680087465431</v>
      </c>
      <c r="G295" s="1">
        <f>'[1]Electricity and CHPs_IN'!C$15</f>
        <v>49.798799106154775</v>
      </c>
      <c r="H295" s="1">
        <f>'[1]Electricity and CHPs_IN'!D$15</f>
        <v>68.756548342148591</v>
      </c>
      <c r="I295" s="1">
        <f>'[1]Electricity and CHPs_IN'!E$15</f>
        <v>70.431431991876849</v>
      </c>
      <c r="J295" s="1">
        <f>'[1]Electricity and CHPs_IN'!F$15</f>
        <v>71.413370097589095</v>
      </c>
      <c r="K295" s="1">
        <f>'[1]Electricity and CHPs_IN'!G$15</f>
        <v>72.497374580585273</v>
      </c>
      <c r="L295" s="1">
        <f>'[1]Electricity and CHPs_IN'!H$15</f>
        <v>73.751646859582706</v>
      </c>
      <c r="M295" s="1">
        <f>'[1]Electricity and CHPs_IN'!I$15</f>
        <v>74.835796597747816</v>
      </c>
      <c r="N295" s="1">
        <f>'[1]Electricity and CHPs_IN'!J$15</f>
        <v>74.835824674890546</v>
      </c>
      <c r="O295" s="1">
        <f>'[1]Electricity and CHPs_IN'!K$15</f>
        <v>74.835633381732961</v>
      </c>
      <c r="P295" s="1">
        <f>'[1]Electricity and CHPs_IN'!L$15</f>
        <v>74.835599397676688</v>
      </c>
      <c r="Q295" s="1">
        <f>'[1]Electricity and CHPs_IN'!M$15</f>
        <v>74.836042706184401</v>
      </c>
      <c r="S295" s="3"/>
    </row>
    <row r="296" spans="1:19" x14ac:dyDescent="0.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93"/>
        <v>PJ/yr.</v>
      </c>
      <c r="F296" s="1">
        <f>'[1]Electricity and CHPs_IN'!B$16</f>
        <v>66.632400805689144</v>
      </c>
      <c r="G296" s="1">
        <f>'[1]Electricity and CHPs_IN'!C$16</f>
        <v>55.763999647395103</v>
      </c>
      <c r="H296" s="1">
        <f>'[1]Electricity and CHPs_IN'!D$16</f>
        <v>65.553185207249157</v>
      </c>
      <c r="I296" s="1">
        <f>'[1]Electricity and CHPs_IN'!E$16</f>
        <v>64.716636921875647</v>
      </c>
      <c r="J296" s="1">
        <f>'[1]Electricity and CHPs_IN'!F$16</f>
        <v>63.735226441582611</v>
      </c>
      <c r="K296" s="1">
        <f>'[1]Electricity and CHPs_IN'!G$16</f>
        <v>62.651228130576513</v>
      </c>
      <c r="L296" s="1">
        <f>'[1]Electricity and CHPs_IN'!H$16</f>
        <v>61.5655219472916</v>
      </c>
      <c r="M296" s="1">
        <f>'[1]Electricity and CHPs_IN'!I$16</f>
        <v>60.481377772266136</v>
      </c>
      <c r="N296" s="1">
        <f>'[1]Electricity and CHPs_IN'!J$16</f>
        <v>60.481350320315187</v>
      </c>
      <c r="O296" s="1">
        <f>'[1]Electricity and CHPs_IN'!K$16</f>
        <v>60.4815432061556</v>
      </c>
      <c r="P296" s="1">
        <f>'[1]Electricity and CHPs_IN'!L$16</f>
        <v>60.481578029869766</v>
      </c>
      <c r="Q296" s="1">
        <f>'[1]Electricity and CHPs_IN'!M$16</f>
        <v>60.481139186772893</v>
      </c>
      <c r="S296" s="3"/>
    </row>
    <row r="297" spans="1:19" x14ac:dyDescent="0.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93"/>
        <v>PJ/yr.</v>
      </c>
      <c r="F297" s="1">
        <f>'[1]Electricity and CHPs_IN'!B$13</f>
        <v>16.052401813790713</v>
      </c>
      <c r="G297" s="1">
        <f>'[1]Electricity and CHPs_IN'!C$13</f>
        <v>20.042878954190837</v>
      </c>
      <c r="H297" s="1">
        <f>'[1]Electricity and CHPs_IN'!D$13</f>
        <v>6.842322133588441</v>
      </c>
      <c r="I297" s="1">
        <f>'[1]Electricity and CHPs_IN'!E$13</f>
        <v>15.980461799796934</v>
      </c>
      <c r="J297" s="1">
        <f>'[1]Electricity and CHPs_IN'!F$13</f>
        <v>16.344365101913795</v>
      </c>
      <c r="K297" s="1">
        <f>'[1]Electricity and CHPs_IN'!G$13</f>
        <v>16.412655757029377</v>
      </c>
      <c r="L297" s="1">
        <f>'[1]Electricity and CHPs_IN'!H$13</f>
        <v>16.520805079620462</v>
      </c>
      <c r="M297" s="1">
        <f>'[1]Electricity and CHPs_IN'!I$13</f>
        <v>16.621706604366633</v>
      </c>
      <c r="N297" s="1">
        <f>'[1]Electricity and CHPs_IN'!J$13</f>
        <v>16.672231792815776</v>
      </c>
      <c r="O297" s="1">
        <f>'[1]Electricity and CHPs_IN'!K$13</f>
        <v>18.137848794613991</v>
      </c>
      <c r="P297" s="1">
        <f>'[1]Electricity and CHPs_IN'!L$13</f>
        <v>18.589530519621402</v>
      </c>
      <c r="Q297" s="1">
        <f>'[1]Electricity and CHPs_IN'!M$13</f>
        <v>18.520849009813684</v>
      </c>
      <c r="S297" s="3"/>
    </row>
    <row r="298" spans="1:19" x14ac:dyDescent="0.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93"/>
        <v>PJ/yr.</v>
      </c>
      <c r="F298" s="1">
        <f>SUM(F299:F301)</f>
        <v>0.14310940826724899</v>
      </c>
      <c r="G298" s="1">
        <f t="shared" ref="G298:K298" si="296">SUM(G299:G301)</f>
        <v>5.3857057758133722E-2</v>
      </c>
      <c r="H298" s="1">
        <f t="shared" si="296"/>
        <v>1.1592898144208651E-2</v>
      </c>
      <c r="I298" s="1">
        <f t="shared" si="296"/>
        <v>7.6162686614572761E-2</v>
      </c>
      <c r="J298" s="1">
        <f t="shared" si="296"/>
        <v>0.11010653682373518</v>
      </c>
      <c r="K298" s="1">
        <f t="shared" si="296"/>
        <v>0.49298590996298036</v>
      </c>
      <c r="L298" s="1">
        <f t="shared" ref="L298:O298" si="297">SUM(L299:L301)</f>
        <v>0.49661611716211429</v>
      </c>
      <c r="M298" s="1">
        <f t="shared" si="297"/>
        <v>1.6581510293310675E-5</v>
      </c>
      <c r="N298" s="1">
        <f t="shared" si="297"/>
        <v>0.14399392609112802</v>
      </c>
      <c r="O298" s="1">
        <f t="shared" si="297"/>
        <v>0.14522026252176443</v>
      </c>
      <c r="P298" s="1">
        <f>SUM(P299:P301)</f>
        <v>0.20540849951972451</v>
      </c>
      <c r="Q298" s="1">
        <f>SUM(Q299:Q301)</f>
        <v>0.2093026176187423</v>
      </c>
      <c r="S298" s="3"/>
    </row>
    <row r="299" spans="1:19" x14ac:dyDescent="0.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93"/>
        <v>PJ/yr.</v>
      </c>
      <c r="F299" s="1">
        <f>'[1]Electricity and CHPs_IN'!B$18</f>
        <v>0.11902351751069486</v>
      </c>
      <c r="G299" s="1">
        <f>'[1]Electricity and CHPs_IN'!C$18</f>
        <v>6.0620435093475158E-4</v>
      </c>
      <c r="H299" s="1">
        <f>'[1]Electricity and CHPs_IN'!D$18</f>
        <v>7.2847820256951397E-3</v>
      </c>
      <c r="I299" s="1">
        <f>'[1]Electricity and CHPs_IN'!E$18</f>
        <v>1.1404575063778391E-3</v>
      </c>
      <c r="J299" s="1">
        <f>'[1]Electricity and CHPs_IN'!F$18</f>
        <v>8.6081638436725323E-4</v>
      </c>
      <c r="K299" s="1">
        <f>'[1]Electricity and CHPs_IN'!G$18</f>
        <v>0.49196638440956197</v>
      </c>
      <c r="L299" s="1">
        <f>'[1]Electricity and CHPs_IN'!H$18</f>
        <v>0.49600308026867973</v>
      </c>
      <c r="M299" s="1">
        <f>'[1]Electricity and CHPs_IN'!I$18</f>
        <v>1.6581510293310675E-5</v>
      </c>
      <c r="N299" s="1">
        <f>'[1]Electricity and CHPs_IN'!J$18</f>
        <v>4.3282969638395062E-3</v>
      </c>
      <c r="O299" s="1">
        <f>'[1]Electricity and CHPs_IN'!K$18</f>
        <v>5.4967331366202431E-3</v>
      </c>
      <c r="P299" s="1">
        <f>'[1]Electricity and CHPs_IN'!L$18</f>
        <v>3.4577259424997354E-3</v>
      </c>
      <c r="Q299" s="1">
        <f>'[1]Electricity and CHPs_IN'!M$18</f>
        <v>7.3114560332188201E-3</v>
      </c>
      <c r="S299" s="3"/>
    </row>
    <row r="300" spans="1:19" x14ac:dyDescent="0.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93"/>
        <v>PJ/yr.</v>
      </c>
      <c r="F300" s="1">
        <f>IFERROR(F72/SUM(F72,F185),0)*'[1]Electricity and CHPs_IN'!B$28</f>
        <v>3.3360856414092655E-3</v>
      </c>
      <c r="G300" s="1">
        <f>IFERROR(G72/SUM(G72,G185),0)*'[1]Electricity and CHPs_IN'!C$28</f>
        <v>1.1612736186669631E-4</v>
      </c>
      <c r="H300" s="1">
        <f>IFERROR(H72/SUM(H72,H185),0)*'[1]Electricity and CHPs_IN'!D$28</f>
        <v>1.2036402780292153E-3</v>
      </c>
      <c r="I300" s="1">
        <f>IFERROR(I72/SUM(I72,I185),0)*'[1]Electricity and CHPs_IN'!E$28</f>
        <v>3.9667070858540997E-4</v>
      </c>
      <c r="J300" s="1">
        <f>IFERROR(J72/SUM(J72,J185),0)*'[1]Electricity and CHPs_IN'!F$28</f>
        <v>1.5442923270489768E-4</v>
      </c>
      <c r="K300" s="1">
        <f>IFERROR(K72/SUM(K72,K185),0)*'[1]Electricity and CHPs_IN'!G$28</f>
        <v>1.0195255534183674E-3</v>
      </c>
      <c r="L300" s="1">
        <f>IFERROR(L72/SUM(L72,L185),0)*'[1]Electricity and CHPs_IN'!H$28</f>
        <v>6.1303689343458474E-4</v>
      </c>
      <c r="M300" s="1">
        <f>IFERROR(M72/SUM(M72,M185),0)*'[1]Electricity and CHPs_IN'!I$28</f>
        <v>0</v>
      </c>
      <c r="N300" s="1">
        <f>IFERROR(N72/SUM(N72,N185),0)*'[1]Electricity and CHPs_IN'!J$28</f>
        <v>9.0637444895831824E-5</v>
      </c>
      <c r="O300" s="1">
        <f>IFERROR(O72/SUM(O72,O185),0)*'[1]Electricity and CHPs_IN'!K$28</f>
        <v>1.0749131270393386E-4</v>
      </c>
      <c r="P300" s="1">
        <f>IFERROR(P72/SUM(P72,P185),0)*'[1]Electricity and CHPs_IN'!L$28</f>
        <v>9.7754630627302914E-5</v>
      </c>
      <c r="Q300" s="1">
        <f>IFERROR(Q72/SUM(Q72,Q185),0)*'[1]Electricity and CHPs_IN'!M$28</f>
        <v>1.3379302549101842E-4</v>
      </c>
      <c r="S300" s="3"/>
    </row>
    <row r="301" spans="1:19" x14ac:dyDescent="0.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93"/>
        <v>PJ/yr.</v>
      </c>
      <c r="F301" s="1">
        <f>IFERROR(F73/SUM(F73,F235),0)*'[1]Electricity and CHPs_IN'!B$41</f>
        <v>2.0749805115144886E-2</v>
      </c>
      <c r="G301" s="1">
        <f>IFERROR(G73/SUM(G73,G235),0)*'[1]Electricity and CHPs_IN'!C$41</f>
        <v>5.3134726045332273E-2</v>
      </c>
      <c r="H301" s="1">
        <f>IFERROR(H73/SUM(H73,H235),0)*'[1]Electricity and CHPs_IN'!D$41</f>
        <v>3.1044758404842961E-3</v>
      </c>
      <c r="I301" s="1">
        <f>IFERROR(I73/SUM(I73,I235),0)*'[1]Electricity and CHPs_IN'!E$41</f>
        <v>7.4625558399609507E-2</v>
      </c>
      <c r="J301" s="1">
        <f>IFERROR(J73/SUM(J73,J235),0)*'[1]Electricity and CHPs_IN'!F$41</f>
        <v>0.10909129120666303</v>
      </c>
      <c r="K301" s="1">
        <f>IFERROR(K73/SUM(K73,K235),0)*'[1]Electricity and CHPs_IN'!G$41</f>
        <v>0</v>
      </c>
      <c r="L301" s="1">
        <f>IFERROR(L73/SUM(L73,L235),0)*'[1]Electricity and CHPs_IN'!H$41</f>
        <v>0</v>
      </c>
      <c r="M301" s="1">
        <f>IFERROR(M73/SUM(M73,M235),0)*'[1]Electricity and CHPs_IN'!I$41</f>
        <v>0</v>
      </c>
      <c r="N301" s="1">
        <f>IFERROR(N73/SUM(N73,N235),0)*'[1]Electricity and CHPs_IN'!J$41</f>
        <v>0.13957499168239268</v>
      </c>
      <c r="O301" s="1">
        <f>IFERROR(O73/SUM(O73,O235),0)*'[1]Electricity and CHPs_IN'!K$41</f>
        <v>0.13961603807244025</v>
      </c>
      <c r="P301" s="1">
        <f>IFERROR(P73/SUM(P73,P235),0)*'[1]Electricity and CHPs_IN'!L$41</f>
        <v>0.20185301894659746</v>
      </c>
      <c r="Q301" s="1">
        <f>IFERROR(Q73/SUM(Q73,Q235),0)*'[1]Electricity and CHPs_IN'!M$41</f>
        <v>0.20185736856003247</v>
      </c>
      <c r="S301" s="3"/>
    </row>
    <row r="302" spans="1:19" x14ac:dyDescent="0.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93"/>
        <v>PJ/yr.</v>
      </c>
      <c r="F302" s="1">
        <f>F298</f>
        <v>0.14310940826724899</v>
      </c>
      <c r="G302" s="1">
        <f t="shared" ref="G302:K302" si="298">G298</f>
        <v>5.3857057758133722E-2</v>
      </c>
      <c r="H302" s="1">
        <f t="shared" si="298"/>
        <v>1.1592898144208651E-2</v>
      </c>
      <c r="I302" s="1">
        <f t="shared" si="298"/>
        <v>7.6162686614572761E-2</v>
      </c>
      <c r="J302" s="1">
        <f t="shared" si="298"/>
        <v>0.11010653682373518</v>
      </c>
      <c r="K302" s="1">
        <f t="shared" si="298"/>
        <v>0.49298590996298036</v>
      </c>
      <c r="L302" s="1">
        <f t="shared" ref="L302:O302" si="299">L298</f>
        <v>0.49661611716211429</v>
      </c>
      <c r="M302" s="1">
        <f t="shared" si="299"/>
        <v>1.6581510293310675E-5</v>
      </c>
      <c r="N302" s="1">
        <f t="shared" si="299"/>
        <v>0.14399392609112802</v>
      </c>
      <c r="O302" s="1">
        <f t="shared" si="299"/>
        <v>0.14522026252176443</v>
      </c>
      <c r="P302" s="1">
        <f t="shared" ref="P302:Q305" si="300">P298</f>
        <v>0.20540849951972451</v>
      </c>
      <c r="Q302" s="1">
        <f t="shared" si="300"/>
        <v>0.2093026176187423</v>
      </c>
      <c r="S302" s="3"/>
    </row>
    <row r="303" spans="1:19" x14ac:dyDescent="0.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93"/>
        <v>PJ/yr.</v>
      </c>
      <c r="F303" s="1">
        <f t="shared" ref="F303:K303" si="301">F299</f>
        <v>0.11902351751069486</v>
      </c>
      <c r="G303" s="1">
        <f t="shared" si="301"/>
        <v>6.0620435093475158E-4</v>
      </c>
      <c r="H303" s="1">
        <f t="shared" si="301"/>
        <v>7.2847820256951397E-3</v>
      </c>
      <c r="I303" s="1">
        <f t="shared" si="301"/>
        <v>1.1404575063778391E-3</v>
      </c>
      <c r="J303" s="1">
        <f t="shared" si="301"/>
        <v>8.6081638436725323E-4</v>
      </c>
      <c r="K303" s="1">
        <f t="shared" si="301"/>
        <v>0.49196638440956197</v>
      </c>
      <c r="L303" s="1">
        <f t="shared" ref="L303:O303" si="302">L299</f>
        <v>0.49600308026867973</v>
      </c>
      <c r="M303" s="1">
        <f t="shared" si="302"/>
        <v>1.6581510293310675E-5</v>
      </c>
      <c r="N303" s="1">
        <f t="shared" si="302"/>
        <v>4.3282969638395062E-3</v>
      </c>
      <c r="O303" s="1">
        <f t="shared" si="302"/>
        <v>5.4967331366202431E-3</v>
      </c>
      <c r="P303" s="1">
        <f t="shared" si="300"/>
        <v>3.4577259424997354E-3</v>
      </c>
      <c r="Q303" s="1">
        <f t="shared" si="300"/>
        <v>7.3114560332188201E-3</v>
      </c>
      <c r="S303" s="3"/>
    </row>
    <row r="304" spans="1:19" x14ac:dyDescent="0.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93"/>
        <v>PJ/yr.</v>
      </c>
      <c r="F304" s="1">
        <f t="shared" ref="F304:K304" si="303">F300</f>
        <v>3.3360856414092655E-3</v>
      </c>
      <c r="G304" s="1">
        <f t="shared" si="303"/>
        <v>1.1612736186669631E-4</v>
      </c>
      <c r="H304" s="1">
        <f t="shared" si="303"/>
        <v>1.2036402780292153E-3</v>
      </c>
      <c r="I304" s="1">
        <f t="shared" si="303"/>
        <v>3.9667070858540997E-4</v>
      </c>
      <c r="J304" s="1">
        <f t="shared" si="303"/>
        <v>1.5442923270489768E-4</v>
      </c>
      <c r="K304" s="1">
        <f t="shared" si="303"/>
        <v>1.0195255534183674E-3</v>
      </c>
      <c r="L304" s="1">
        <f t="shared" ref="L304:O304" si="304">L300</f>
        <v>6.1303689343458474E-4</v>
      </c>
      <c r="M304" s="1">
        <f t="shared" si="304"/>
        <v>0</v>
      </c>
      <c r="N304" s="1">
        <f t="shared" si="304"/>
        <v>9.0637444895831824E-5</v>
      </c>
      <c r="O304" s="1">
        <f t="shared" si="304"/>
        <v>1.0749131270393386E-4</v>
      </c>
      <c r="P304" s="1">
        <f t="shared" si="300"/>
        <v>9.7754630627302914E-5</v>
      </c>
      <c r="Q304" s="1">
        <f t="shared" si="300"/>
        <v>1.3379302549101842E-4</v>
      </c>
      <c r="S304" s="3"/>
    </row>
    <row r="305" spans="1:19" x14ac:dyDescent="0.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93"/>
        <v>PJ/yr.</v>
      </c>
      <c r="F305" s="1">
        <f t="shared" ref="F305:K305" si="305">F301</f>
        <v>2.0749805115144886E-2</v>
      </c>
      <c r="G305" s="1">
        <f t="shared" si="305"/>
        <v>5.3134726045332273E-2</v>
      </c>
      <c r="H305" s="1">
        <f t="shared" si="305"/>
        <v>3.1044758404842961E-3</v>
      </c>
      <c r="I305" s="1">
        <f t="shared" si="305"/>
        <v>7.4625558399609507E-2</v>
      </c>
      <c r="J305" s="1">
        <f t="shared" si="305"/>
        <v>0.10909129120666303</v>
      </c>
      <c r="K305" s="1">
        <f t="shared" si="305"/>
        <v>0</v>
      </c>
      <c r="L305" s="1">
        <f t="shared" ref="L305:O305" si="306">L301</f>
        <v>0</v>
      </c>
      <c r="M305" s="1">
        <f t="shared" si="306"/>
        <v>0</v>
      </c>
      <c r="N305" s="1">
        <f t="shared" si="306"/>
        <v>0.13957499168239268</v>
      </c>
      <c r="O305" s="1">
        <f t="shared" si="306"/>
        <v>0.13961603807244025</v>
      </c>
      <c r="P305" s="1">
        <f t="shared" si="300"/>
        <v>0.20185301894659746</v>
      </c>
      <c r="Q305" s="1">
        <f t="shared" si="300"/>
        <v>0.20185736856003247</v>
      </c>
      <c r="S305" s="3"/>
    </row>
    <row r="306" spans="1:19" x14ac:dyDescent="0.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93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S306" s="3"/>
    </row>
    <row r="307" spans="1:19" x14ac:dyDescent="0.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93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S307" s="3"/>
    </row>
    <row r="308" spans="1:19" x14ac:dyDescent="0.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93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S308" s="3"/>
    </row>
    <row r="309" spans="1:19" x14ac:dyDescent="0.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93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S309" s="3"/>
    </row>
    <row r="310" spans="1:19" x14ac:dyDescent="0.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93"/>
        <v>PJ/yr.</v>
      </c>
      <c r="F310" s="1">
        <f>SUM(F311:F325)</f>
        <v>4.0596788191056961</v>
      </c>
      <c r="G310" s="1">
        <f t="shared" ref="G310:K310" si="307">SUM(G311:G325)</f>
        <v>2.639191628390567</v>
      </c>
      <c r="H310" s="1">
        <f t="shared" si="307"/>
        <v>2.9787805546244441</v>
      </c>
      <c r="I310" s="1">
        <f t="shared" si="307"/>
        <v>3.62144827705362</v>
      </c>
      <c r="J310" s="1">
        <f t="shared" si="307"/>
        <v>3.7676420989663812</v>
      </c>
      <c r="K310" s="1">
        <f t="shared" si="307"/>
        <v>3.813982955554895</v>
      </c>
      <c r="L310" s="1">
        <f t="shared" ref="L310:O310" si="308">SUM(L311:L325)</f>
        <v>5.6855342600065164</v>
      </c>
      <c r="M310" s="1">
        <f t="shared" si="308"/>
        <v>6.0667743069064635</v>
      </c>
      <c r="N310" s="1">
        <f t="shared" si="308"/>
        <v>7.0348286232201538</v>
      </c>
      <c r="O310" s="1">
        <f t="shared" si="308"/>
        <v>8.4531628993562897</v>
      </c>
      <c r="P310" s="1">
        <f>SUM(P311:P325)</f>
        <v>8.9104068309788609</v>
      </c>
      <c r="Q310" s="1">
        <f>SUM(Q311:Q325)</f>
        <v>8.933232555723281</v>
      </c>
      <c r="S310" s="3"/>
    </row>
    <row r="311" spans="1:19" x14ac:dyDescent="0.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93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1.0699328043895224E-5</v>
      </c>
      <c r="L311" s="1">
        <f>'[1]Electricity and CHPs_IN'!H$21</f>
        <v>9.8944390188058167E-6</v>
      </c>
      <c r="M311" s="1">
        <f>'[1]Electricity and CHPs_IN'!I$21</f>
        <v>3.4623523573051602E-4</v>
      </c>
      <c r="N311" s="1">
        <f>'[1]Electricity and CHPs_IN'!J$21</f>
        <v>2.7851018655878634E-3</v>
      </c>
      <c r="O311" s="1">
        <f>'[1]Electricity and CHPs_IN'!K$21</f>
        <v>3.3886727517261094E-3</v>
      </c>
      <c r="P311" s="1">
        <f>'[1]Electricity and CHPs_IN'!L$21</f>
        <v>3.3351276093853536E-3</v>
      </c>
      <c r="Q311" s="1">
        <f>'[1]Electricity and CHPs_IN'!M$21</f>
        <v>5.3598947008992636E-3</v>
      </c>
      <c r="S311" s="3"/>
    </row>
    <row r="312" spans="1:19" x14ac:dyDescent="0.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93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0</v>
      </c>
      <c r="K312" s="1">
        <f>'[1]Electricity and CHPs_IN'!G$22</f>
        <v>8.1121956949062921E-6</v>
      </c>
      <c r="L312" s="1">
        <f>'[1]Electricity and CHPs_IN'!H$22</f>
        <v>4.0359731449625953E-6</v>
      </c>
      <c r="M312" s="1">
        <f>'[1]Electricity and CHPs_IN'!I$22</f>
        <v>0.11883325503677708</v>
      </c>
      <c r="N312" s="1">
        <f>'[1]Electricity and CHPs_IN'!J$22</f>
        <v>2.9450958609029774E-2</v>
      </c>
      <c r="O312" s="1">
        <f>'[1]Electricity and CHPs_IN'!K$22</f>
        <v>1.8142948034375887E-2</v>
      </c>
      <c r="P312" s="1">
        <f>'[1]Electricity and CHPs_IN'!L$22</f>
        <v>2.0786957089774974E-2</v>
      </c>
      <c r="Q312" s="1">
        <f>'[1]Electricity and CHPs_IN'!M$22</f>
        <v>1.7902355594976264E-2</v>
      </c>
      <c r="S312" s="3"/>
    </row>
    <row r="313" spans="1:19" x14ac:dyDescent="0.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93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0</v>
      </c>
      <c r="L313" s="1">
        <f>'[1]Electricity and CHPs_IN'!H$23</f>
        <v>1.0138651832439108E-5</v>
      </c>
      <c r="M313" s="1">
        <f>'[1]Electricity and CHPs_IN'!I$23</f>
        <v>3.5553176723869182E-4</v>
      </c>
      <c r="N313" s="1">
        <f>'[1]Electricity and CHPs_IN'!J$23</f>
        <v>8.8850692601001632E-2</v>
      </c>
      <c r="O313" s="1">
        <f>'[1]Electricity and CHPs_IN'!K$23</f>
        <v>9.9496962759910795E-2</v>
      </c>
      <c r="P313" s="1">
        <f>'[1]Electricity and CHPs_IN'!L$23</f>
        <v>9.6972551863867759E-2</v>
      </c>
      <c r="Q313" s="1">
        <f>'[1]Electricity and CHPs_IN'!M$23</f>
        <v>9.8399454749589527E-2</v>
      </c>
      <c r="S313" s="3"/>
    </row>
    <row r="314" spans="1:19" x14ac:dyDescent="0.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93"/>
        <v>PJ/yr.</v>
      </c>
      <c r="F314" s="1">
        <f>IFERROR(F86/SUM(F86+F189),0)*'[1]Electricity and CHPs_IN'!B$24</f>
        <v>1.2819021182075039</v>
      </c>
      <c r="G314" s="1">
        <f>IFERROR(G86/SUM(G86+G189),0)*'[1]Electricity and CHPs_IN'!C$24</f>
        <v>3.7441119691126995E-4</v>
      </c>
      <c r="H314" s="1">
        <f>IFERROR(H86/SUM(H86+H189),0)*'[1]Electricity and CHPs_IN'!D$24</f>
        <v>1.9222441904062097E-3</v>
      </c>
      <c r="I314" s="1">
        <f>IFERROR(I86/SUM(I86+I189),0)*'[1]Electricity and CHPs_IN'!E$24</f>
        <v>0</v>
      </c>
      <c r="J314" s="1">
        <f>IFERROR(J86/SUM(J86+J189),0)*'[1]Electricity and CHPs_IN'!F$24</f>
        <v>0</v>
      </c>
      <c r="K314" s="1">
        <f>IFERROR(K86/SUM(K86+K189),0)*'[1]Electricity and CHPs_IN'!G$24</f>
        <v>0</v>
      </c>
      <c r="L314" s="1">
        <f>IFERROR(L86/SUM(L86+L189),0)*'[1]Electricity and CHPs_IN'!H$24</f>
        <v>0</v>
      </c>
      <c r="M314" s="1">
        <f>IFERROR(M86/SUM(M86+M189),0)*'[1]Electricity and CHPs_IN'!I$24</f>
        <v>0</v>
      </c>
      <c r="N314" s="1">
        <f>IFERROR(N86/SUM(N86+N189),0)*'[1]Electricity and CHPs_IN'!J$24</f>
        <v>0</v>
      </c>
      <c r="O314" s="1">
        <f>IFERROR(O86/SUM(O86+O189),0)*'[1]Electricity and CHPs_IN'!K$24</f>
        <v>0</v>
      </c>
      <c r="P314" s="1">
        <f>IFERROR(P86/SUM(P86+P189),0)*'[1]Electricity and CHPs_IN'!L$24</f>
        <v>0</v>
      </c>
      <c r="Q314" s="1">
        <f>IFERROR(Q86/SUM(Q86+Q189),0)*'[1]Electricity and CHPs_IN'!M$24</f>
        <v>0</v>
      </c>
      <c r="S314" s="3"/>
    </row>
    <row r="315" spans="1:19" x14ac:dyDescent="0.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93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</v>
      </c>
      <c r="L315" s="1">
        <f>IFERROR(L87/SUM(L87+L190),0)*'[1]Electricity and CHPs_IN'!H$29</f>
        <v>0</v>
      </c>
      <c r="M315" s="1">
        <f>IFERROR(M87/SUM(M87+M190),0)*'[1]Electricity and CHPs_IN'!I$29</f>
        <v>0</v>
      </c>
      <c r="N315" s="1">
        <f>IFERROR(N87/SUM(N87+N190),0)*'[1]Electricity and CHPs_IN'!J$29</f>
        <v>0</v>
      </c>
      <c r="O315" s="1">
        <f>IFERROR(O87/SUM(O87+O190),0)*'[1]Electricity and CHPs_IN'!K$29</f>
        <v>0</v>
      </c>
      <c r="P315" s="1">
        <f>IFERROR(P87/SUM(P87+P190),0)*'[1]Electricity and CHPs_IN'!L$29</f>
        <v>0</v>
      </c>
      <c r="Q315" s="1">
        <f>IFERROR(Q87/SUM(Q87+Q190),0)*'[1]Electricity and CHPs_IN'!M$29</f>
        <v>0</v>
      </c>
      <c r="S315" s="3"/>
    </row>
    <row r="316" spans="1:19" x14ac:dyDescent="0.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93"/>
        <v>PJ/yr.</v>
      </c>
      <c r="F316" s="1">
        <f>F88/SUM(F88,F241)*'[1]Electricity and CHPs_IN'!B$39</f>
        <v>0.8932837651357145</v>
      </c>
      <c r="G316" s="1">
        <f>G88/SUM(G88,G241)*'[1]Electricity and CHPs_IN'!C$39</f>
        <v>0.5582756537227026</v>
      </c>
      <c r="H316" s="1">
        <f>H88/SUM(H88,H241)*'[1]Electricity and CHPs_IN'!D$39</f>
        <v>7.1448699868225024E-2</v>
      </c>
      <c r="I316" s="1">
        <f>I88/SUM(I88,I241)*'[1]Electricity and CHPs_IN'!E$39</f>
        <v>0.55462160361190949</v>
      </c>
      <c r="J316" s="1">
        <f>J88/SUM(J88,J241)*'[1]Electricity and CHPs_IN'!F$39</f>
        <v>0.2788465537544052</v>
      </c>
      <c r="K316" s="1">
        <f>K88/SUM(K88,K241)*'[1]Electricity and CHPs_IN'!G$39</f>
        <v>0.87096680563616669</v>
      </c>
      <c r="L316" s="1">
        <f>L88/SUM(L88,L241)*'[1]Electricity and CHPs_IN'!H$39</f>
        <v>0.91656820154713337</v>
      </c>
      <c r="M316" s="1">
        <f>M88/SUM(M88,M241)*'[1]Electricity and CHPs_IN'!I$39</f>
        <v>0.92330172383169151</v>
      </c>
      <c r="N316" s="1">
        <f>N88/SUM(N88,N241)*'[1]Electricity and CHPs_IN'!J$39</f>
        <v>0.92344428068687145</v>
      </c>
      <c r="O316" s="1">
        <f>O88/SUM(O88,O241)*'[1]Electricity and CHPs_IN'!K$39</f>
        <v>0.77492358150918483</v>
      </c>
      <c r="P316" s="1">
        <f>P88/SUM(P88,P241)*'[1]Electricity and CHPs_IN'!L$39</f>
        <v>0.92469711440346758</v>
      </c>
      <c r="Q316" s="1">
        <f>Q88/SUM(Q88,Q241)*'[1]Electricity and CHPs_IN'!M$39</f>
        <v>0.92683225905985045</v>
      </c>
      <c r="S316" s="3"/>
    </row>
    <row r="317" spans="1:19" x14ac:dyDescent="0.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93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6.9630650998091471E-3</v>
      </c>
      <c r="L317" s="1">
        <f>IFERROR(L89/SUM(L89,L242),0)*'[1]Electricity and CHPs_IN'!H$40</f>
        <v>0.35657097228145718</v>
      </c>
      <c r="M317" s="1">
        <f>IFERROR(M89/SUM(M89,M242),0)*'[1]Electricity and CHPs_IN'!I$40</f>
        <v>0.35992078701970559</v>
      </c>
      <c r="N317" s="1">
        <f>IFERROR(N89/SUM(N89,N242),0)*'[1]Electricity and CHPs_IN'!J$40</f>
        <v>0.36059806483858658</v>
      </c>
      <c r="O317" s="1">
        <f>IFERROR(O89/SUM(O89,O242),0)*'[1]Electricity and CHPs_IN'!K$40</f>
        <v>0.30285972929190452</v>
      </c>
      <c r="P317" s="1">
        <f>IFERROR(P89/SUM(P89,P242),0)*'[1]Electricity and CHPs_IN'!L$40</f>
        <v>0.36126301868048188</v>
      </c>
      <c r="Q317" s="1">
        <f>IFERROR(Q89/SUM(Q89,Q242),0)*'[1]Electricity and CHPs_IN'!M$40</f>
        <v>0.36249500252148498</v>
      </c>
      <c r="S317" s="3"/>
    </row>
    <row r="318" spans="1:19" x14ac:dyDescent="0.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93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M318" s="1">
        <f>IFERROR(M90/SUM(M90,M243),0)*'[1]Electricity and CHPs_IN'!$B$47</f>
        <v>0</v>
      </c>
      <c r="N318" s="1">
        <f>IFERROR(N90/SUM(N90,N243),0)*'[1]Electricity and CHPs_IN'!$B$47</f>
        <v>0</v>
      </c>
      <c r="O318" s="1">
        <f>IFERROR(O90/SUM(O90,O243),0)*'[1]Electricity and CHPs_IN'!$B$47</f>
        <v>0</v>
      </c>
      <c r="P318" s="1">
        <f>IFERROR(P90/SUM(P90,P243),0)*'[1]Electricity and CHPs_IN'!$B$47</f>
        <v>0</v>
      </c>
      <c r="Q318" s="1">
        <f>IFERROR(Q90/SUM(Q90,Q243),0)*'[1]Electricity and CHPs_IN'!$B$47</f>
        <v>0</v>
      </c>
      <c r="S318" s="3"/>
    </row>
    <row r="319" spans="1:19" x14ac:dyDescent="0.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93"/>
        <v>PJ/yr.</v>
      </c>
      <c r="F319" s="1">
        <f>F91/SUM(F91,F244)*'[1]Electricity and CHPs_IN'!B$48</f>
        <v>1.8493146570247979E-2</v>
      </c>
      <c r="G319" s="1">
        <f>G91/SUM(G91,G244)*'[1]Electricity and CHPs_IN'!C$48</f>
        <v>2.6850925679224457E-3</v>
      </c>
      <c r="H319" s="1">
        <f>H91/SUM(H91,H244)*'[1]Electricity and CHPs_IN'!D$48</f>
        <v>9.1095921903111433E-3</v>
      </c>
      <c r="I319" s="1">
        <f>IFERROR(I91/SUM(I91,I244)*'[1]Electricity and CHPs_IN'!E$48,0)</f>
        <v>6.8452296660745163E-3</v>
      </c>
      <c r="J319" s="1">
        <f>IFERROR(J91/SUM(J91,J244)*'[1]Electricity and CHPs_IN'!F$48,0)</f>
        <v>6.6683038946562861E-3</v>
      </c>
      <c r="K319" s="1">
        <f>IFERROR(K91/SUM(K91,K244)*'[1]Electricity and CHPs_IN'!G$48,0)</f>
        <v>3.1419114759170864E-3</v>
      </c>
      <c r="L319" s="1">
        <f>IFERROR(L91/SUM(L91,L244)*'[1]Electricity and CHPs_IN'!H$48,0)</f>
        <v>0</v>
      </c>
      <c r="M319" s="1">
        <f>IFERROR(M91/SUM(M91,M244)*'[1]Electricity and CHPs_IN'!I$48,0)</f>
        <v>0</v>
      </c>
      <c r="N319" s="1">
        <f>IFERROR(N91/SUM(N91,N244)*'[1]Electricity and CHPs_IN'!J$48,0)</f>
        <v>2.0528701637675278E-3</v>
      </c>
      <c r="O319" s="1">
        <f>IFERROR(O91/SUM(O91,O244)*'[1]Electricity and CHPs_IN'!K$48,0)</f>
        <v>2.3640997379552825E-3</v>
      </c>
      <c r="P319" s="1">
        <f>IFERROR(P91/SUM(P91,P244)*'[1]Electricity and CHPs_IN'!L$48,0)</f>
        <v>3.4551712256595331E-3</v>
      </c>
      <c r="Q319" s="1">
        <f>IFERROR(Q91/SUM(Q91,Q244)*'[1]Electricity and CHPs_IN'!M$48,0)</f>
        <v>3.8026929144370546E-3</v>
      </c>
      <c r="S319" s="3"/>
    </row>
    <row r="320" spans="1:19" x14ac:dyDescent="0.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93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IFERROR(J92/SUM(J92,J245),0)*'[1]Electricity and CHPs_IN'!F$49</f>
        <v>0</v>
      </c>
      <c r="K320" s="1">
        <f>IFERROR(K92/SUM(K92,K245),0)*'[1]Electricity and CHPs_IN'!G$49</f>
        <v>0</v>
      </c>
      <c r="L320" s="1">
        <f>IFERROR(L92/SUM(L92,L245),0)*'[1]Electricity and CHPs_IN'!H$49</f>
        <v>0</v>
      </c>
      <c r="M320" s="1">
        <f>IFERROR(M92/SUM(M92,M245),0)*'[1]Electricity and CHPs_IN'!I$49</f>
        <v>0</v>
      </c>
      <c r="N320" s="1">
        <f>IFERROR(N92/SUM(N92,N245),0)*'[1]Electricity and CHPs_IN'!J$49</f>
        <v>2.016462115669655E-3</v>
      </c>
      <c r="O320" s="1">
        <f>IFERROR(O92/SUM(O92,O245),0)*'[1]Electricity and CHPs_IN'!K$49</f>
        <v>3.3762172515658419E-3</v>
      </c>
      <c r="P320" s="1">
        <f>IFERROR(P92/SUM(P92,P245),0)*'[1]Electricity and CHPs_IN'!L$49</f>
        <v>3.3799455202001092E-3</v>
      </c>
      <c r="Q320" s="1">
        <f>IFERROR(Q92/SUM(Q92,Q245),0)*'[1]Electricity and CHPs_IN'!M$49</f>
        <v>6.5124353328083386E-3</v>
      </c>
      <c r="S320" s="3"/>
    </row>
    <row r="321" spans="1:19" x14ac:dyDescent="0.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93"/>
        <v>PJ/yr.</v>
      </c>
      <c r="F321" s="1">
        <f>IFERROR(F93/SUM(F93,F246),0)*'[1]Electricity and CHPs_IN'!B$51</f>
        <v>3.4209523961235631E-2</v>
      </c>
      <c r="G321" s="1">
        <f>IFERROR(G93/SUM(G93,G246),0)*'[1]Electricity and CHPs_IN'!C$51</f>
        <v>3.2073871562046753E-2</v>
      </c>
      <c r="H321" s="1">
        <f>IFERROR(H93/SUM(H93,H246),0)*'[1]Electricity and CHPs_IN'!D$51</f>
        <v>0.13161158205972773</v>
      </c>
      <c r="I321" s="1">
        <f>IFERROR(I93/SUM(I93,I246),0)*'[1]Electricity and CHPs_IN'!E$51</f>
        <v>0.13117515654237838</v>
      </c>
      <c r="J321" s="1">
        <f>IFERROR(J93/SUM(J93,J246),0)*'[1]Electricity and CHPs_IN'!F$51</f>
        <v>0.13151273156361754</v>
      </c>
      <c r="K321" s="1">
        <f>IFERROR(K93/SUM(K93,K246),0)*'[1]Electricity and CHPs_IN'!G$51</f>
        <v>5.6421950329213155E-2</v>
      </c>
      <c r="L321" s="1">
        <f>IFERROR(L93/SUM(L93,L246),0)*'[1]Electricity and CHPs_IN'!H$51</f>
        <v>0</v>
      </c>
      <c r="M321" s="1">
        <f>IFERROR(M93/SUM(M93,M246),0)*'[1]Electricity and CHPs_IN'!I$51</f>
        <v>0</v>
      </c>
      <c r="N321" s="1">
        <f>IFERROR(N93/SUM(N93,N246),0)*'[1]Electricity and CHPs_IN'!J$51</f>
        <v>1.2154294881890322E-3</v>
      </c>
      <c r="O321" s="1">
        <f>IFERROR(O93/SUM(O93,O246),0)*'[1]Electricity and CHPs_IN'!K$51</f>
        <v>3.1680123380081896E-3</v>
      </c>
      <c r="P321" s="1">
        <f>IFERROR(P93/SUM(P93,P246),0)*'[1]Electricity and CHPs_IN'!L$51</f>
        <v>2.4356646895990972E-3</v>
      </c>
      <c r="Q321" s="1">
        <f>IFERROR(Q93/SUM(Q93,Q246),0)*'[1]Electricity and CHPs_IN'!M$51</f>
        <v>6.7292580097985883E-3</v>
      </c>
      <c r="S321" s="3"/>
    </row>
    <row r="322" spans="1:19" x14ac:dyDescent="0.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93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IFERROR(J94/SUM(J94,J247),0)*'[1]Electricity and CHPs_IN'!F$52</f>
        <v>0</v>
      </c>
      <c r="K322" s="1">
        <f>IFERROR(K94/SUM(K94,K247),0)*'[1]Electricity and CHPs_IN'!G$52</f>
        <v>0</v>
      </c>
      <c r="L322" s="1">
        <f>IFERROR(L94/SUM(L94,L247),0)*'[1]Electricity and CHPs_IN'!H$52</f>
        <v>0</v>
      </c>
      <c r="M322" s="1">
        <f>IFERROR(M94/SUM(M94,M247),0)*'[1]Electricity and CHPs_IN'!I$52</f>
        <v>0</v>
      </c>
      <c r="N322" s="1">
        <f>IFERROR(N94/SUM(N94,N247),0)*'[1]Electricity and CHPs_IN'!J$52</f>
        <v>4.1132608915359983E-3</v>
      </c>
      <c r="O322" s="1">
        <f>IFERROR(O94/SUM(O94,O247),0)*'[1]Electricity and CHPs_IN'!K$52</f>
        <v>7.8457738118113372E-3</v>
      </c>
      <c r="P322" s="1">
        <f>IFERROR(P94/SUM(P94,P247),0)*'[1]Electricity and CHPs_IN'!L$52</f>
        <v>6.0697366756380135E-3</v>
      </c>
      <c r="Q322" s="1">
        <f>IFERROR(Q94/SUM(Q94,Q247),0)*'[1]Electricity and CHPs_IN'!M$52</f>
        <v>1.3094559896281629E-2</v>
      </c>
      <c r="S322" s="3"/>
    </row>
    <row r="323" spans="1:19" x14ac:dyDescent="0.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93"/>
        <v>PJ/yr.</v>
      </c>
      <c r="F323" s="1">
        <f>IFERROR(F95/SUM(F95,F248),0)*'[1]Electricity and CHPs_IN'!B$54</f>
        <v>1.064700490436201</v>
      </c>
      <c r="G323" s="1">
        <f>IFERROR(G95/SUM(G95,G248),0)*'[1]Electricity and CHPs_IN'!C$54</f>
        <v>1.2550396069593879</v>
      </c>
      <c r="H323" s="1">
        <f>IFERROR(H95/SUM(H95,H248),0)*'[1]Electricity and CHPs_IN'!D$54</f>
        <v>1.2995266217263819</v>
      </c>
      <c r="I323" s="1">
        <f>IFERROR(I95/SUM(I95,I248),0)*'[1]Electricity and CHPs_IN'!E$54</f>
        <v>1.3804737003025864</v>
      </c>
      <c r="J323" s="1">
        <f>IFERROR(J95/SUM(J95,J248),0)*'[1]Electricity and CHPs_IN'!F$54</f>
        <v>1.9048723358321995</v>
      </c>
      <c r="K323" s="1">
        <f>IFERROR(K95/SUM(K95,K248),0)*'[1]Electricity and CHPs_IN'!G$54</f>
        <v>2.0217373169167865</v>
      </c>
      <c r="L323" s="1">
        <f>IFERROR(L95/SUM(L95,L248),0)*'[1]Electricity and CHPs_IN'!H$54</f>
        <v>4.4123710171139292</v>
      </c>
      <c r="M323" s="1">
        <f>IFERROR(M95/SUM(M95,M248),0)*'[1]Electricity and CHPs_IN'!I$54</f>
        <v>4.6640167740153196</v>
      </c>
      <c r="N323" s="1">
        <f>IFERROR(N95/SUM(N95,N248),0)*'[1]Electricity and CHPs_IN'!J$54</f>
        <v>5.6170305030215939</v>
      </c>
      <c r="O323" s="1">
        <f>IFERROR(O95/SUM(O95,O248),0)*'[1]Electricity and CHPs_IN'!K$54</f>
        <v>7.2335702934792518</v>
      </c>
      <c r="P323" s="1">
        <f>IFERROR(P95/SUM(P95,P248),0)*'[1]Electricity and CHPs_IN'!L$54</f>
        <v>7.4849520019658096</v>
      </c>
      <c r="Q323" s="1">
        <f>IFERROR(Q95/SUM(Q95,Q248),0)*'[1]Electricity and CHPs_IN'!M$54</f>
        <v>7.4851105510638813</v>
      </c>
      <c r="S323" s="3"/>
    </row>
    <row r="324" spans="1:19" x14ac:dyDescent="0.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93"/>
        <v>PJ/yr.</v>
      </c>
      <c r="F324" s="1">
        <f>IFERROR(F96/SUM(F96,F249),0)*'[1]Electricity and CHPs_IN'!B$55</f>
        <v>0.76708977479479312</v>
      </c>
      <c r="G324" s="1">
        <f>IFERROR(G96/SUM(G96,G249),0)*'[1]Electricity and CHPs_IN'!C$55</f>
        <v>0.79074299238159573</v>
      </c>
      <c r="H324" s="1">
        <f>IFERROR(H96/SUM(H96,H249),0)*'[1]Electricity and CHPs_IN'!D$55</f>
        <v>1.4651618145893921</v>
      </c>
      <c r="I324" s="1">
        <f>IFERROR(I96/SUM(I96,I249),0)*'[1]Electricity and CHPs_IN'!E$55</f>
        <v>1.5483325869306717</v>
      </c>
      <c r="J324" s="1">
        <f>IFERROR(J96/SUM(J96,J249),0)*'[1]Electricity and CHPs_IN'!F$55</f>
        <v>1.4457421739215026</v>
      </c>
      <c r="K324" s="1">
        <f>IFERROR(K96/SUM(K96,K249),0)*'[1]Electricity and CHPs_IN'!G$55</f>
        <v>0.85473309457326352</v>
      </c>
      <c r="L324" s="1">
        <f>IFERROR(L96/SUM(L96,L249),0)*'[1]Electricity and CHPs_IN'!H$55</f>
        <v>0</v>
      </c>
      <c r="M324" s="1">
        <f>IFERROR(M96/SUM(M96,M249),0)*'[1]Electricity and CHPs_IN'!I$55</f>
        <v>0</v>
      </c>
      <c r="N324" s="1">
        <f>IFERROR(N96/SUM(N96,N249),0)*'[1]Electricity and CHPs_IN'!J$55</f>
        <v>2.1749648914302232E-3</v>
      </c>
      <c r="O324" s="1">
        <f>IFERROR(O96/SUM(O96,O249),0)*'[1]Electricity and CHPs_IN'!K$55</f>
        <v>2.1285744105386424E-3</v>
      </c>
      <c r="P324" s="1">
        <f>IFERROR(P96/SUM(P96,P249),0)*'[1]Electricity and CHPs_IN'!L$55</f>
        <v>1.6405562352894325E-3</v>
      </c>
      <c r="Q324" s="1">
        <f>IFERROR(Q96/SUM(Q96,Q249),0)*'[1]Electricity and CHPs_IN'!M$55</f>
        <v>3.8046180594894252E-3</v>
      </c>
      <c r="S324" s="3"/>
    </row>
    <row r="325" spans="1:19" x14ac:dyDescent="0.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93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IFERROR(J97/SUM(J97,J250),0)*'[1]Electricity and CHPs_IN'!F$58</f>
        <v>0</v>
      </c>
      <c r="K325" s="1">
        <f>IFERROR(K97/SUM(K97,K250),0)*'[1]Electricity and CHPs_IN'!G$58</f>
        <v>0</v>
      </c>
      <c r="L325" s="1">
        <f>IFERROR(L97/SUM(L97,L250),0)*'[1]Electricity and CHPs_IN'!H$58</f>
        <v>0</v>
      </c>
      <c r="M325" s="1">
        <f>IFERROR(M97/SUM(M97,M250),0)*'[1]Electricity and CHPs_IN'!I$58</f>
        <v>0</v>
      </c>
      <c r="N325" s="1">
        <f>IFERROR(N97/SUM(N97,N250),0)*'[1]Electricity and CHPs_IN'!J$58</f>
        <v>1.0960340468909628E-3</v>
      </c>
      <c r="O325" s="1">
        <f>IFERROR(O97/SUM(O97,O250),0)*'[1]Electricity and CHPs_IN'!K$58</f>
        <v>1.8980339800551834E-3</v>
      </c>
      <c r="P325" s="1">
        <f>IFERROR(P97/SUM(P97,P250),0)*'[1]Electricity and CHPs_IN'!L$58</f>
        <v>1.4189850196873047E-3</v>
      </c>
      <c r="Q325" s="1">
        <f>IFERROR(Q97/SUM(Q97,Q250),0)*'[1]Electricity and CHPs_IN'!M$58</f>
        <v>3.1894738197846199E-3</v>
      </c>
      <c r="S325" s="3"/>
    </row>
    <row r="326" spans="1:19" x14ac:dyDescent="0.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93"/>
        <v>PJ/yr.</v>
      </c>
      <c r="F326" s="1">
        <f>F310-F342</f>
        <v>2.9164668920219912</v>
      </c>
      <c r="G326" s="1">
        <f t="shared" ref="G326:K326" si="309">G310-G342</f>
        <v>1.3243367937991799</v>
      </c>
      <c r="H326" s="1">
        <f t="shared" si="309"/>
        <v>1.5688034747367192</v>
      </c>
      <c r="I326" s="1">
        <f t="shared" si="309"/>
        <v>2.1927904388969659</v>
      </c>
      <c r="J326" s="1">
        <f t="shared" si="309"/>
        <v>1.809550015156463</v>
      </c>
      <c r="K326" s="1">
        <f t="shared" si="309"/>
        <v>1.64072387462384</v>
      </c>
      <c r="L326" s="1">
        <f t="shared" ref="L326:O326" si="310">L310-L342</f>
        <v>0.99422862594518868</v>
      </c>
      <c r="M326" s="1">
        <f t="shared" si="310"/>
        <v>0.64414698213338895</v>
      </c>
      <c r="N326" s="1">
        <f t="shared" si="310"/>
        <v>8.5853655862893063E-3</v>
      </c>
      <c r="O326" s="1">
        <f t="shared" si="310"/>
        <v>1.0547203298633789E-2</v>
      </c>
      <c r="P326" s="1">
        <f>P310-P342</f>
        <v>9.2230039949239284E-3</v>
      </c>
      <c r="Q326" s="1">
        <f>Q310-Q342</f>
        <v>1.2735818748646821E-2</v>
      </c>
      <c r="S326" s="3"/>
    </row>
    <row r="327" spans="1:19" x14ac:dyDescent="0.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93"/>
        <v>PJ/yr.</v>
      </c>
      <c r="F327" s="1">
        <f>IFERROR(F99/F83,0)*F311</f>
        <v>0</v>
      </c>
      <c r="G327" s="1">
        <f t="shared" ref="G327:K327" si="311">IFERROR(G99/G83,0)*G311</f>
        <v>0</v>
      </c>
      <c r="H327" s="1">
        <f t="shared" si="311"/>
        <v>0</v>
      </c>
      <c r="I327" s="1">
        <f t="shared" si="311"/>
        <v>0</v>
      </c>
      <c r="J327" s="1">
        <f t="shared" si="311"/>
        <v>0</v>
      </c>
      <c r="K327" s="1">
        <f t="shared" si="311"/>
        <v>9.7947751053760145E-6</v>
      </c>
      <c r="L327" s="1">
        <f t="shared" ref="L327:O327" si="312">IFERROR(L99/L83,0)*L311</f>
        <v>7.7267119906930946E-6</v>
      </c>
      <c r="M327" s="1">
        <f t="shared" si="312"/>
        <v>1.5899139870907518E-4</v>
      </c>
      <c r="N327" s="1">
        <f t="shared" si="312"/>
        <v>1.6864966436676698E-5</v>
      </c>
      <c r="O327" s="1">
        <f t="shared" si="312"/>
        <v>2.9305704423556905E-5</v>
      </c>
      <c r="P327" s="1">
        <f t="shared" ref="P327:Q341" si="313">IFERROR(P99/P83,0)*P311</f>
        <v>2.1579003865203992E-5</v>
      </c>
      <c r="Q327" s="1">
        <f t="shared" si="313"/>
        <v>4.713874052244614E-5</v>
      </c>
      <c r="S327" s="3"/>
    </row>
    <row r="328" spans="1:19" x14ac:dyDescent="0.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93"/>
        <v>PJ/yr.</v>
      </c>
      <c r="F328" s="1">
        <f t="shared" ref="F328:K328" si="314">IFERROR(F100/F84,0)*F312</f>
        <v>0</v>
      </c>
      <c r="G328" s="1">
        <f t="shared" si="314"/>
        <v>0</v>
      </c>
      <c r="H328" s="1">
        <f t="shared" si="314"/>
        <v>0</v>
      </c>
      <c r="I328" s="1">
        <f t="shared" si="314"/>
        <v>0</v>
      </c>
      <c r="J328" s="1">
        <f t="shared" si="314"/>
        <v>0</v>
      </c>
      <c r="K328" s="1">
        <f t="shared" si="314"/>
        <v>7.4263666013813775E-6</v>
      </c>
      <c r="L328" s="1">
        <f t="shared" ref="L328:O328" si="315">IFERROR(L100/L84,0)*L312</f>
        <v>0</v>
      </c>
      <c r="M328" s="1">
        <f t="shared" si="315"/>
        <v>5.4568291963659983E-2</v>
      </c>
      <c r="N328" s="1">
        <f t="shared" si="315"/>
        <v>1.7833797557146539E-4</v>
      </c>
      <c r="O328" s="1">
        <f t="shared" si="315"/>
        <v>1.5690269064681439E-4</v>
      </c>
      <c r="P328" s="1">
        <f t="shared" si="313"/>
        <v>1.3449615124884061E-4</v>
      </c>
      <c r="Q328" s="1">
        <f t="shared" si="313"/>
        <v>1.5744609590754812E-4</v>
      </c>
      <c r="S328" s="3"/>
    </row>
    <row r="329" spans="1:19" x14ac:dyDescent="0.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93"/>
        <v>PJ/yr.</v>
      </c>
      <c r="F329" s="1">
        <f t="shared" ref="F329:K329" si="316">IFERROR(F101/F85,0)*F313</f>
        <v>0</v>
      </c>
      <c r="G329" s="1">
        <f t="shared" si="316"/>
        <v>0</v>
      </c>
      <c r="H329" s="1">
        <f t="shared" si="316"/>
        <v>0</v>
      </c>
      <c r="I329" s="1">
        <f t="shared" si="316"/>
        <v>0</v>
      </c>
      <c r="J329" s="1">
        <f t="shared" si="316"/>
        <v>0</v>
      </c>
      <c r="K329" s="1">
        <f t="shared" si="316"/>
        <v>0</v>
      </c>
      <c r="L329" s="1">
        <f t="shared" ref="L329:O329" si="317">IFERROR(L101/L85,0)*L313</f>
        <v>7.9174213448863752E-6</v>
      </c>
      <c r="M329" s="1">
        <f t="shared" si="317"/>
        <v>1.6326037076938354E-4</v>
      </c>
      <c r="N329" s="1">
        <f t="shared" si="317"/>
        <v>5.3802841723892144E-4</v>
      </c>
      <c r="O329" s="1">
        <f t="shared" si="317"/>
        <v>8.6046331272275297E-4</v>
      </c>
      <c r="P329" s="1">
        <f t="shared" si="313"/>
        <v>6.2743358473012602E-4</v>
      </c>
      <c r="Q329" s="1">
        <f t="shared" si="313"/>
        <v>8.6539505416269942E-4</v>
      </c>
      <c r="S329" s="3"/>
    </row>
    <row r="330" spans="1:19" x14ac:dyDescent="0.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93"/>
        <v>PJ/yr.</v>
      </c>
      <c r="F330" s="1">
        <f t="shared" ref="F330:K330" si="318">IFERROR(F102/F86,0)*F314</f>
        <v>1.248297876073752</v>
      </c>
      <c r="G330" s="1">
        <f t="shared" si="318"/>
        <v>3.5823126101950249E-4</v>
      </c>
      <c r="H330" s="1">
        <f t="shared" si="318"/>
        <v>1.7958114053646191E-3</v>
      </c>
      <c r="I330" s="1">
        <f t="shared" si="318"/>
        <v>0</v>
      </c>
      <c r="J330" s="1">
        <f t="shared" si="318"/>
        <v>0</v>
      </c>
      <c r="K330" s="1">
        <f t="shared" si="318"/>
        <v>0</v>
      </c>
      <c r="L330" s="1">
        <f t="shared" ref="L330:O330" si="319">IFERROR(L102/L86,0)*L314</f>
        <v>0</v>
      </c>
      <c r="M330" s="1">
        <f t="shared" si="319"/>
        <v>0</v>
      </c>
      <c r="N330" s="1">
        <f t="shared" si="319"/>
        <v>0</v>
      </c>
      <c r="O330" s="1">
        <f t="shared" si="319"/>
        <v>0</v>
      </c>
      <c r="P330" s="1">
        <f t="shared" si="313"/>
        <v>0</v>
      </c>
      <c r="Q330" s="1">
        <f t="shared" si="313"/>
        <v>0</v>
      </c>
      <c r="S330" s="3"/>
    </row>
    <row r="331" spans="1:19" x14ac:dyDescent="0.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93"/>
        <v>PJ/yr.</v>
      </c>
      <c r="F331" s="1">
        <f t="shared" ref="F331:K331" si="320">IFERROR(F103/F87,0)*F315</f>
        <v>0</v>
      </c>
      <c r="G331" s="1">
        <f t="shared" si="320"/>
        <v>0</v>
      </c>
      <c r="H331" s="1">
        <f t="shared" si="320"/>
        <v>0</v>
      </c>
      <c r="I331" s="1">
        <f t="shared" si="320"/>
        <v>0</v>
      </c>
      <c r="J331" s="1">
        <f t="shared" si="320"/>
        <v>0</v>
      </c>
      <c r="K331" s="1">
        <f t="shared" si="320"/>
        <v>0</v>
      </c>
      <c r="L331" s="1">
        <f t="shared" ref="L331:O331" si="321">IFERROR(L103/L87,0)*L315</f>
        <v>0</v>
      </c>
      <c r="M331" s="1">
        <f t="shared" si="321"/>
        <v>0</v>
      </c>
      <c r="N331" s="1">
        <f t="shared" si="321"/>
        <v>0</v>
      </c>
      <c r="O331" s="1">
        <f t="shared" si="321"/>
        <v>0</v>
      </c>
      <c r="P331" s="1">
        <f t="shared" si="313"/>
        <v>0</v>
      </c>
      <c r="Q331" s="1">
        <f t="shared" si="313"/>
        <v>0</v>
      </c>
      <c r="S331" s="3"/>
    </row>
    <row r="332" spans="1:19" x14ac:dyDescent="0.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93"/>
        <v>PJ/yr.</v>
      </c>
      <c r="F332" s="1">
        <f t="shared" ref="F332:K332" si="322">IFERROR(F104/F88,0)*F316</f>
        <v>0.86986690396401711</v>
      </c>
      <c r="G332" s="1">
        <f t="shared" si="322"/>
        <v>0.53415013514397125</v>
      </c>
      <c r="H332" s="1">
        <f t="shared" si="322"/>
        <v>6.6749266696817466E-2</v>
      </c>
      <c r="I332" s="1">
        <f t="shared" si="322"/>
        <v>0.54269645100976582</v>
      </c>
      <c r="J332" s="1">
        <f t="shared" si="322"/>
        <v>0.27087984546389926</v>
      </c>
      <c r="K332" s="1">
        <f t="shared" si="322"/>
        <v>0.79733268766551513</v>
      </c>
      <c r="L332" s="1">
        <f t="shared" ref="L332:O332" si="323">IFERROR(L104/L88,0)*L316</f>
        <v>0.71576149994171079</v>
      </c>
      <c r="M332" s="1">
        <f t="shared" si="323"/>
        <v>0.42398062748517273</v>
      </c>
      <c r="N332" s="1">
        <f t="shared" si="323"/>
        <v>5.5918445900858147E-3</v>
      </c>
      <c r="O332" s="1">
        <f t="shared" si="323"/>
        <v>6.7016448900190581E-3</v>
      </c>
      <c r="P332" s="1">
        <f t="shared" si="313"/>
        <v>5.982992239848035E-3</v>
      </c>
      <c r="Q332" s="1">
        <f t="shared" si="313"/>
        <v>8.1512245679611541E-3</v>
      </c>
      <c r="S332" s="3"/>
    </row>
    <row r="333" spans="1:19" x14ac:dyDescent="0.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93"/>
        <v>PJ/yr.</v>
      </c>
      <c r="F333" s="1">
        <f t="shared" ref="F333:K333" si="324">IFERROR(F105/F89,0)*F317</f>
        <v>0</v>
      </c>
      <c r="G333" s="1">
        <f t="shared" si="324"/>
        <v>0</v>
      </c>
      <c r="H333" s="1">
        <f t="shared" si="324"/>
        <v>0</v>
      </c>
      <c r="I333" s="1">
        <f t="shared" si="324"/>
        <v>0</v>
      </c>
      <c r="J333" s="1">
        <f t="shared" si="324"/>
        <v>0</v>
      </c>
      <c r="K333" s="1">
        <f t="shared" si="324"/>
        <v>6.3743869163482092E-3</v>
      </c>
      <c r="L333" s="1">
        <f t="shared" ref="L333:O333" si="325">IFERROR(L105/L89,0)*L317</f>
        <v>0.27845148187014168</v>
      </c>
      <c r="M333" s="1">
        <f t="shared" si="325"/>
        <v>0.16527581091507779</v>
      </c>
      <c r="N333" s="1">
        <f t="shared" si="325"/>
        <v>2.1835733679169259E-3</v>
      </c>
      <c r="O333" s="1">
        <f t="shared" si="325"/>
        <v>2.6191722714759271E-3</v>
      </c>
      <c r="P333" s="1">
        <f t="shared" si="313"/>
        <v>2.3374506134408511E-3</v>
      </c>
      <c r="Q333" s="1">
        <f t="shared" si="313"/>
        <v>3.1880398437075207E-3</v>
      </c>
      <c r="S333" s="3"/>
    </row>
    <row r="334" spans="1:19" x14ac:dyDescent="0.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93"/>
        <v>PJ/yr.</v>
      </c>
      <c r="F334" s="1">
        <f t="shared" ref="F334:K334" si="326">IFERROR(F106/F90,0)*F318</f>
        <v>0</v>
      </c>
      <c r="G334" s="1">
        <f t="shared" si="326"/>
        <v>0</v>
      </c>
      <c r="H334" s="1">
        <f t="shared" si="326"/>
        <v>0</v>
      </c>
      <c r="I334" s="1">
        <f t="shared" si="326"/>
        <v>0</v>
      </c>
      <c r="J334" s="1">
        <f t="shared" si="326"/>
        <v>0</v>
      </c>
      <c r="K334" s="1">
        <f t="shared" si="326"/>
        <v>0</v>
      </c>
      <c r="L334" s="1">
        <f t="shared" ref="L334:O334" si="327">IFERROR(L106/L90,0)*L318</f>
        <v>0</v>
      </c>
      <c r="M334" s="1">
        <f t="shared" si="327"/>
        <v>0</v>
      </c>
      <c r="N334" s="1">
        <f t="shared" si="327"/>
        <v>0</v>
      </c>
      <c r="O334" s="1">
        <f t="shared" si="327"/>
        <v>0</v>
      </c>
      <c r="P334" s="1">
        <f t="shared" si="313"/>
        <v>0</v>
      </c>
      <c r="Q334" s="1">
        <f t="shared" si="313"/>
        <v>0</v>
      </c>
      <c r="S334" s="3"/>
    </row>
    <row r="335" spans="1:19" x14ac:dyDescent="0.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93"/>
        <v>PJ/yr.</v>
      </c>
      <c r="F335" s="1">
        <f t="shared" ref="F335:K335" si="328">IFERROR(F107/F91,0)*F319</f>
        <v>1.8008360589840556E-2</v>
      </c>
      <c r="G335" s="1">
        <f t="shared" si="328"/>
        <v>2.5690580423237308E-3</v>
      </c>
      <c r="H335" s="1">
        <f t="shared" si="328"/>
        <v>8.5104221592805004E-3</v>
      </c>
      <c r="I335" s="1">
        <f t="shared" si="328"/>
        <v>6.6980475010938309E-3</v>
      </c>
      <c r="J335" s="1">
        <f t="shared" si="328"/>
        <v>6.4777889637528873E-3</v>
      </c>
      <c r="K335" s="1">
        <f t="shared" si="328"/>
        <v>2.8762849574620682E-3</v>
      </c>
      <c r="L335" s="1">
        <f t="shared" ref="L335:O335" si="329">IFERROR(L107/L91,0)*L319</f>
        <v>0</v>
      </c>
      <c r="M335" s="1">
        <f t="shared" si="329"/>
        <v>0</v>
      </c>
      <c r="N335" s="1">
        <f t="shared" si="329"/>
        <v>1.243099465716904E-5</v>
      </c>
      <c r="O335" s="1">
        <f t="shared" si="329"/>
        <v>2.044505717261591E-5</v>
      </c>
      <c r="P335" s="1">
        <f t="shared" si="313"/>
        <v>2.2355712274286659E-5</v>
      </c>
      <c r="Q335" s="1">
        <f t="shared" si="313"/>
        <v>3.3443596298658134E-5</v>
      </c>
      <c r="S335" s="3"/>
    </row>
    <row r="336" spans="1:19" x14ac:dyDescent="0.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93"/>
        <v>PJ/yr.</v>
      </c>
      <c r="F336" s="1">
        <f t="shared" ref="F336:K336" si="330">IFERROR(F108/F92,0)*F320</f>
        <v>0</v>
      </c>
      <c r="G336" s="1">
        <f t="shared" si="330"/>
        <v>0</v>
      </c>
      <c r="H336" s="1">
        <f t="shared" si="330"/>
        <v>0</v>
      </c>
      <c r="I336" s="1">
        <f t="shared" si="330"/>
        <v>0</v>
      </c>
      <c r="J336" s="1">
        <f t="shared" si="330"/>
        <v>0</v>
      </c>
      <c r="K336" s="1">
        <f t="shared" si="330"/>
        <v>0</v>
      </c>
      <c r="L336" s="1">
        <f t="shared" ref="L336:O336" si="331">IFERROR(L108/L92,0)*L320</f>
        <v>0</v>
      </c>
      <c r="M336" s="1">
        <f t="shared" si="331"/>
        <v>0</v>
      </c>
      <c r="N336" s="1">
        <f t="shared" si="331"/>
        <v>1.2210528570530911E-5</v>
      </c>
      <c r="O336" s="1">
        <f t="shared" si="331"/>
        <v>2.9197987558315403E-5</v>
      </c>
      <c r="P336" s="1">
        <f t="shared" si="313"/>
        <v>2.1868985534265336E-5</v>
      </c>
      <c r="Q336" s="1">
        <f t="shared" si="313"/>
        <v>5.7275005658405415E-5</v>
      </c>
      <c r="S336" s="3"/>
    </row>
    <row r="337" spans="1:19" x14ac:dyDescent="0.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93"/>
        <v>PJ/yr.</v>
      </c>
      <c r="F337" s="1">
        <f t="shared" ref="F337:K337" si="332">IFERROR(F109/F93,0)*F321</f>
        <v>3.3312743224121928E-2</v>
      </c>
      <c r="G337" s="1">
        <f t="shared" si="332"/>
        <v>3.0687820103233988E-2</v>
      </c>
      <c r="H337" s="1">
        <f t="shared" si="332"/>
        <v>0.12295502377926035</v>
      </c>
      <c r="I337" s="1">
        <f t="shared" si="332"/>
        <v>0.12835470427511952</v>
      </c>
      <c r="J337" s="1">
        <f t="shared" si="332"/>
        <v>0.1277553834639249</v>
      </c>
      <c r="K337" s="1">
        <f t="shared" si="332"/>
        <v>5.1651871240331042E-2</v>
      </c>
      <c r="L337" s="1">
        <f t="shared" ref="L337:O337" si="333">IFERROR(L109/L93,0)*L321</f>
        <v>0</v>
      </c>
      <c r="M337" s="1">
        <f t="shared" si="333"/>
        <v>0</v>
      </c>
      <c r="N337" s="1">
        <f t="shared" si="333"/>
        <v>7.3599381687709635E-6</v>
      </c>
      <c r="O337" s="1">
        <f t="shared" si="333"/>
        <v>2.7397403051255791E-5</v>
      </c>
      <c r="P337" s="1">
        <f t="shared" si="313"/>
        <v>1.5759282374471488E-5</v>
      </c>
      <c r="Q337" s="1">
        <f t="shared" si="313"/>
        <v>5.9181899073365305E-5</v>
      </c>
      <c r="S337" s="3"/>
    </row>
    <row r="338" spans="1:19" x14ac:dyDescent="0.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93"/>
        <v>PJ/yr.</v>
      </c>
      <c r="F338" s="1">
        <f t="shared" ref="F338:K338" si="334">IFERROR(F110/F94,0)*F322</f>
        <v>0</v>
      </c>
      <c r="G338" s="1">
        <f t="shared" si="334"/>
        <v>0</v>
      </c>
      <c r="H338" s="1">
        <f t="shared" si="334"/>
        <v>0</v>
      </c>
      <c r="I338" s="1">
        <f t="shared" si="334"/>
        <v>0</v>
      </c>
      <c r="J338" s="1">
        <f t="shared" si="334"/>
        <v>0</v>
      </c>
      <c r="K338" s="1">
        <f t="shared" si="334"/>
        <v>0</v>
      </c>
      <c r="L338" s="1">
        <f t="shared" ref="L338:O338" si="335">IFERROR(L110/L94,0)*L322</f>
        <v>0</v>
      </c>
      <c r="M338" s="1">
        <f t="shared" si="335"/>
        <v>0</v>
      </c>
      <c r="N338" s="1">
        <f t="shared" si="335"/>
        <v>2.4907529501226367E-5</v>
      </c>
      <c r="O338" s="1">
        <f t="shared" si="335"/>
        <v>6.7851322670773901E-5</v>
      </c>
      <c r="P338" s="1">
        <f t="shared" si="313"/>
        <v>3.9272521631788632E-5</v>
      </c>
      <c r="Q338" s="1">
        <f t="shared" si="313"/>
        <v>1.1516290816364041E-4</v>
      </c>
      <c r="S338" s="3"/>
    </row>
    <row r="339" spans="1:19" x14ac:dyDescent="0.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93"/>
        <v>PJ/yr.</v>
      </c>
      <c r="F339" s="1">
        <f t="shared" ref="F339:K339" si="336">IFERROR(F111/F95,0)*F323</f>
        <v>0</v>
      </c>
      <c r="G339" s="1">
        <f t="shared" si="336"/>
        <v>0</v>
      </c>
      <c r="H339" s="1">
        <f t="shared" si="336"/>
        <v>0</v>
      </c>
      <c r="I339" s="1">
        <f t="shared" si="336"/>
        <v>0</v>
      </c>
      <c r="J339" s="1">
        <f t="shared" si="336"/>
        <v>0</v>
      </c>
      <c r="K339" s="1">
        <f t="shared" si="336"/>
        <v>0</v>
      </c>
      <c r="L339" s="1">
        <f t="shared" ref="L339:O339" si="337">IFERROR(L111/L95,0)*L323</f>
        <v>0</v>
      </c>
      <c r="M339" s="1">
        <f t="shared" si="337"/>
        <v>0</v>
      </c>
      <c r="N339" s="1">
        <f t="shared" si="337"/>
        <v>0</v>
      </c>
      <c r="O339" s="1">
        <f t="shared" si="337"/>
        <v>0</v>
      </c>
      <c r="P339" s="1">
        <f t="shared" si="313"/>
        <v>0</v>
      </c>
      <c r="Q339" s="1">
        <f t="shared" si="313"/>
        <v>0</v>
      </c>
      <c r="S339" s="3"/>
    </row>
    <row r="340" spans="1:19" x14ac:dyDescent="0.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93"/>
        <v>PJ/yr.</v>
      </c>
      <c r="F340" s="1">
        <f t="shared" ref="F340:K340" si="338">IFERROR(F112/F96,0)*F324</f>
        <v>0.74698100817025992</v>
      </c>
      <c r="G340" s="1">
        <f t="shared" si="338"/>
        <v>0.75657154924863135</v>
      </c>
      <c r="H340" s="1">
        <f t="shared" si="338"/>
        <v>1.3687929506959962</v>
      </c>
      <c r="I340" s="1">
        <f t="shared" si="338"/>
        <v>1.5150412361109871</v>
      </c>
      <c r="J340" s="1">
        <f t="shared" si="338"/>
        <v>1.4044369972648858</v>
      </c>
      <c r="K340" s="1">
        <f t="shared" si="338"/>
        <v>0.78247142270247683</v>
      </c>
      <c r="L340" s="1">
        <f t="shared" ref="L340:O340" si="339">IFERROR(L112/L96,0)*L324</f>
        <v>0</v>
      </c>
      <c r="M340" s="1">
        <f t="shared" si="339"/>
        <v>0</v>
      </c>
      <c r="N340" s="1">
        <f t="shared" si="339"/>
        <v>1.3170329727662977E-5</v>
      </c>
      <c r="O340" s="1">
        <f t="shared" si="339"/>
        <v>1.8408201997970224E-5</v>
      </c>
      <c r="P340" s="1">
        <f t="shared" si="313"/>
        <v>1.0614757061400408E-5</v>
      </c>
      <c r="Q340" s="1">
        <f t="shared" si="313"/>
        <v>3.3460527398643564E-5</v>
      </c>
      <c r="S340" s="3"/>
    </row>
    <row r="341" spans="1:19" x14ac:dyDescent="0.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93"/>
        <v>PJ/yr.</v>
      </c>
      <c r="F341" s="1">
        <f t="shared" ref="F341:K341" si="340">IFERROR(F113/F97,0)*F325</f>
        <v>0</v>
      </c>
      <c r="G341" s="1">
        <f t="shared" si="340"/>
        <v>0</v>
      </c>
      <c r="H341" s="1">
        <f t="shared" si="340"/>
        <v>0</v>
      </c>
      <c r="I341" s="1">
        <f t="shared" si="340"/>
        <v>0</v>
      </c>
      <c r="J341" s="1">
        <f t="shared" si="340"/>
        <v>0</v>
      </c>
      <c r="K341" s="1">
        <f t="shared" si="340"/>
        <v>0</v>
      </c>
      <c r="L341" s="1">
        <f t="shared" ref="L341:O341" si="341">IFERROR(L113/L97,0)*L325</f>
        <v>0</v>
      </c>
      <c r="M341" s="1">
        <f t="shared" si="341"/>
        <v>0</v>
      </c>
      <c r="N341" s="1">
        <f t="shared" si="341"/>
        <v>6.6369484156621925E-6</v>
      </c>
      <c r="O341" s="1">
        <f t="shared" si="341"/>
        <v>1.6414456892313221E-5</v>
      </c>
      <c r="P341" s="1">
        <f t="shared" si="313"/>
        <v>9.1811429158903146E-6</v>
      </c>
      <c r="Q341" s="1">
        <f t="shared" si="313"/>
        <v>2.8050509792428914E-5</v>
      </c>
      <c r="S341" s="3"/>
    </row>
    <row r="342" spans="1:19" x14ac:dyDescent="0.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93"/>
        <v>PJ/yr.</v>
      </c>
      <c r="F342" s="1">
        <f>SUM(F343:F357)</f>
        <v>1.1432119270837047</v>
      </c>
      <c r="G342" s="1">
        <f t="shared" ref="G342:K342" si="342">SUM(G343:G357)</f>
        <v>1.3148548345913871</v>
      </c>
      <c r="H342" s="1">
        <f t="shared" si="342"/>
        <v>1.4099770798877249</v>
      </c>
      <c r="I342" s="1">
        <f t="shared" si="342"/>
        <v>1.4286578381566541</v>
      </c>
      <c r="J342" s="1">
        <f t="shared" si="342"/>
        <v>1.9580920838099183</v>
      </c>
      <c r="K342" s="1">
        <f t="shared" si="342"/>
        <v>2.173259080931055</v>
      </c>
      <c r="L342" s="1">
        <f t="shared" ref="L342:O342" si="343">SUM(L343:L357)</f>
        <v>4.6913056340613277</v>
      </c>
      <c r="M342" s="1">
        <f t="shared" si="343"/>
        <v>5.4226273247730745</v>
      </c>
      <c r="N342" s="1">
        <f t="shared" si="343"/>
        <v>7.0262432576338645</v>
      </c>
      <c r="O342" s="1">
        <f t="shared" si="343"/>
        <v>8.4426156960576559</v>
      </c>
      <c r="P342" s="1">
        <f>SUM(P343:P357)</f>
        <v>8.901183826983937</v>
      </c>
      <c r="Q342" s="1">
        <f>SUM(Q343:Q357)</f>
        <v>8.9204967369746342</v>
      </c>
      <c r="S342" s="3"/>
    </row>
    <row r="343" spans="1:19" x14ac:dyDescent="0.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93"/>
        <v>PJ/yr.</v>
      </c>
      <c r="F343" s="1">
        <f>F311-F327</f>
        <v>0</v>
      </c>
      <c r="G343" s="1">
        <f t="shared" ref="G343:K343" si="344">G311-G327</f>
        <v>0</v>
      </c>
      <c r="H343" s="1">
        <f t="shared" si="344"/>
        <v>0</v>
      </c>
      <c r="I343" s="1">
        <f t="shared" si="344"/>
        <v>0</v>
      </c>
      <c r="J343" s="1">
        <f t="shared" si="344"/>
        <v>0</v>
      </c>
      <c r="K343" s="1">
        <f t="shared" si="344"/>
        <v>9.0455293851920912E-7</v>
      </c>
      <c r="L343" s="1">
        <f t="shared" ref="L343:O343" si="345">L311-L327</f>
        <v>2.1677270281127221E-6</v>
      </c>
      <c r="M343" s="1">
        <f t="shared" si="345"/>
        <v>1.8724383702144084E-4</v>
      </c>
      <c r="N343" s="1">
        <f t="shared" si="345"/>
        <v>2.7682368991511865E-3</v>
      </c>
      <c r="O343" s="1">
        <f t="shared" si="345"/>
        <v>3.3593670473025523E-3</v>
      </c>
      <c r="P343" s="1">
        <f t="shared" ref="P343:Q357" si="346">P311-P327</f>
        <v>3.3135486055201496E-3</v>
      </c>
      <c r="Q343" s="1">
        <f t="shared" si="346"/>
        <v>5.3127559603768177E-3</v>
      </c>
      <c r="S343" s="3"/>
    </row>
    <row r="344" spans="1:19" x14ac:dyDescent="0.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93"/>
        <v>PJ/yr.</v>
      </c>
      <c r="F344" s="1">
        <f t="shared" ref="F344:K344" si="347">F312-F328</f>
        <v>0</v>
      </c>
      <c r="G344" s="1">
        <f t="shared" si="347"/>
        <v>0</v>
      </c>
      <c r="H344" s="1">
        <f t="shared" si="347"/>
        <v>0</v>
      </c>
      <c r="I344" s="1">
        <f t="shared" si="347"/>
        <v>0</v>
      </c>
      <c r="J344" s="1">
        <f t="shared" si="347"/>
        <v>0</v>
      </c>
      <c r="K344" s="1">
        <f t="shared" si="347"/>
        <v>6.8582909352491462E-7</v>
      </c>
      <c r="L344" s="1">
        <f t="shared" ref="L344:O344" si="348">L312-L328</f>
        <v>4.0359731449625953E-6</v>
      </c>
      <c r="M344" s="1">
        <f t="shared" si="348"/>
        <v>6.4264963073117104E-2</v>
      </c>
      <c r="N344" s="1">
        <f t="shared" si="348"/>
        <v>2.9272620633458309E-2</v>
      </c>
      <c r="O344" s="1">
        <f t="shared" si="348"/>
        <v>1.7986045343729072E-2</v>
      </c>
      <c r="P344" s="1">
        <f t="shared" si="346"/>
        <v>2.0652460938526133E-2</v>
      </c>
      <c r="Q344" s="1">
        <f t="shared" si="346"/>
        <v>1.7744909499068717E-2</v>
      </c>
      <c r="S344" s="3"/>
    </row>
    <row r="345" spans="1:19" x14ac:dyDescent="0.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93"/>
        <v>PJ/yr.</v>
      </c>
      <c r="F345" s="1">
        <f t="shared" ref="F345:K345" si="349">F313-F329</f>
        <v>0</v>
      </c>
      <c r="G345" s="1">
        <f t="shared" si="349"/>
        <v>0</v>
      </c>
      <c r="H345" s="1">
        <f t="shared" si="349"/>
        <v>0</v>
      </c>
      <c r="I345" s="1">
        <f t="shared" si="349"/>
        <v>0</v>
      </c>
      <c r="J345" s="1">
        <f t="shared" si="349"/>
        <v>0</v>
      </c>
      <c r="K345" s="1">
        <f t="shared" si="349"/>
        <v>0</v>
      </c>
      <c r="L345" s="1">
        <f t="shared" ref="L345:O345" si="350">L313-L329</f>
        <v>2.2212304875527324E-6</v>
      </c>
      <c r="M345" s="1">
        <f t="shared" si="350"/>
        <v>1.9227139646930827E-4</v>
      </c>
      <c r="N345" s="1">
        <f t="shared" si="350"/>
        <v>8.8312664183762712E-2</v>
      </c>
      <c r="O345" s="1">
        <f t="shared" si="350"/>
        <v>9.8636499447188039E-2</v>
      </c>
      <c r="P345" s="1">
        <f t="shared" si="346"/>
        <v>9.6345118279137637E-2</v>
      </c>
      <c r="Q345" s="1">
        <f t="shared" si="346"/>
        <v>9.7534059695426834E-2</v>
      </c>
      <c r="S345" s="3"/>
    </row>
    <row r="346" spans="1:19" x14ac:dyDescent="0.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93"/>
        <v>PJ/yr.</v>
      </c>
      <c r="F346" s="1">
        <f t="shared" ref="F346:K346" si="351">F314-F330</f>
        <v>3.3604242133751905E-2</v>
      </c>
      <c r="G346" s="1">
        <f t="shared" si="351"/>
        <v>1.6179935891767467E-5</v>
      </c>
      <c r="H346" s="1">
        <f t="shared" si="351"/>
        <v>1.2643278504159065E-4</v>
      </c>
      <c r="I346" s="1">
        <f t="shared" si="351"/>
        <v>0</v>
      </c>
      <c r="J346" s="1">
        <f t="shared" si="351"/>
        <v>0</v>
      </c>
      <c r="K346" s="1">
        <f t="shared" si="351"/>
        <v>0</v>
      </c>
      <c r="L346" s="1">
        <f t="shared" ref="L346:O346" si="352">L314-L330</f>
        <v>0</v>
      </c>
      <c r="M346" s="1">
        <f t="shared" si="352"/>
        <v>0</v>
      </c>
      <c r="N346" s="1">
        <f t="shared" si="352"/>
        <v>0</v>
      </c>
      <c r="O346" s="1">
        <f t="shared" si="352"/>
        <v>0</v>
      </c>
      <c r="P346" s="1">
        <f t="shared" si="346"/>
        <v>0</v>
      </c>
      <c r="Q346" s="1">
        <f t="shared" si="346"/>
        <v>0</v>
      </c>
      <c r="S346" s="3"/>
    </row>
    <row r="347" spans="1:19" x14ac:dyDescent="0.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93"/>
        <v>PJ/yr.</v>
      </c>
      <c r="F347" s="1">
        <f t="shared" ref="F347:K347" si="353">F315-F331</f>
        <v>0</v>
      </c>
      <c r="G347" s="1">
        <f t="shared" si="353"/>
        <v>0</v>
      </c>
      <c r="H347" s="1">
        <f t="shared" si="353"/>
        <v>0</v>
      </c>
      <c r="I347" s="1">
        <f t="shared" si="353"/>
        <v>0</v>
      </c>
      <c r="J347" s="1">
        <f t="shared" si="353"/>
        <v>0</v>
      </c>
      <c r="K347" s="1">
        <f t="shared" si="353"/>
        <v>0</v>
      </c>
      <c r="L347" s="1">
        <f t="shared" ref="L347:O347" si="354">L315-L331</f>
        <v>0</v>
      </c>
      <c r="M347" s="1">
        <f t="shared" si="354"/>
        <v>0</v>
      </c>
      <c r="N347" s="1">
        <f t="shared" si="354"/>
        <v>0</v>
      </c>
      <c r="O347" s="1">
        <f t="shared" si="354"/>
        <v>0</v>
      </c>
      <c r="P347" s="1">
        <f t="shared" si="346"/>
        <v>0</v>
      </c>
      <c r="Q347" s="1">
        <f t="shared" si="346"/>
        <v>0</v>
      </c>
      <c r="S347" s="3"/>
    </row>
    <row r="348" spans="1:19" x14ac:dyDescent="0.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93"/>
        <v>PJ/yr.</v>
      </c>
      <c r="F348" s="1">
        <f t="shared" ref="F348:K348" si="355">F316-F332</f>
        <v>2.341686117169739E-2</v>
      </c>
      <c r="G348" s="1">
        <f t="shared" si="355"/>
        <v>2.4125518578731353E-2</v>
      </c>
      <c r="H348" s="1">
        <f t="shared" si="355"/>
        <v>4.6994331714075577E-3</v>
      </c>
      <c r="I348" s="1">
        <f t="shared" si="355"/>
        <v>1.1925152602143663E-2</v>
      </c>
      <c r="J348" s="1">
        <f t="shared" si="355"/>
        <v>7.9667082905059416E-3</v>
      </c>
      <c r="K348" s="1">
        <f t="shared" si="355"/>
        <v>7.3634117970651558E-2</v>
      </c>
      <c r="L348" s="1">
        <f t="shared" ref="L348:O348" si="356">L316-L332</f>
        <v>0.20080670160542258</v>
      </c>
      <c r="M348" s="1">
        <f t="shared" si="356"/>
        <v>0.49932109634651878</v>
      </c>
      <c r="N348" s="1">
        <f t="shared" si="356"/>
        <v>0.91785243609678568</v>
      </c>
      <c r="O348" s="1">
        <f t="shared" si="356"/>
        <v>0.76822193661916582</v>
      </c>
      <c r="P348" s="1">
        <f t="shared" si="346"/>
        <v>0.91871412216361958</v>
      </c>
      <c r="Q348" s="1">
        <f t="shared" si="346"/>
        <v>0.91868103449188931</v>
      </c>
      <c r="S348" s="3"/>
    </row>
    <row r="349" spans="1:19" x14ac:dyDescent="0.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93"/>
        <v>PJ/yr.</v>
      </c>
      <c r="F349" s="1">
        <f t="shared" ref="F349:K349" si="357">F317-F333</f>
        <v>0</v>
      </c>
      <c r="G349" s="1">
        <f t="shared" si="357"/>
        <v>0</v>
      </c>
      <c r="H349" s="1">
        <f t="shared" si="357"/>
        <v>0</v>
      </c>
      <c r="I349" s="1">
        <f t="shared" si="357"/>
        <v>0</v>
      </c>
      <c r="J349" s="1">
        <f t="shared" si="357"/>
        <v>0</v>
      </c>
      <c r="K349" s="1">
        <f t="shared" si="357"/>
        <v>5.8867818346093788E-4</v>
      </c>
      <c r="L349" s="1">
        <f t="shared" ref="L349:O349" si="358">L317-L333</f>
        <v>7.8119490411315495E-2</v>
      </c>
      <c r="M349" s="1">
        <f t="shared" si="358"/>
        <v>0.1946449761046278</v>
      </c>
      <c r="N349" s="1">
        <f t="shared" si="358"/>
        <v>0.35841449147066967</v>
      </c>
      <c r="O349" s="1">
        <f t="shared" si="358"/>
        <v>0.30024055702042862</v>
      </c>
      <c r="P349" s="1">
        <f t="shared" si="346"/>
        <v>0.35892556806704101</v>
      </c>
      <c r="Q349" s="1">
        <f t="shared" si="346"/>
        <v>0.35930696267777745</v>
      </c>
      <c r="S349" s="3"/>
    </row>
    <row r="350" spans="1:19" x14ac:dyDescent="0.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93"/>
        <v>PJ/yr.</v>
      </c>
      <c r="F350" s="1">
        <f t="shared" ref="F350:K350" si="359">F318-F334</f>
        <v>0</v>
      </c>
      <c r="G350" s="1">
        <f t="shared" si="359"/>
        <v>0</v>
      </c>
      <c r="H350" s="1">
        <f t="shared" si="359"/>
        <v>0</v>
      </c>
      <c r="I350" s="1">
        <f t="shared" si="359"/>
        <v>0</v>
      </c>
      <c r="J350" s="1">
        <f t="shared" si="359"/>
        <v>0</v>
      </c>
      <c r="K350" s="1">
        <f t="shared" si="359"/>
        <v>0</v>
      </c>
      <c r="L350" s="1">
        <f t="shared" ref="L350:O350" si="360">L318-L334</f>
        <v>0</v>
      </c>
      <c r="M350" s="1">
        <f t="shared" si="360"/>
        <v>0</v>
      </c>
      <c r="N350" s="1">
        <f t="shared" si="360"/>
        <v>0</v>
      </c>
      <c r="O350" s="1">
        <f t="shared" si="360"/>
        <v>0</v>
      </c>
      <c r="P350" s="1">
        <f t="shared" si="346"/>
        <v>0</v>
      </c>
      <c r="Q350" s="1">
        <f t="shared" si="346"/>
        <v>0</v>
      </c>
      <c r="S350" s="3"/>
    </row>
    <row r="351" spans="1:19" x14ac:dyDescent="0.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93"/>
        <v>PJ/yr.</v>
      </c>
      <c r="F351" s="1">
        <f t="shared" ref="F351:K351" si="361">F319-F335</f>
        <v>4.8478598040742338E-4</v>
      </c>
      <c r="G351" s="1">
        <f t="shared" si="361"/>
        <v>1.1603452559871483E-4</v>
      </c>
      <c r="H351" s="1">
        <f t="shared" si="361"/>
        <v>5.991700310306429E-4</v>
      </c>
      <c r="I351" s="1">
        <f t="shared" si="361"/>
        <v>1.4718216498068541E-4</v>
      </c>
      <c r="J351" s="1">
        <f t="shared" si="361"/>
        <v>1.9051493090339877E-4</v>
      </c>
      <c r="K351" s="1">
        <f t="shared" si="361"/>
        <v>2.6562651845501821E-4</v>
      </c>
      <c r="L351" s="1">
        <f t="shared" ref="L351:O351" si="362">L319-L335</f>
        <v>0</v>
      </c>
      <c r="M351" s="1">
        <f t="shared" si="362"/>
        <v>0</v>
      </c>
      <c r="N351" s="1">
        <f t="shared" si="362"/>
        <v>2.0404391691103588E-3</v>
      </c>
      <c r="O351" s="1">
        <f t="shared" si="362"/>
        <v>2.3436546807826665E-3</v>
      </c>
      <c r="P351" s="1">
        <f t="shared" si="346"/>
        <v>3.4328155133852463E-3</v>
      </c>
      <c r="Q351" s="1">
        <f t="shared" si="346"/>
        <v>3.7692493181383964E-3</v>
      </c>
      <c r="S351" s="3"/>
    </row>
    <row r="352" spans="1:19" x14ac:dyDescent="0.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93"/>
        <v>PJ/yr.</v>
      </c>
      <c r="F352" s="1">
        <f t="shared" ref="F352:K352" si="363">F320-F336</f>
        <v>0</v>
      </c>
      <c r="G352" s="1">
        <f t="shared" si="363"/>
        <v>0</v>
      </c>
      <c r="H352" s="1">
        <f t="shared" si="363"/>
        <v>0</v>
      </c>
      <c r="I352" s="1">
        <f t="shared" si="363"/>
        <v>0</v>
      </c>
      <c r="J352" s="1">
        <f t="shared" si="363"/>
        <v>0</v>
      </c>
      <c r="K352" s="1">
        <f t="shared" si="363"/>
        <v>0</v>
      </c>
      <c r="L352" s="1">
        <f t="shared" ref="L352:O352" si="364">L320-L336</f>
        <v>0</v>
      </c>
      <c r="M352" s="1">
        <f t="shared" si="364"/>
        <v>0</v>
      </c>
      <c r="N352" s="1">
        <f t="shared" si="364"/>
        <v>2.004251587099124E-3</v>
      </c>
      <c r="O352" s="1">
        <f t="shared" si="364"/>
        <v>3.3470192640075265E-3</v>
      </c>
      <c r="P352" s="1">
        <f t="shared" si="346"/>
        <v>3.3580765346658439E-3</v>
      </c>
      <c r="Q352" s="1">
        <f t="shared" si="346"/>
        <v>6.4551603271499336E-3</v>
      </c>
      <c r="S352" s="3"/>
    </row>
    <row r="353" spans="1:19" x14ac:dyDescent="0.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93"/>
        <v>PJ/yr.</v>
      </c>
      <c r="F353" s="1">
        <f t="shared" ref="F353:K353" si="365">F321-F337</f>
        <v>8.9678073711370321E-4</v>
      </c>
      <c r="G353" s="1">
        <f t="shared" si="365"/>
        <v>1.3860514588127648E-3</v>
      </c>
      <c r="H353" s="1">
        <f t="shared" si="365"/>
        <v>8.6565582804673802E-3</v>
      </c>
      <c r="I353" s="1">
        <f t="shared" si="365"/>
        <v>2.820452267258855E-3</v>
      </c>
      <c r="J353" s="1">
        <f t="shared" si="365"/>
        <v>3.7573480996926367E-3</v>
      </c>
      <c r="K353" s="1">
        <f t="shared" si="365"/>
        <v>4.7700790888821135E-3</v>
      </c>
      <c r="L353" s="1">
        <f t="shared" ref="L353:O353" si="366">L321-L337</f>
        <v>0</v>
      </c>
      <c r="M353" s="1">
        <f t="shared" si="366"/>
        <v>0</v>
      </c>
      <c r="N353" s="1">
        <f t="shared" si="366"/>
        <v>1.2080695500202613E-3</v>
      </c>
      <c r="O353" s="1">
        <f t="shared" si="366"/>
        <v>3.1406149349569338E-3</v>
      </c>
      <c r="P353" s="1">
        <f t="shared" si="346"/>
        <v>2.4199054072246255E-3</v>
      </c>
      <c r="Q353" s="1">
        <f t="shared" si="346"/>
        <v>6.6700761107252229E-3</v>
      </c>
      <c r="S353" s="3"/>
    </row>
    <row r="354" spans="1:19" x14ac:dyDescent="0.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93"/>
        <v>PJ/yr.</v>
      </c>
      <c r="F354" s="1">
        <f t="shared" ref="F354:K354" si="367">F322-F338</f>
        <v>0</v>
      </c>
      <c r="G354" s="1">
        <f t="shared" si="367"/>
        <v>0</v>
      </c>
      <c r="H354" s="1">
        <f t="shared" si="367"/>
        <v>0</v>
      </c>
      <c r="I354" s="1">
        <f t="shared" si="367"/>
        <v>0</v>
      </c>
      <c r="J354" s="1">
        <f t="shared" si="367"/>
        <v>0</v>
      </c>
      <c r="K354" s="1">
        <f t="shared" si="367"/>
        <v>0</v>
      </c>
      <c r="L354" s="1">
        <f t="shared" ref="L354:O354" si="368">L322-L338</f>
        <v>0</v>
      </c>
      <c r="M354" s="1">
        <f t="shared" si="368"/>
        <v>0</v>
      </c>
      <c r="N354" s="1">
        <f t="shared" si="368"/>
        <v>4.0883533620347723E-3</v>
      </c>
      <c r="O354" s="1">
        <f t="shared" si="368"/>
        <v>7.7779224891405636E-3</v>
      </c>
      <c r="P354" s="1">
        <f t="shared" si="346"/>
        <v>6.0304641540062246E-3</v>
      </c>
      <c r="Q354" s="1">
        <f t="shared" si="346"/>
        <v>1.2979396988117989E-2</v>
      </c>
      <c r="S354" s="3"/>
    </row>
    <row r="355" spans="1:19" x14ac:dyDescent="0.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93"/>
        <v>PJ/yr.</v>
      </c>
      <c r="F355" s="1">
        <f t="shared" ref="F355:K355" si="369">F323-F339</f>
        <v>1.064700490436201</v>
      </c>
      <c r="G355" s="1">
        <f t="shared" si="369"/>
        <v>1.2550396069593879</v>
      </c>
      <c r="H355" s="1">
        <f t="shared" si="369"/>
        <v>1.2995266217263819</v>
      </c>
      <c r="I355" s="1">
        <f t="shared" si="369"/>
        <v>1.3804737003025864</v>
      </c>
      <c r="J355" s="1">
        <f t="shared" si="369"/>
        <v>1.9048723358321995</v>
      </c>
      <c r="K355" s="1">
        <f t="shared" si="369"/>
        <v>2.0217373169167865</v>
      </c>
      <c r="L355" s="1">
        <f t="shared" ref="L355:O355" si="370">L323-L339</f>
        <v>4.4123710171139292</v>
      </c>
      <c r="M355" s="1">
        <f t="shared" si="370"/>
        <v>4.6640167740153196</v>
      </c>
      <c r="N355" s="1">
        <f t="shared" si="370"/>
        <v>5.6170305030215939</v>
      </c>
      <c r="O355" s="1">
        <f t="shared" si="370"/>
        <v>7.2335702934792518</v>
      </c>
      <c r="P355" s="1">
        <f t="shared" si="346"/>
        <v>7.4849520019658096</v>
      </c>
      <c r="Q355" s="1">
        <f t="shared" si="346"/>
        <v>7.4851105510638813</v>
      </c>
      <c r="S355" s="3"/>
    </row>
    <row r="356" spans="1:19" x14ac:dyDescent="0.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93"/>
        <v>PJ/yr.</v>
      </c>
      <c r="F356" s="1">
        <f t="shared" ref="F356:K356" si="371">F324-F340</f>
        <v>2.0108766624533203E-2</v>
      </c>
      <c r="G356" s="1">
        <f t="shared" si="371"/>
        <v>3.4171443132964385E-2</v>
      </c>
      <c r="H356" s="1">
        <f t="shared" si="371"/>
        <v>9.636886389339594E-2</v>
      </c>
      <c r="I356" s="1">
        <f t="shared" si="371"/>
        <v>3.3291350819684595E-2</v>
      </c>
      <c r="J356" s="1">
        <f t="shared" si="371"/>
        <v>4.1305176656616815E-2</v>
      </c>
      <c r="K356" s="1">
        <f t="shared" si="371"/>
        <v>7.2261671870786692E-2</v>
      </c>
      <c r="L356" s="1">
        <f t="shared" ref="L356:O356" si="372">L324-L340</f>
        <v>0</v>
      </c>
      <c r="M356" s="1">
        <f t="shared" si="372"/>
        <v>0</v>
      </c>
      <c r="N356" s="1">
        <f t="shared" si="372"/>
        <v>2.1617945617025602E-3</v>
      </c>
      <c r="O356" s="1">
        <f t="shared" si="372"/>
        <v>2.1101662085406723E-3</v>
      </c>
      <c r="P356" s="1">
        <f t="shared" si="346"/>
        <v>1.629941478228032E-3</v>
      </c>
      <c r="Q356" s="1">
        <f t="shared" si="346"/>
        <v>3.7711575320907814E-3</v>
      </c>
      <c r="S356" s="3"/>
    </row>
    <row r="357" spans="1:19" x14ac:dyDescent="0.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93"/>
        <v>PJ/yr.</v>
      </c>
      <c r="F357" s="1">
        <f t="shared" ref="F357:K357" si="373">F325-F341</f>
        <v>0</v>
      </c>
      <c r="G357" s="1">
        <f t="shared" si="373"/>
        <v>0</v>
      </c>
      <c r="H357" s="1">
        <f t="shared" si="373"/>
        <v>0</v>
      </c>
      <c r="I357" s="1">
        <f t="shared" si="373"/>
        <v>0</v>
      </c>
      <c r="J357" s="1">
        <f t="shared" si="373"/>
        <v>0</v>
      </c>
      <c r="K357" s="1">
        <f t="shared" si="373"/>
        <v>0</v>
      </c>
      <c r="L357" s="1">
        <f t="shared" ref="L357:O357" si="374">L325-L341</f>
        <v>0</v>
      </c>
      <c r="M357" s="1">
        <f t="shared" si="374"/>
        <v>0</v>
      </c>
      <c r="N357" s="1">
        <f t="shared" si="374"/>
        <v>1.0893970984753006E-3</v>
      </c>
      <c r="O357" s="1">
        <f t="shared" si="374"/>
        <v>1.8816195231628702E-3</v>
      </c>
      <c r="P357" s="1">
        <f t="shared" si="346"/>
        <v>1.4098038767714144E-3</v>
      </c>
      <c r="Q357" s="1">
        <f t="shared" si="346"/>
        <v>3.1614233099921912E-3</v>
      </c>
      <c r="S357" s="3"/>
    </row>
    <row r="358" spans="1:19" x14ac:dyDescent="0.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75">E357</f>
        <v>PJ/yr.</v>
      </c>
      <c r="F358" s="1">
        <f>SUM(F359:F364)</f>
        <v>22.495508351604759</v>
      </c>
      <c r="G358" s="1">
        <f t="shared" ref="G358:K358" si="376">SUM(G359:G364)</f>
        <v>24.609029103372492</v>
      </c>
      <c r="H358" s="1">
        <f t="shared" si="376"/>
        <v>25.147354449126063</v>
      </c>
      <c r="I358" s="1">
        <f t="shared" si="376"/>
        <v>25.186223956002767</v>
      </c>
      <c r="J358" s="1">
        <f t="shared" si="376"/>
        <v>25.593350460957609</v>
      </c>
      <c r="K358" s="1">
        <f t="shared" si="376"/>
        <v>26.745810191918899</v>
      </c>
      <c r="L358" s="1">
        <f t="shared" ref="L358:O358" si="377">SUM(L359:L364)</f>
        <v>32.278362051346278</v>
      </c>
      <c r="M358" s="1">
        <f t="shared" si="377"/>
        <v>33.826397218827502</v>
      </c>
      <c r="N358" s="1">
        <f t="shared" si="377"/>
        <v>33.69855533588597</v>
      </c>
      <c r="O358" s="1">
        <f t="shared" si="377"/>
        <v>33.698629847913651</v>
      </c>
      <c r="P358" s="1">
        <f>SUM(P359:P364)</f>
        <v>33.699036164030346</v>
      </c>
      <c r="Q358" s="1">
        <f>SUM(Q359:Q364)</f>
        <v>33.699233497701201</v>
      </c>
      <c r="S358" s="3"/>
    </row>
    <row r="359" spans="1:19" x14ac:dyDescent="0.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75"/>
        <v>PJ/yr.</v>
      </c>
      <c r="F359" s="1">
        <f>'[1]Electricity and CHPs_IN'!B$19</f>
        <v>18.203591222197037</v>
      </c>
      <c r="G359" s="1">
        <f>'[1]Electricity and CHPs_IN'!C$19</f>
        <v>20.42978413448283</v>
      </c>
      <c r="H359" s="1">
        <f>'[1]Electricity and CHPs_IN'!D$19</f>
        <v>20.734929121320196</v>
      </c>
      <c r="I359" s="1">
        <f>'[1]Electricity and CHPs_IN'!E$19</f>
        <v>20.696586653309339</v>
      </c>
      <c r="J359" s="1">
        <f>'[1]Electricity and CHPs_IN'!F$19</f>
        <v>20.958777369765308</v>
      </c>
      <c r="K359" s="1">
        <f>'[1]Electricity and CHPs_IN'!G$19</f>
        <v>16.299113254704409</v>
      </c>
      <c r="L359" s="1">
        <f>'[1]Electricity and CHPs_IN'!H$19</f>
        <v>12.648985925317945</v>
      </c>
      <c r="M359" s="1">
        <f>'[1]Electricity and CHPs_IN'!I$19</f>
        <v>13.148337484317034</v>
      </c>
      <c r="N359" s="1">
        <f>'[1]Electricity and CHPs_IN'!J$19</f>
        <v>13.018156169881081</v>
      </c>
      <c r="O359" s="1">
        <f>'[1]Electricity and CHPs_IN'!K$19</f>
        <v>13.018158040630706</v>
      </c>
      <c r="P359" s="1">
        <f>'[1]Electricity and CHPs_IN'!L$19</f>
        <v>13.018156284232534</v>
      </c>
      <c r="Q359" s="1">
        <f>'[1]Electricity and CHPs_IN'!M$19</f>
        <v>13.01815696464957</v>
      </c>
      <c r="S359" s="3"/>
    </row>
    <row r="360" spans="1:19" x14ac:dyDescent="0.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7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5.6554733690676651</v>
      </c>
      <c r="L360" s="1">
        <f>'[1]Electricity and CHPs_IN'!H$20</f>
        <v>12.762089587181883</v>
      </c>
      <c r="M360" s="1">
        <f>'[1]Electricity and CHPs_IN'!I$20</f>
        <v>13.14740177401972</v>
      </c>
      <c r="N360" s="1">
        <f>'[1]Electricity and CHPs_IN'!J$20</f>
        <v>13.017232321436728</v>
      </c>
      <c r="O360" s="1">
        <f>'[1]Electricity and CHPs_IN'!K$20</f>
        <v>13.0172315234786</v>
      </c>
      <c r="P360" s="1">
        <f>'[1]Electricity and CHPs_IN'!L$20</f>
        <v>13.017230606144171</v>
      </c>
      <c r="Q360" s="1">
        <f>'[1]Electricity and CHPs_IN'!M$20</f>
        <v>13.017231517151046</v>
      </c>
      <c r="S360" s="3"/>
    </row>
    <row r="361" spans="1:19" x14ac:dyDescent="0.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75"/>
        <v>PJ/yr.</v>
      </c>
      <c r="F361" s="1">
        <f>IFERROR(F133/SUM(F133,F198),0)*'[1]Electricity and CHPs_IN'!B$26</f>
        <v>3.8974732976074451</v>
      </c>
      <c r="G361" s="1">
        <f>IFERROR(G133/SUM(G133,G198),0)*'[1]Electricity and CHPs_IN'!C$26</f>
        <v>3.7700533776135412</v>
      </c>
      <c r="H361" s="1">
        <f>IFERROR(H133/SUM(H133,H198),0)*'[1]Electricity and CHPs_IN'!D$26</f>
        <v>3.7787660780964427</v>
      </c>
      <c r="I361" s="1">
        <f>IFERROR(I133/SUM(I133,I198),0)*'[1]Electricity and CHPs_IN'!E$26</f>
        <v>3.7953265997050978</v>
      </c>
      <c r="J361" s="1">
        <f>IFERROR(J133/SUM(J133,J198),0)*'[1]Electricity and CHPs_IN'!F$26</f>
        <v>3.8649095086591818</v>
      </c>
      <c r="K361" s="1">
        <f>IFERROR(K133/SUM(K133,K198),0)*'[1]Electricity and CHPs_IN'!G$26</f>
        <v>3.2876834657166594</v>
      </c>
      <c r="L361" s="1">
        <f>IFERROR(L133/SUM(L133,L198),0)*'[1]Electricity and CHPs_IN'!H$26</f>
        <v>3.459668813516116</v>
      </c>
      <c r="M361" s="1">
        <f>IFERROR(M133/SUM(M133,M198),0)*'[1]Electricity and CHPs_IN'!I$26</f>
        <v>3.7601506593948275</v>
      </c>
      <c r="N361" s="1">
        <f>IFERROR(N133/SUM(N133,N198),0)*'[1]Electricity and CHPs_IN'!J$26</f>
        <v>3.9060954600961981</v>
      </c>
      <c r="O361" s="1">
        <f>IFERROR(O133/SUM(O133,O198),0)*'[1]Electricity and CHPs_IN'!K$26</f>
        <v>3.9064458675483764</v>
      </c>
      <c r="P361" s="1">
        <f>IFERROR(P133/SUM(P133,P198),0)*'[1]Electricity and CHPs_IN'!L$26</f>
        <v>3.9065676170799142</v>
      </c>
      <c r="Q361" s="1">
        <f>IFERROR(Q133/SUM(Q133,Q198),0)*'[1]Electricity and CHPs_IN'!M$26</f>
        <v>3.9066259836476873</v>
      </c>
      <c r="S361" s="3"/>
    </row>
    <row r="362" spans="1:19" x14ac:dyDescent="0.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7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0.63215022146375177</v>
      </c>
      <c r="L362" s="1">
        <f>IFERROR(L134/SUM(L134,L199),0)*'[1]Electricity and CHPs_IN'!H$27</f>
        <v>1.3650780492625922</v>
      </c>
      <c r="M362" s="1">
        <f>IFERROR(M134/SUM(M134,M199),0)*'[1]Electricity and CHPs_IN'!I$27</f>
        <v>1.3501411223339406</v>
      </c>
      <c r="N362" s="1">
        <f>IFERROR(N134/SUM(N134,N199),0)*'[1]Electricity and CHPs_IN'!J$27</f>
        <v>1.3367735195682049</v>
      </c>
      <c r="O362" s="1">
        <f>IFERROR(O134/SUM(O134,O199),0)*'[1]Electricity and CHPs_IN'!K$27</f>
        <v>1.336773556619909</v>
      </c>
      <c r="P362" s="1">
        <f>IFERROR(P134/SUM(P134,P199),0)*'[1]Electricity and CHPs_IN'!L$27</f>
        <v>1.3367733977344449</v>
      </c>
      <c r="Q362" s="1">
        <f>IFERROR(Q134/SUM(Q134,Q199),0)*'[1]Electricity and CHPs_IN'!M$27</f>
        <v>1.3367735253040351</v>
      </c>
      <c r="S362" s="3"/>
    </row>
    <row r="363" spans="1:19" x14ac:dyDescent="0.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75"/>
        <v>PJ/yr.</v>
      </c>
      <c r="F363" s="1">
        <f>IFERROR(F135/SUM(F135,F274),0)*'[1]Electricity and CHPs_IN'!B$44</f>
        <v>0.39444383180027842</v>
      </c>
      <c r="G363" s="1">
        <f>IFERROR(G135/SUM(G135,G274),0)*'[1]Electricity and CHPs_IN'!C$44</f>
        <v>0.40919159127611882</v>
      </c>
      <c r="H363" s="1">
        <f>IFERROR(H135/SUM(H135,H274),0)*'[1]Electricity and CHPs_IN'!D$44</f>
        <v>0.63365924970942566</v>
      </c>
      <c r="I363" s="1">
        <f>IFERROR(I135/SUM(I135,I274),0)*'[1]Electricity and CHPs_IN'!E$44</f>
        <v>0.6943107029883292</v>
      </c>
      <c r="J363" s="1">
        <f>IFERROR(J135/SUM(J135,J274),0)*'[1]Electricity and CHPs_IN'!F$44</f>
        <v>0.76966358253311928</v>
      </c>
      <c r="K363" s="1">
        <f>IFERROR(K135/SUM(K135,K274),0)*'[1]Electricity and CHPs_IN'!G$44</f>
        <v>0.73569327832075215</v>
      </c>
      <c r="L363" s="1">
        <f>IFERROR(L135/SUM(L135,L274),0)*'[1]Electricity and CHPs_IN'!H$44</f>
        <v>4.9004611324046741E-4</v>
      </c>
      <c r="M363" s="1">
        <f>IFERROR(M135/SUM(M135,M274),0)*'[1]Electricity and CHPs_IN'!I$44</f>
        <v>2.3577171472805405E-4</v>
      </c>
      <c r="N363" s="1">
        <f>IFERROR(N135/SUM(N135,N274),0)*'[1]Electricity and CHPs_IN'!J$44</f>
        <v>3.7694791015296464E-4</v>
      </c>
      <c r="O363" s="1">
        <f>IFERROR(O135/SUM(O135,O274),0)*'[1]Electricity and CHPs_IN'!K$44</f>
        <v>6.5522544390716835E-4</v>
      </c>
      <c r="P363" s="1">
        <f>IFERROR(P135/SUM(P135,P274),0)*'[1]Electricity and CHPs_IN'!L$44</f>
        <v>4.0762270407630822E-4</v>
      </c>
      <c r="Q363" s="1">
        <f>IFERROR(Q135/SUM(Q135,Q274),0)*'[1]Electricity and CHPs_IN'!M$44</f>
        <v>1.4914958364771174E-4</v>
      </c>
      <c r="S363" s="3"/>
    </row>
    <row r="364" spans="1:19" x14ac:dyDescent="0.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7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0.13569660264565933</v>
      </c>
      <c r="L364" s="1">
        <f>IFERROR(L136/SUM(L136,L275),0)*'[1]Electricity and CHPs_IN'!H$45</f>
        <v>2.0420496299544952</v>
      </c>
      <c r="M364" s="1">
        <f>IFERROR(M136/SUM(M136,M275),0)*'[1]Electricity and CHPs_IN'!I$45</f>
        <v>2.4201304070472509</v>
      </c>
      <c r="N364" s="1">
        <f>IFERROR(N136/SUM(N136,N275),0)*'[1]Electricity and CHPs_IN'!J$45</f>
        <v>2.4199209169936111</v>
      </c>
      <c r="O364" s="1">
        <f>IFERROR(O136/SUM(O136,O275),0)*'[1]Electricity and CHPs_IN'!K$45</f>
        <v>2.4193656341921486</v>
      </c>
      <c r="P364" s="1">
        <f>IFERROR(P136/SUM(P136,P275),0)*'[1]Electricity and CHPs_IN'!L$45</f>
        <v>2.4199006361352069</v>
      </c>
      <c r="Q364" s="1">
        <f>IFERROR(Q136/SUM(Q136,Q275),0)*'[1]Electricity and CHPs_IN'!M$45</f>
        <v>2.4202963573652156</v>
      </c>
      <c r="S364" s="3"/>
    </row>
    <row r="365" spans="1:19" x14ac:dyDescent="0.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75"/>
        <v>PJ/yr.</v>
      </c>
      <c r="F365" s="1">
        <f>SUM(F366:F369)</f>
        <v>11.050532259902241</v>
      </c>
      <c r="G365" s="1">
        <f t="shared" ref="G365:K365" si="378">SUM(G366:G369)</f>
        <v>12.099918756048186</v>
      </c>
      <c r="H365" s="1">
        <f t="shared" si="378"/>
        <v>12.256847599708319</v>
      </c>
      <c r="I365" s="1">
        <f t="shared" si="378"/>
        <v>12.245956626507219</v>
      </c>
      <c r="J365" s="1">
        <f t="shared" si="378"/>
        <v>12.411843439212245</v>
      </c>
      <c r="K365" s="1">
        <f t="shared" si="378"/>
        <v>12.937210155476244</v>
      </c>
      <c r="L365" s="1">
        <f t="shared" ref="L365:O365" si="379">SUM(L366:L369)</f>
        <v>15.117911187639269</v>
      </c>
      <c r="M365" s="1">
        <f t="shared" si="379"/>
        <v>15.703015520032761</v>
      </c>
      <c r="N365" s="1">
        <f t="shared" si="379"/>
        <v>15.639128735491106</v>
      </c>
      <c r="O365" s="1">
        <f t="shared" si="379"/>
        <v>15.639304494138797</v>
      </c>
      <c r="P365" s="1">
        <f>SUM(P366:P369)</f>
        <v>15.639363952595533</v>
      </c>
      <c r="Q365" s="1">
        <f>SUM(Q366:Q369)</f>
        <v>15.639393995376169</v>
      </c>
      <c r="S365" s="3"/>
    </row>
    <row r="366" spans="1:19" x14ac:dyDescent="0.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75"/>
        <v>PJ/yr.</v>
      </c>
      <c r="F366" s="1">
        <f>F359*IFERROR(F138/F131,0)</f>
        <v>9.1017956110985185</v>
      </c>
      <c r="G366" s="1">
        <f t="shared" ref="G366:K366" si="380">G359*IFERROR(G138/G131,0)</f>
        <v>10.214892067241415</v>
      </c>
      <c r="H366" s="1">
        <f t="shared" si="380"/>
        <v>10.367464560660098</v>
      </c>
      <c r="I366" s="1">
        <f t="shared" si="380"/>
        <v>10.348293326654669</v>
      </c>
      <c r="J366" s="1">
        <f t="shared" si="380"/>
        <v>10.479388684882654</v>
      </c>
      <c r="K366" s="1">
        <f t="shared" si="380"/>
        <v>8.1495566273522044</v>
      </c>
      <c r="L366" s="1">
        <f t="shared" ref="L366:O366" si="381">L359*IFERROR(L138/L131,0)</f>
        <v>6.3244929626589723</v>
      </c>
      <c r="M366" s="1">
        <f t="shared" si="381"/>
        <v>6.5741687421585171</v>
      </c>
      <c r="N366" s="1">
        <f t="shared" si="381"/>
        <v>6.5090780849405405</v>
      </c>
      <c r="O366" s="1">
        <f t="shared" si="381"/>
        <v>6.5090790203153528</v>
      </c>
      <c r="P366" s="1">
        <f t="shared" ref="P366:Q371" si="382">P359*IFERROR(P138/P131,0)</f>
        <v>6.5090781421162669</v>
      </c>
      <c r="Q366" s="1">
        <f t="shared" si="382"/>
        <v>6.5090784823247851</v>
      </c>
      <c r="S366" s="3"/>
    </row>
    <row r="367" spans="1:19" x14ac:dyDescent="0.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75"/>
        <v>PJ/yr.</v>
      </c>
      <c r="F367" s="1">
        <f t="shared" ref="F367:K367" si="383">F360*IFERROR(F139/F132,0)</f>
        <v>0</v>
      </c>
      <c r="G367" s="1">
        <f t="shared" si="383"/>
        <v>0</v>
      </c>
      <c r="H367" s="1">
        <f t="shared" si="383"/>
        <v>0</v>
      </c>
      <c r="I367" s="1">
        <f t="shared" si="383"/>
        <v>0</v>
      </c>
      <c r="J367" s="1">
        <f t="shared" si="383"/>
        <v>0</v>
      </c>
      <c r="K367" s="1">
        <f t="shared" si="383"/>
        <v>2.8277366845338325</v>
      </c>
      <c r="L367" s="1">
        <f t="shared" ref="L367:O367" si="384">L360*IFERROR(L139/L132,0)</f>
        <v>6.3810447935909416</v>
      </c>
      <c r="M367" s="1">
        <f t="shared" si="384"/>
        <v>6.5737008870098599</v>
      </c>
      <c r="N367" s="1">
        <f t="shared" si="384"/>
        <v>6.5086161607183639</v>
      </c>
      <c r="O367" s="1">
        <f t="shared" si="384"/>
        <v>6.5086157617392999</v>
      </c>
      <c r="P367" s="1">
        <f t="shared" si="382"/>
        <v>6.5086153030720855</v>
      </c>
      <c r="Q367" s="1">
        <f t="shared" si="382"/>
        <v>6.5086157585755231</v>
      </c>
      <c r="S367" s="3"/>
    </row>
    <row r="368" spans="1:19" x14ac:dyDescent="0.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75"/>
        <v>PJ/yr.</v>
      </c>
      <c r="F368" s="1">
        <f t="shared" ref="F368:K368" si="385">F361*IFERROR(F140/F133,0)</f>
        <v>1.9487366488037223</v>
      </c>
      <c r="G368" s="1">
        <f t="shared" si="385"/>
        <v>1.8850266888067706</v>
      </c>
      <c r="H368" s="1">
        <f t="shared" si="385"/>
        <v>1.8893830390482214</v>
      </c>
      <c r="I368" s="1">
        <f t="shared" si="385"/>
        <v>1.8976632998525487</v>
      </c>
      <c r="J368" s="1">
        <f t="shared" si="385"/>
        <v>1.9324547543295914</v>
      </c>
      <c r="K368" s="1">
        <f t="shared" si="385"/>
        <v>1.6438417328583297</v>
      </c>
      <c r="L368" s="1">
        <f t="shared" ref="L368:O368" si="386">L361*IFERROR(L140/L133,0)</f>
        <v>1.729834406758058</v>
      </c>
      <c r="M368" s="1">
        <f t="shared" si="386"/>
        <v>1.8800753296974138</v>
      </c>
      <c r="N368" s="1">
        <f t="shared" si="386"/>
        <v>1.9530477300480991</v>
      </c>
      <c r="O368" s="1">
        <f t="shared" si="386"/>
        <v>1.9532229337741882</v>
      </c>
      <c r="P368" s="1">
        <f t="shared" si="382"/>
        <v>1.9532838085399571</v>
      </c>
      <c r="Q368" s="1">
        <f t="shared" si="382"/>
        <v>1.9533129918238437</v>
      </c>
      <c r="S368" s="3"/>
    </row>
    <row r="369" spans="1:19" x14ac:dyDescent="0.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75"/>
        <v>PJ/yr.</v>
      </c>
      <c r="F369" s="1">
        <f t="shared" ref="F369:K369" si="387">F362*IFERROR(F141/F134,0)</f>
        <v>0</v>
      </c>
      <c r="G369" s="1">
        <f t="shared" si="387"/>
        <v>0</v>
      </c>
      <c r="H369" s="1">
        <f t="shared" si="387"/>
        <v>0</v>
      </c>
      <c r="I369" s="1">
        <f t="shared" si="387"/>
        <v>0</v>
      </c>
      <c r="J369" s="1">
        <f t="shared" si="387"/>
        <v>0</v>
      </c>
      <c r="K369" s="1">
        <f t="shared" si="387"/>
        <v>0.31607511073187589</v>
      </c>
      <c r="L369" s="1">
        <f t="shared" ref="L369:O369" si="388">L362*IFERROR(L141/L134,0)</f>
        <v>0.68253902463129612</v>
      </c>
      <c r="M369" s="1">
        <f t="shared" si="388"/>
        <v>0.67507056116697028</v>
      </c>
      <c r="N369" s="1">
        <f t="shared" si="388"/>
        <v>0.66838675978410245</v>
      </c>
      <c r="O369" s="1">
        <f t="shared" si="388"/>
        <v>0.66838677830995463</v>
      </c>
      <c r="P369" s="1">
        <f t="shared" si="382"/>
        <v>0.66838669886722235</v>
      </c>
      <c r="Q369" s="1">
        <f t="shared" si="382"/>
        <v>0.66838676265201757</v>
      </c>
      <c r="S369" s="3"/>
    </row>
    <row r="370" spans="1:19" x14ac:dyDescent="0.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75"/>
        <v>PJ/yr.</v>
      </c>
      <c r="F370" s="1">
        <f t="shared" ref="F370:K370" si="389">F363*IFERROR(F142/F135,0)</f>
        <v>0</v>
      </c>
      <c r="G370" s="1">
        <f t="shared" si="389"/>
        <v>0</v>
      </c>
      <c r="H370" s="1">
        <f t="shared" si="389"/>
        <v>0</v>
      </c>
      <c r="I370" s="1">
        <f t="shared" si="389"/>
        <v>0</v>
      </c>
      <c r="J370" s="1">
        <f t="shared" si="389"/>
        <v>0</v>
      </c>
      <c r="K370" s="1">
        <f t="shared" si="389"/>
        <v>0</v>
      </c>
      <c r="L370" s="1">
        <f t="shared" ref="L370:O370" si="390">L363*IFERROR(L142/L135,0)</f>
        <v>0</v>
      </c>
      <c r="M370" s="1">
        <f t="shared" si="390"/>
        <v>0</v>
      </c>
      <c r="N370" s="1">
        <f t="shared" si="390"/>
        <v>0</v>
      </c>
      <c r="O370" s="1">
        <f t="shared" si="390"/>
        <v>0</v>
      </c>
      <c r="P370" s="1">
        <f t="shared" si="382"/>
        <v>0</v>
      </c>
      <c r="Q370" s="1">
        <f t="shared" si="382"/>
        <v>0</v>
      </c>
      <c r="S370" s="3"/>
    </row>
    <row r="371" spans="1:19" x14ac:dyDescent="0.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75"/>
        <v>PJ/yr.</v>
      </c>
      <c r="F371" s="1">
        <f t="shared" ref="F371:K371" si="391">F364*IFERROR(F143/F136,0)</f>
        <v>0</v>
      </c>
      <c r="G371" s="1">
        <f t="shared" si="391"/>
        <v>0</v>
      </c>
      <c r="H371" s="1">
        <f t="shared" si="391"/>
        <v>0</v>
      </c>
      <c r="I371" s="1">
        <f t="shared" si="391"/>
        <v>0</v>
      </c>
      <c r="J371" s="1">
        <f t="shared" si="391"/>
        <v>0</v>
      </c>
      <c r="K371" s="1">
        <f t="shared" si="391"/>
        <v>0</v>
      </c>
      <c r="L371" s="1">
        <f t="shared" ref="L371:O371" si="392">L364*IFERROR(L143/L136,0)</f>
        <v>0</v>
      </c>
      <c r="M371" s="1">
        <f t="shared" si="392"/>
        <v>0</v>
      </c>
      <c r="N371" s="1">
        <f t="shared" si="392"/>
        <v>0</v>
      </c>
      <c r="O371" s="1">
        <f t="shared" si="392"/>
        <v>0</v>
      </c>
      <c r="P371" s="1">
        <f t="shared" si="382"/>
        <v>0</v>
      </c>
      <c r="Q371" s="1">
        <f t="shared" si="382"/>
        <v>0</v>
      </c>
      <c r="S371" s="3"/>
    </row>
    <row r="372" spans="1:19" x14ac:dyDescent="0.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75"/>
        <v>PJ/yr.</v>
      </c>
      <c r="F372" s="1">
        <f>SUM(F373:F378)</f>
        <v>11.44497609170252</v>
      </c>
      <c r="G372" s="1">
        <f t="shared" ref="G372:K372" si="393">SUM(G373:G378)</f>
        <v>12.509110347324306</v>
      </c>
      <c r="H372" s="1">
        <f t="shared" si="393"/>
        <v>12.890506849417745</v>
      </c>
      <c r="I372" s="1">
        <f t="shared" si="393"/>
        <v>12.940267329495548</v>
      </c>
      <c r="J372" s="1">
        <f t="shared" si="393"/>
        <v>13.181507021745364</v>
      </c>
      <c r="K372" s="1">
        <f t="shared" si="393"/>
        <v>13.808600036442655</v>
      </c>
      <c r="L372" s="1">
        <f t="shared" ref="L372:O372" si="394">SUM(L373:L378)</f>
        <v>17.160450863707005</v>
      </c>
      <c r="M372" s="1">
        <f t="shared" si="394"/>
        <v>18.123381698794738</v>
      </c>
      <c r="N372" s="1">
        <f t="shared" si="394"/>
        <v>18.059426600394872</v>
      </c>
      <c r="O372" s="1">
        <f t="shared" si="394"/>
        <v>18.059325353774852</v>
      </c>
      <c r="P372" s="1">
        <f>SUM(P373:P378)</f>
        <v>18.059672211434815</v>
      </c>
      <c r="Q372" s="1">
        <f>SUM(Q373:Q378)</f>
        <v>18.059839502325033</v>
      </c>
      <c r="S372" s="3"/>
    </row>
    <row r="373" spans="1:19" x14ac:dyDescent="0.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75"/>
        <v>PJ/yr.</v>
      </c>
      <c r="F373" s="1">
        <f t="shared" ref="F373:K373" si="395">F366*IFERROR(F145/F138,0)</f>
        <v>9.1017956110985185</v>
      </c>
      <c r="G373" s="1">
        <f t="shared" si="395"/>
        <v>10.214892067241415</v>
      </c>
      <c r="H373" s="1">
        <f t="shared" si="395"/>
        <v>10.367464560660098</v>
      </c>
      <c r="I373" s="1">
        <f t="shared" si="395"/>
        <v>10.348293326654669</v>
      </c>
      <c r="J373" s="1">
        <f t="shared" si="395"/>
        <v>10.479388684882654</v>
      </c>
      <c r="K373" s="1">
        <f t="shared" si="395"/>
        <v>8.1495566273522044</v>
      </c>
      <c r="L373" s="1">
        <f t="shared" ref="L373:O373" si="396">L366*IFERROR(L145/L138,0)</f>
        <v>6.3244929626589723</v>
      </c>
      <c r="M373" s="1">
        <f t="shared" si="396"/>
        <v>6.5741687421585171</v>
      </c>
      <c r="N373" s="1">
        <f t="shared" si="396"/>
        <v>6.5090780849405405</v>
      </c>
      <c r="O373" s="1">
        <f t="shared" si="396"/>
        <v>6.5090790203153528</v>
      </c>
      <c r="P373" s="1">
        <f t="shared" ref="P373:Q376" si="397">P366*IFERROR(P145/P138,0)</f>
        <v>6.5090781421162669</v>
      </c>
      <c r="Q373" s="1">
        <f t="shared" si="397"/>
        <v>6.5090784823247851</v>
      </c>
      <c r="S373" s="3"/>
    </row>
    <row r="374" spans="1:19" x14ac:dyDescent="0.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75"/>
        <v>PJ/yr.</v>
      </c>
      <c r="F374" s="1">
        <f t="shared" ref="F374:K374" si="398">F367*IFERROR(F146/F139,0)</f>
        <v>0</v>
      </c>
      <c r="G374" s="1">
        <f t="shared" si="398"/>
        <v>0</v>
      </c>
      <c r="H374" s="1">
        <f t="shared" si="398"/>
        <v>0</v>
      </c>
      <c r="I374" s="1">
        <f t="shared" si="398"/>
        <v>0</v>
      </c>
      <c r="J374" s="1">
        <f t="shared" si="398"/>
        <v>0</v>
      </c>
      <c r="K374" s="1">
        <f t="shared" si="398"/>
        <v>2.8277366845338325</v>
      </c>
      <c r="L374" s="1">
        <f t="shared" ref="L374:O374" si="399">L367*IFERROR(L146/L139,0)</f>
        <v>6.3810447935909416</v>
      </c>
      <c r="M374" s="1">
        <f t="shared" si="399"/>
        <v>6.5737008870098599</v>
      </c>
      <c r="N374" s="1">
        <f t="shared" si="399"/>
        <v>6.5086161607183639</v>
      </c>
      <c r="O374" s="1">
        <f t="shared" si="399"/>
        <v>6.5086157617392999</v>
      </c>
      <c r="P374" s="1">
        <f t="shared" si="397"/>
        <v>6.5086153030720855</v>
      </c>
      <c r="Q374" s="1">
        <f t="shared" si="397"/>
        <v>6.5086157585755231</v>
      </c>
      <c r="S374" s="3"/>
    </row>
    <row r="375" spans="1:19" x14ac:dyDescent="0.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75"/>
        <v>PJ/yr.</v>
      </c>
      <c r="F375" s="1">
        <f t="shared" ref="F375:K375" si="400">F368*IFERROR(F147/F140,0)</f>
        <v>1.9487366488037228</v>
      </c>
      <c r="G375" s="1">
        <f t="shared" si="400"/>
        <v>1.8850266888067706</v>
      </c>
      <c r="H375" s="1">
        <f t="shared" si="400"/>
        <v>1.8893830390482214</v>
      </c>
      <c r="I375" s="1">
        <f t="shared" si="400"/>
        <v>1.8976632998525491</v>
      </c>
      <c r="J375" s="1">
        <f t="shared" si="400"/>
        <v>1.9324547543295907</v>
      </c>
      <c r="K375" s="1">
        <f t="shared" si="400"/>
        <v>1.6438417328583297</v>
      </c>
      <c r="L375" s="1">
        <f t="shared" ref="L375:O375" si="401">L368*IFERROR(L147/L140,0)</f>
        <v>1.729834406758058</v>
      </c>
      <c r="M375" s="1">
        <f t="shared" si="401"/>
        <v>1.8800753296974138</v>
      </c>
      <c r="N375" s="1">
        <f t="shared" si="401"/>
        <v>1.9530477300480991</v>
      </c>
      <c r="O375" s="1">
        <f t="shared" si="401"/>
        <v>1.9532229337741882</v>
      </c>
      <c r="P375" s="1">
        <f t="shared" si="397"/>
        <v>1.9532838085399571</v>
      </c>
      <c r="Q375" s="1">
        <f t="shared" si="397"/>
        <v>1.9533129918238437</v>
      </c>
      <c r="S375" s="3"/>
    </row>
    <row r="376" spans="1:19" x14ac:dyDescent="0.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75"/>
        <v>PJ/yr.</v>
      </c>
      <c r="F376" s="1">
        <f t="shared" ref="F376:K376" si="402">F369*IFERROR(F148/F141,0)</f>
        <v>0</v>
      </c>
      <c r="G376" s="1">
        <f t="shared" si="402"/>
        <v>0</v>
      </c>
      <c r="H376" s="1">
        <f t="shared" si="402"/>
        <v>0</v>
      </c>
      <c r="I376" s="1">
        <f t="shared" si="402"/>
        <v>0</v>
      </c>
      <c r="J376" s="1">
        <f t="shared" si="402"/>
        <v>0</v>
      </c>
      <c r="K376" s="1">
        <f t="shared" si="402"/>
        <v>0.31607511073187589</v>
      </c>
      <c r="L376" s="1">
        <f t="shared" ref="L376:O376" si="403">L369*IFERROR(L148/L141,0)</f>
        <v>0.68253902463129612</v>
      </c>
      <c r="M376" s="1">
        <f t="shared" si="403"/>
        <v>0.67507056116697028</v>
      </c>
      <c r="N376" s="1">
        <f t="shared" si="403"/>
        <v>0.66838675978410245</v>
      </c>
      <c r="O376" s="1">
        <f t="shared" si="403"/>
        <v>0.66838677830995441</v>
      </c>
      <c r="P376" s="1">
        <f t="shared" si="397"/>
        <v>0.66838669886722246</v>
      </c>
      <c r="Q376" s="1">
        <f t="shared" si="397"/>
        <v>0.66838676265201757</v>
      </c>
      <c r="S376" s="3"/>
    </row>
    <row r="377" spans="1:19" x14ac:dyDescent="0.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75"/>
        <v>PJ/yr.</v>
      </c>
      <c r="F377" s="1">
        <f>F363</f>
        <v>0.39444383180027842</v>
      </c>
      <c r="G377" s="1">
        <f t="shared" ref="G377:K377" si="404">G363</f>
        <v>0.40919159127611882</v>
      </c>
      <c r="H377" s="1">
        <f t="shared" si="404"/>
        <v>0.63365924970942566</v>
      </c>
      <c r="I377" s="1">
        <f t="shared" si="404"/>
        <v>0.6943107029883292</v>
      </c>
      <c r="J377" s="1">
        <f t="shared" si="404"/>
        <v>0.76966358253311928</v>
      </c>
      <c r="K377" s="1">
        <f t="shared" si="404"/>
        <v>0.73569327832075215</v>
      </c>
      <c r="L377" s="1">
        <f t="shared" ref="L377:O377" si="405">L363</f>
        <v>4.9004611324046741E-4</v>
      </c>
      <c r="M377" s="1">
        <f t="shared" si="405"/>
        <v>2.3577171472805405E-4</v>
      </c>
      <c r="N377" s="1">
        <f t="shared" si="405"/>
        <v>3.7694791015296464E-4</v>
      </c>
      <c r="O377" s="1">
        <f t="shared" si="405"/>
        <v>6.5522544390716835E-4</v>
      </c>
      <c r="P377" s="1">
        <f>P363</f>
        <v>4.0762270407630822E-4</v>
      </c>
      <c r="Q377" s="1">
        <f>Q363</f>
        <v>1.4914958364771174E-4</v>
      </c>
      <c r="S377" s="3"/>
    </row>
    <row r="378" spans="1:19" x14ac:dyDescent="0.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75"/>
        <v>PJ/yr.</v>
      </c>
      <c r="F378" s="1">
        <f t="shared" ref="F378:K378" si="406">F364</f>
        <v>0</v>
      </c>
      <c r="G378" s="1">
        <f t="shared" si="406"/>
        <v>0</v>
      </c>
      <c r="H378" s="1">
        <f t="shared" si="406"/>
        <v>0</v>
      </c>
      <c r="I378" s="1">
        <f t="shared" si="406"/>
        <v>0</v>
      </c>
      <c r="J378" s="1">
        <f t="shared" si="406"/>
        <v>0</v>
      </c>
      <c r="K378" s="1">
        <f t="shared" si="406"/>
        <v>0.13569660264565933</v>
      </c>
      <c r="L378" s="1">
        <f t="shared" ref="L378:O378" si="407">L364</f>
        <v>2.0420496299544952</v>
      </c>
      <c r="M378" s="1">
        <f t="shared" si="407"/>
        <v>2.4201304070472509</v>
      </c>
      <c r="N378" s="1">
        <f t="shared" si="407"/>
        <v>2.4199209169936111</v>
      </c>
      <c r="O378" s="1">
        <f t="shared" si="407"/>
        <v>2.4193656341921486</v>
      </c>
      <c r="P378" s="1">
        <f>P364</f>
        <v>2.4199006361352069</v>
      </c>
      <c r="Q378" s="1">
        <f>Q364</f>
        <v>2.4202963573652156</v>
      </c>
      <c r="S378" s="3"/>
    </row>
    <row r="379" spans="1:19" x14ac:dyDescent="0.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75"/>
        <v>PJ/yr.</v>
      </c>
      <c r="F379" s="1">
        <f>SUM(F380:F386)</f>
        <v>0.22180589503191478</v>
      </c>
      <c r="G379" s="1">
        <f t="shared" ref="G379:K379" si="408">SUM(G380:G386)</f>
        <v>0.24349620381399575</v>
      </c>
      <c r="H379" s="1">
        <f t="shared" si="408"/>
        <v>1.1455273609180907</v>
      </c>
      <c r="I379" s="1">
        <f t="shared" si="408"/>
        <v>1.6847991286649044</v>
      </c>
      <c r="J379" s="1">
        <f t="shared" si="408"/>
        <v>1.7960275466915363</v>
      </c>
      <c r="K379" s="1">
        <f t="shared" si="408"/>
        <v>3.8540871924030466</v>
      </c>
      <c r="L379" s="1">
        <f t="shared" ref="L379:O379" si="409">SUM(L380:L386)</f>
        <v>4.9342102343937109</v>
      </c>
      <c r="M379" s="1">
        <f t="shared" si="409"/>
        <v>6.2389516548044757</v>
      </c>
      <c r="N379" s="1">
        <f t="shared" si="409"/>
        <v>6.2690645799426967</v>
      </c>
      <c r="O379" s="1">
        <f t="shared" si="409"/>
        <v>6.3315551720659595</v>
      </c>
      <c r="P379" s="1">
        <f>SUM(P380:P386)</f>
        <v>6.3041969613189996</v>
      </c>
      <c r="Q379" s="1">
        <f>SUM(Q380:Q386)</f>
        <v>6.3151751256791595</v>
      </c>
      <c r="S379" s="3"/>
    </row>
    <row r="380" spans="1:19" x14ac:dyDescent="0.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75"/>
        <v>PJ/yr.</v>
      </c>
      <c r="F380" s="1">
        <f>IFERROR(F152/SUM(F152,F207),0)*'[1]Electricity and CHPs_IN'!B$25</f>
        <v>4.0873678449091663E-2</v>
      </c>
      <c r="G380" s="1">
        <f>IFERROR(G152/SUM(G152,G207),0)*'[1]Electricity and CHPs_IN'!C$25</f>
        <v>1.105061698720817E-6</v>
      </c>
      <c r="H380" s="1">
        <f>IFERROR(H152/SUM(H152,H207),0)*'[1]Electricity and CHPs_IN'!D$25</f>
        <v>2.2467957752252384E-3</v>
      </c>
      <c r="I380" s="1">
        <f>IFERROR(I152/SUM(I152,I207),0)*'[1]Electricity and CHPs_IN'!E$25</f>
        <v>1.0119174018281894E-3</v>
      </c>
      <c r="J380" s="1">
        <f>IFERROR(J152/SUM(J152,J207),0)*'[1]Electricity and CHPs_IN'!F$25</f>
        <v>1.9550095297472081E-3</v>
      </c>
      <c r="K380" s="1">
        <f>IFERROR(K152/SUM(K152,K207),0)*'[1]Electricity and CHPs_IN'!G$25</f>
        <v>0.65213846841257306</v>
      </c>
      <c r="L380" s="1">
        <f>IFERROR(L152/SUM(L152,L207),0)*'[1]Electricity and CHPs_IN'!H$25</f>
        <v>1.0138181263849757</v>
      </c>
      <c r="M380" s="1">
        <f>IFERROR(M152/SUM(M152,M207),0)*'[1]Electricity and CHPs_IN'!I$25</f>
        <v>0.6325754881721698</v>
      </c>
      <c r="N380" s="1">
        <f>IFERROR(N152/SUM(N152,N207),0)*'[1]Electricity and CHPs_IN'!J$25</f>
        <v>0.58870887195358246</v>
      </c>
      <c r="O380" s="1">
        <f>IFERROR(O152/SUM(O152,O207),0)*'[1]Electricity and CHPs_IN'!K$25</f>
        <v>0.61408652278097065</v>
      </c>
      <c r="P380" s="1">
        <f>IFERROR(P152/SUM(P152,P207),0)*'[1]Electricity and CHPs_IN'!L$25</f>
        <v>0.59003474521199017</v>
      </c>
      <c r="Q380" s="1">
        <f>IFERROR(Q152/SUM(Q152,Q207),0)*'[1]Electricity and CHPs_IN'!M$25</f>
        <v>0.58863993644919921</v>
      </c>
      <c r="S380" s="3"/>
    </row>
    <row r="381" spans="1:19" x14ac:dyDescent="0.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7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2.7378223140703695E-3</v>
      </c>
      <c r="L381" s="1">
        <f>'[1]Electricity and CHPs_IN'!H$31</f>
        <v>0.10025475793724008</v>
      </c>
      <c r="M381" s="1">
        <f>'[1]Electricity and CHPs_IN'!I$31</f>
        <v>1.414963316389491</v>
      </c>
      <c r="N381" s="1">
        <f>'[1]Electricity and CHPs_IN'!J$31</f>
        <v>1.524768161566632</v>
      </c>
      <c r="O381" s="1">
        <f>'[1]Electricity and CHPs_IN'!K$31</f>
        <v>1.5280969394034121</v>
      </c>
      <c r="P381" s="1">
        <f>'[1]Electricity and CHPs_IN'!L$31</f>
        <v>1.5381840693849342</v>
      </c>
      <c r="Q381" s="1">
        <f>'[1]Electricity and CHPs_IN'!M$31</f>
        <v>1.5391366667888728</v>
      </c>
      <c r="S381" s="3"/>
    </row>
    <row r="382" spans="1:19" x14ac:dyDescent="0.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75"/>
        <v>PJ/yr.</v>
      </c>
      <c r="F382" s="1">
        <f>IFERROR(F154/SUM(F154,F283),0)*'[1]Electricity and CHPs_IN'!B$42</f>
        <v>0.1809322165828231</v>
      </c>
      <c r="G382" s="1">
        <f>IFERROR(G154/SUM(G154,G283),0)*'[1]Electricity and CHPs_IN'!C$42</f>
        <v>0.24349509875229702</v>
      </c>
      <c r="H382" s="1">
        <f>IFERROR(H154/SUM(H154,H283),0)*'[1]Electricity and CHPs_IN'!D$42</f>
        <v>1.1432805651428655</v>
      </c>
      <c r="I382" s="1">
        <f>IFERROR(I154/SUM(I154,I283),0)*'[1]Electricity and CHPs_IN'!E$42</f>
        <v>1.6809518802472663</v>
      </c>
      <c r="J382" s="1">
        <f>IFERROR(J154/SUM(J154,J283),0)*'[1]Electricity and CHPs_IN'!F$42</f>
        <v>1.7899556838874142</v>
      </c>
      <c r="K382" s="1">
        <f>IFERROR(K154/SUM(K154,K283),0)*'[1]Electricity and CHPs_IN'!G$42</f>
        <v>0.59344966451332759</v>
      </c>
      <c r="L382" s="1">
        <f>IFERROR(L154/SUM(L154,L283),0)*'[1]Electricity and CHPs_IN'!H$42</f>
        <v>0.16860098209070498</v>
      </c>
      <c r="M382" s="1">
        <f>IFERROR(M154/SUM(M154,M283),0)*'[1]Electricity and CHPs_IN'!I$42</f>
        <v>9.9936598758921429E-4</v>
      </c>
      <c r="N382" s="1">
        <f>IFERROR(N154/SUM(N154,N283),0)*'[1]Electricity and CHPs_IN'!J$42</f>
        <v>8.8242964011432526E-4</v>
      </c>
      <c r="O382" s="1">
        <f>IFERROR(O154/SUM(O154,O283),0)*'[1]Electricity and CHPs_IN'!K$42</f>
        <v>1.3169839019256519E-3</v>
      </c>
      <c r="P382" s="1">
        <f>IFERROR(P154/SUM(P154,P283),0)*'[1]Electricity and CHPs_IN'!L$42</f>
        <v>8.9529696456362739E-4</v>
      </c>
      <c r="Q382" s="1">
        <f>IFERROR(Q154/SUM(Q154,Q283),0)*'[1]Electricity and CHPs_IN'!M$42</f>
        <v>1.6049073662211906E-3</v>
      </c>
      <c r="S382" s="3"/>
    </row>
    <row r="383" spans="1:19" x14ac:dyDescent="0.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7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2.434124648126812</v>
      </c>
      <c r="L383" s="1">
        <f>IFERROR(L155/SUM(L155,L284),0)*'[1]Electricity and CHPs_IN'!H$43</f>
        <v>3.4464373229912528</v>
      </c>
      <c r="M383" s="1">
        <f>IFERROR(M155/SUM(M155,M284),0)*'[1]Electricity and CHPs_IN'!I$43</f>
        <v>3.9952110166811208</v>
      </c>
      <c r="N383" s="1">
        <f>IFERROR(N155/SUM(N155,N284),0)*'[1]Electricity and CHPs_IN'!J$43</f>
        <v>3.9630945557283006</v>
      </c>
      <c r="O383" s="1">
        <f>IFERROR(O155/SUM(O155,O284),0)*'[1]Electricity and CHPs_IN'!K$43</f>
        <v>3.9974991081962941</v>
      </c>
      <c r="P383" s="1">
        <f>IFERROR(P155/SUM(P155,P284),0)*'[1]Electricity and CHPs_IN'!L$43</f>
        <v>3.9866460161228816</v>
      </c>
      <c r="Q383" s="1">
        <f>IFERROR(Q155/SUM(Q155,Q284),0)*'[1]Electricity and CHPs_IN'!M$43</f>
        <v>3.9975552112967216</v>
      </c>
      <c r="S383" s="3"/>
    </row>
    <row r="384" spans="1:19" x14ac:dyDescent="0.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7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8.5021961035251184E-4</v>
      </c>
      <c r="J384" s="1">
        <f>IFERROR(J156/SUM(J285,J156),0)*'[1]Electricity and CHPs_IN'!F$50</f>
        <v>1.3576027967112166E-3</v>
      </c>
      <c r="K384" s="1">
        <f>IFERROR(K156/SUM(K285,K156),0)*'[1]Electricity and CHPs_IN'!G$50</f>
        <v>4.827250538259273E-3</v>
      </c>
      <c r="L384" s="1">
        <f>IFERROR(L156/SUM(L285,L156),0)*'[1]Electricity and CHPs_IN'!H$50</f>
        <v>5.7624756172314504E-3</v>
      </c>
      <c r="M384" s="1">
        <f>IFERROR(M156/SUM(M285,M156),0)*'[1]Electricity and CHPs_IN'!I$50</f>
        <v>7.1855160416911673E-3</v>
      </c>
      <c r="N384" s="1">
        <f>IFERROR(N156/SUM(N285,N156),0)*'[1]Electricity and CHPs_IN'!J$50</f>
        <v>3.8602472679754207E-3</v>
      </c>
      <c r="O384" s="1">
        <f>IFERROR(O156/SUM(O285,O156),0)*'[1]Electricity and CHPs_IN'!K$50</f>
        <v>4.2774664863033185E-3</v>
      </c>
      <c r="P384" s="1">
        <f>IFERROR(P156/SUM(P285,P156),0)*'[1]Electricity and CHPs_IN'!L$50</f>
        <v>3.7432003662139974E-3</v>
      </c>
      <c r="Q384" s="1">
        <f>IFERROR(Q156/SUM(Q285,Q156),0)*'[1]Electricity and CHPs_IN'!M$50</f>
        <v>5.7035119452550397E-3</v>
      </c>
      <c r="S384" s="3"/>
    </row>
    <row r="385" spans="1:19" x14ac:dyDescent="0.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7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1.0896098391867731E-3</v>
      </c>
      <c r="J385" s="1">
        <f>IFERROR(J157/SUM(J286,J157),0)*'[1]Electricity and CHPs_IN'!F$53</f>
        <v>1.7292148472050305E-3</v>
      </c>
      <c r="K385" s="1">
        <f>IFERROR(K157/SUM(K286,K157),0)*'[1]Electricity and CHPs_IN'!G$53</f>
        <v>0.15964855623439836</v>
      </c>
      <c r="L385" s="1">
        <f>IFERROR(L157/SUM(L286,L157),0)*'[1]Electricity and CHPs_IN'!H$53</f>
        <v>0.19340315419187551</v>
      </c>
      <c r="M385" s="1">
        <f>IFERROR(M157/SUM(M286,M157),0)*'[1]Electricity and CHPs_IN'!I$53</f>
        <v>0.1852898787813001</v>
      </c>
      <c r="N385" s="1">
        <f>IFERROR(N157/SUM(N286,N157),0)*'[1]Electricity and CHPs_IN'!J$53</f>
        <v>0.18427685305042293</v>
      </c>
      <c r="O385" s="1">
        <f>IFERROR(O157/SUM(O286,O157),0)*'[1]Electricity and CHPs_IN'!K$53</f>
        <v>0.18341987914644425</v>
      </c>
      <c r="P385" s="1">
        <f>IFERROR(P157/SUM(P286,P157),0)*'[1]Electricity and CHPs_IN'!L$53</f>
        <v>0.182579249449243</v>
      </c>
      <c r="Q385" s="1">
        <f>IFERROR(Q157/SUM(Q286,Q157),0)*'[1]Electricity and CHPs_IN'!M$53</f>
        <v>0.17819431642110134</v>
      </c>
      <c r="S385" s="3"/>
    </row>
    <row r="386" spans="1:19" x14ac:dyDescent="0.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7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8.9550156627050644E-4</v>
      </c>
      <c r="J386" s="1">
        <f>IFERROR(J158/SUM(J287,J158),0)*'[1]Electricity and CHPs_IN'!F$56</f>
        <v>1.0300356304587172E-3</v>
      </c>
      <c r="K386" s="1">
        <f>IFERROR(K158/SUM(K287,K158),0)*'[1]Electricity and CHPs_IN'!G$56</f>
        <v>7.1607822636062394E-3</v>
      </c>
      <c r="L386" s="1">
        <f>IFERROR(L158/SUM(L287,L158),0)*'[1]Electricity and CHPs_IN'!H$56</f>
        <v>5.9334151804302966E-3</v>
      </c>
      <c r="M386" s="1">
        <f>IFERROR(M158/SUM(M287,M158),0)*'[1]Electricity and CHPs_IN'!I$56</f>
        <v>2.7270727511141549E-3</v>
      </c>
      <c r="N386" s="1">
        <f>IFERROR(N158/SUM(N287,N158),0)*'[1]Electricity and CHPs_IN'!J$56</f>
        <v>3.4734607356684496E-3</v>
      </c>
      <c r="O386" s="1">
        <f>IFERROR(O158/SUM(O287,O158),0)*'[1]Electricity and CHPs_IN'!K$56</f>
        <v>2.8582721506094921E-3</v>
      </c>
      <c r="P386" s="1">
        <f>IFERROR(P158/SUM(P287,P158),0)*'[1]Electricity and CHPs_IN'!L$56</f>
        <v>2.1143838191724886E-3</v>
      </c>
      <c r="Q386" s="1">
        <f>IFERROR(Q158/SUM(Q287,Q158),0)*'[1]Electricity and CHPs_IN'!M$56</f>
        <v>4.3405754117891342E-3</v>
      </c>
      <c r="S386" s="3"/>
    </row>
    <row r="387" spans="1:19" x14ac:dyDescent="0.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75"/>
        <v>PJ/yr.</v>
      </c>
      <c r="F387" s="1">
        <f>F388</f>
        <v>0.52400000000000047</v>
      </c>
      <c r="G387" s="1">
        <f t="shared" ref="G387:O387" si="410">G388</f>
        <v>0.54529204320697078</v>
      </c>
      <c r="H387" s="1">
        <f t="shared" si="410"/>
        <v>0.50316464154052054</v>
      </c>
      <c r="I387" s="1">
        <f t="shared" si="410"/>
        <v>0.98984228559381826</v>
      </c>
      <c r="J387" s="1">
        <f t="shared" si="410"/>
        <v>1.0861897355413361</v>
      </c>
      <c r="K387" s="1">
        <f t="shared" si="410"/>
        <v>1.0863137814254247</v>
      </c>
      <c r="L387" s="1">
        <f t="shared" si="410"/>
        <v>1.2212459805636593</v>
      </c>
      <c r="M387" s="1">
        <f t="shared" si="410"/>
        <v>1.221262519334102</v>
      </c>
      <c r="N387" s="1">
        <f t="shared" si="410"/>
        <v>1.2213800676946502</v>
      </c>
      <c r="O387" s="1">
        <f t="shared" si="410"/>
        <v>1.2215382173731462</v>
      </c>
      <c r="P387" s="1">
        <f>P388</f>
        <v>1.2215410910374236</v>
      </c>
      <c r="Q387" s="1">
        <f>Q388</f>
        <v>1.2215570182267321</v>
      </c>
      <c r="S387" s="3"/>
    </row>
    <row r="388" spans="1:19" x14ac:dyDescent="0.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75"/>
        <v>PJ/yr.</v>
      </c>
      <c r="F388" s="1">
        <f>'[1]Electricity and CHPs_IN'!B$33</f>
        <v>0.52400000000000047</v>
      </c>
      <c r="G388" s="1">
        <f>'[1]Electricity and CHPs_IN'!C$33</f>
        <v>0.54529204320697078</v>
      </c>
      <c r="H388" s="1">
        <f>'[1]Electricity and CHPs_IN'!D$33</f>
        <v>0.50316464154052054</v>
      </c>
      <c r="I388" s="1">
        <f>'[1]Electricity and CHPs_IN'!E$33</f>
        <v>0.98984228559381826</v>
      </c>
      <c r="J388" s="1">
        <f>'[1]Electricity and CHPs_IN'!F$33</f>
        <v>1.0861897355413361</v>
      </c>
      <c r="K388" s="1">
        <f>'[1]Electricity and CHPs_IN'!G$33</f>
        <v>1.0863137814254247</v>
      </c>
      <c r="L388" s="1">
        <f>'[1]Electricity and CHPs_IN'!H$33</f>
        <v>1.2212459805636593</v>
      </c>
      <c r="M388" s="1">
        <f>'[1]Electricity and CHPs_IN'!I$33</f>
        <v>1.221262519334102</v>
      </c>
      <c r="N388" s="1">
        <f>'[1]Electricity and CHPs_IN'!J$33</f>
        <v>1.2213800676946502</v>
      </c>
      <c r="O388" s="1">
        <f>'[1]Electricity and CHPs_IN'!K$33</f>
        <v>1.2215382173731462</v>
      </c>
      <c r="P388" s="1">
        <f>'[1]Electricity and CHPs_IN'!L$33</f>
        <v>1.2215410910374236</v>
      </c>
      <c r="Q388" s="1">
        <f>'[1]Electricity and CHPs_IN'!M$33</f>
        <v>1.2215570182267321</v>
      </c>
      <c r="S388" s="3"/>
    </row>
    <row r="389" spans="1:19" x14ac:dyDescent="0.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75"/>
        <v>PJ/yr.</v>
      </c>
      <c r="F389" s="1">
        <f>SUM(F390:F394)</f>
        <v>9.3550000000000111</v>
      </c>
      <c r="G389" s="1">
        <f t="shared" ref="G389:K389" si="411">SUM(G390:G394)</f>
        <v>12.821343205207668</v>
      </c>
      <c r="H389" s="1">
        <f t="shared" si="411"/>
        <v>28.800001496893064</v>
      </c>
      <c r="I389" s="1">
        <f t="shared" si="411"/>
        <v>54.826969295020426</v>
      </c>
      <c r="J389" s="1">
        <f t="shared" si="411"/>
        <v>80.847969634986697</v>
      </c>
      <c r="K389" s="1">
        <f t="shared" si="411"/>
        <v>85.750548737650249</v>
      </c>
      <c r="L389" s="1">
        <f t="shared" ref="L389:O389" si="412">SUM(L390:L394)</f>
        <v>93.377834571719717</v>
      </c>
      <c r="M389" s="1">
        <f t="shared" si="412"/>
        <v>100.61876174728138</v>
      </c>
      <c r="N389" s="1">
        <f t="shared" si="412"/>
        <v>104.24453729391308</v>
      </c>
      <c r="O389" s="1">
        <f t="shared" si="412"/>
        <v>107.30361935549593</v>
      </c>
      <c r="P389" s="1">
        <f>SUM(P390:P394)</f>
        <v>109.38557857802851</v>
      </c>
      <c r="Q389" s="1">
        <f>SUM(Q390:Q394)</f>
        <v>111.47113640087005</v>
      </c>
      <c r="S389" s="3"/>
    </row>
    <row r="390" spans="1:19" x14ac:dyDescent="0.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7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0.15619072897983161</v>
      </c>
      <c r="I390" s="1">
        <f>'[1]Electricity and CHPs_IN'!E34</f>
        <v>0.53821345162669443</v>
      </c>
      <c r="J390" s="1">
        <f>'[1]Electricity and CHPs_IN'!F34</f>
        <v>2.3205627586842272</v>
      </c>
      <c r="K390" s="1">
        <f>'[1]Electricity and CHPs_IN'!G34</f>
        <v>3.0689980419595648</v>
      </c>
      <c r="L390" s="1">
        <f>'[1]Electricity and CHPs_IN'!H34</f>
        <v>6.4786821594399324</v>
      </c>
      <c r="M390" s="1">
        <f>'[1]Electricity and CHPs_IN'!I34</f>
        <v>9.2868731154888575</v>
      </c>
      <c r="N390" s="1">
        <f>'[1]Electricity and CHPs_IN'!J34</f>
        <v>8.2538006547198712</v>
      </c>
      <c r="O390" s="1">
        <f>'[1]Electricity and CHPs_IN'!K34</f>
        <v>6.4163838161465989</v>
      </c>
      <c r="P390" s="1">
        <f>'[1]Electricity and CHPs_IN'!L34</f>
        <v>3.3520697510897763</v>
      </c>
      <c r="Q390" s="1">
        <f>'[1]Electricity and CHPs_IN'!M34</f>
        <v>2.869144957801846E-2</v>
      </c>
      <c r="S390" s="3"/>
    </row>
    <row r="391" spans="1:19" x14ac:dyDescent="0.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75"/>
        <v>PJ/yr.</v>
      </c>
      <c r="F391" s="1">
        <f>'[1]Electricity and CHPs_IN'!B35</f>
        <v>3.517953999707534</v>
      </c>
      <c r="G391" s="1">
        <f>'[1]Electricity and CHPs_IN'!C35</f>
        <v>4.8486222543413104</v>
      </c>
      <c r="H391" s="1">
        <f>'[1]Electricity and CHPs_IN'!D35</f>
        <v>11.927073870179624</v>
      </c>
      <c r="I391" s="1">
        <f>'[1]Electricity and CHPs_IN'!E35</f>
        <v>14.116657077484307</v>
      </c>
      <c r="J391" s="1">
        <f>'[1]Electricity and CHPs_IN'!F35</f>
        <v>19.78467689860712</v>
      </c>
      <c r="K391" s="1">
        <f>'[1]Electricity and CHPs_IN'!G35</f>
        <v>20.793897306235376</v>
      </c>
      <c r="L391" s="1">
        <f>'[1]Electricity and CHPs_IN'!H35</f>
        <v>21.854596279856747</v>
      </c>
      <c r="M391" s="1">
        <f>'[1]Electricity and CHPs_IN'!I35</f>
        <v>22.969401049914179</v>
      </c>
      <c r="N391" s="1">
        <f>'[1]Electricity and CHPs_IN'!J35</f>
        <v>24.141071820801891</v>
      </c>
      <c r="O391" s="1">
        <f>'[1]Electricity and CHPs_IN'!K35</f>
        <v>25.372509635566047</v>
      </c>
      <c r="P391" s="1">
        <f>'[1]Electricity and CHPs_IN'!L35</f>
        <v>26.666763210887776</v>
      </c>
      <c r="Q391" s="1">
        <f>'[1]Electricity and CHPs_IN'!M35</f>
        <v>28.027036979969285</v>
      </c>
      <c r="S391" s="3"/>
    </row>
    <row r="392" spans="1:19" x14ac:dyDescent="0.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75"/>
        <v>PJ/yr.</v>
      </c>
      <c r="F392" s="1">
        <f>'[1]Electricity and CHPs_IN'!B36</f>
        <v>2.1349390887346629</v>
      </c>
      <c r="G392" s="1">
        <f>'[1]Electricity and CHPs_IN'!C36</f>
        <v>3.3906739584495149</v>
      </c>
      <c r="H392" s="1">
        <f>'[1]Electricity and CHPs_IN'!D36</f>
        <v>4.3183171606101451</v>
      </c>
      <c r="I392" s="1">
        <f>'[1]Electricity and CHPs_IN'!E36</f>
        <v>18.917448377972754</v>
      </c>
      <c r="J392" s="1">
        <f>'[1]Electricity and CHPs_IN'!F36</f>
        <v>19.882441940435754</v>
      </c>
      <c r="K392" s="1">
        <f>'[1]Electricity and CHPs_IN'!G36</f>
        <v>20.896647122207167</v>
      </c>
      <c r="L392" s="1">
        <f>'[1]Electricity and CHPs_IN'!H36</f>
        <v>21.962587790033144</v>
      </c>
      <c r="M392" s="1">
        <f>'[1]Electricity and CHPs_IN'!I36</f>
        <v>23.082902713005229</v>
      </c>
      <c r="N392" s="1">
        <f>'[1]Electricity and CHPs_IN'!J36</f>
        <v>24.260364096781437</v>
      </c>
      <c r="O392" s="1">
        <f>'[1]Electricity and CHPs_IN'!K36</f>
        <v>25.497889406070179</v>
      </c>
      <c r="P392" s="1">
        <f>'[1]Electricity and CHPs_IN'!L36</f>
        <v>26.798542625873115</v>
      </c>
      <c r="Q392" s="1">
        <f>'[1]Electricity and CHPs_IN'!M36</f>
        <v>28.165677056098193</v>
      </c>
      <c r="S392" s="3"/>
    </row>
    <row r="393" spans="1:19" x14ac:dyDescent="0.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75"/>
        <v>PJ/yr.</v>
      </c>
      <c r="F393" s="1">
        <f>'[1]Electricity and CHPs_IN'!B37</f>
        <v>0.86248322578584768</v>
      </c>
      <c r="G393" s="1">
        <f>'[1]Electricity and CHPs_IN'!C37</f>
        <v>1.2875919198428809</v>
      </c>
      <c r="H393" s="1">
        <f>'[1]Electricity and CHPs_IN'!D37</f>
        <v>5.6574990198584603</v>
      </c>
      <c r="I393" s="1">
        <f>'[1]Electricity and CHPs_IN'!E37</f>
        <v>13.460658647674402</v>
      </c>
      <c r="J393" s="1">
        <f>'[1]Electricity and CHPs_IN'!F37</f>
        <v>14.147307523828715</v>
      </c>
      <c r="K393" s="1">
        <f>'[1]Electricity and CHPs_IN'!G37</f>
        <v>14.868963991608782</v>
      </c>
      <c r="L393" s="1">
        <f>'[1]Electricity and CHPs_IN'!H37</f>
        <v>15.627433361167956</v>
      </c>
      <c r="M393" s="1">
        <f>'[1]Electricity and CHPs_IN'!I37</f>
        <v>16.424591324769125</v>
      </c>
      <c r="N393" s="1">
        <f>'[1]Electricity and CHPs_IN'!J37</f>
        <v>17.262411710134231</v>
      </c>
      <c r="O393" s="1">
        <f>'[1]Electricity and CHPs_IN'!K37</f>
        <v>18.142970225685545</v>
      </c>
      <c r="P393" s="1">
        <f>'[1]Electricity and CHPs_IN'!L37</f>
        <v>19.068447383813812</v>
      </c>
      <c r="Q393" s="1">
        <f>'[1]Electricity and CHPs_IN'!M37</f>
        <v>20.041143424348085</v>
      </c>
      <c r="S393" s="3"/>
    </row>
    <row r="394" spans="1:19" x14ac:dyDescent="0.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75"/>
        <v>PJ/yr.</v>
      </c>
      <c r="F394" s="1">
        <f>'[1]Electricity and CHPs_IN'!B38</f>
        <v>2.8396236857719668</v>
      </c>
      <c r="G394" s="1">
        <f>'[1]Electricity and CHPs_IN'!C38</f>
        <v>3.2944550725739599</v>
      </c>
      <c r="H394" s="1">
        <f>'[1]Electricity and CHPs_IN'!D38</f>
        <v>6.7409207172650021</v>
      </c>
      <c r="I394" s="1">
        <f>'[1]Electricity and CHPs_IN'!E38</f>
        <v>7.7939917402622712</v>
      </c>
      <c r="J394" s="1">
        <f>'[1]Electricity and CHPs_IN'!F38</f>
        <v>24.712980513430871</v>
      </c>
      <c r="K394" s="1">
        <f>'[1]Electricity and CHPs_IN'!G38</f>
        <v>26.122042275639355</v>
      </c>
      <c r="L394" s="1">
        <f>'[1]Electricity and CHPs_IN'!H38</f>
        <v>27.454534981221936</v>
      </c>
      <c r="M394" s="1">
        <f>'[1]Electricity and CHPs_IN'!I38</f>
        <v>28.854993544103994</v>
      </c>
      <c r="N394" s="1">
        <f>'[1]Electricity and CHPs_IN'!J38</f>
        <v>30.326889011475654</v>
      </c>
      <c r="O394" s="1">
        <f>'[1]Electricity and CHPs_IN'!K38</f>
        <v>31.873866272027552</v>
      </c>
      <c r="P394" s="1">
        <f>'[1]Electricity and CHPs_IN'!L38</f>
        <v>33.499755606364026</v>
      </c>
      <c r="Q394" s="1">
        <f>'[1]Electricity and CHPs_IN'!M38</f>
        <v>35.208587490876461</v>
      </c>
      <c r="S394" s="3"/>
    </row>
    <row r="395" spans="1:19" x14ac:dyDescent="0.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7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M395" s="1">
        <f>'[1]Electricity and CHPs'!I252</f>
        <v>0</v>
      </c>
      <c r="N395" s="1">
        <f>'[1]Electricity and CHPs'!J252</f>
        <v>0</v>
      </c>
      <c r="O395" s="1">
        <f>'[1]Electricity and CHPs'!K252</f>
        <v>0</v>
      </c>
      <c r="P395" s="1">
        <f>'[1]Electricity and CHPs'!L252</f>
        <v>0</v>
      </c>
      <c r="Q395" s="1">
        <f>'[1]Electricity and CHPs'!M252</f>
        <v>0</v>
      </c>
      <c r="S395" s="3"/>
    </row>
    <row r="396" spans="1:19" x14ac:dyDescent="0.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7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0</v>
      </c>
      <c r="L396" s="1">
        <f>'[1]Electricity and CHPs_IN'!H$32</f>
        <v>0.1209775552031073</v>
      </c>
      <c r="M396" s="1">
        <f>'[1]Electricity and CHPs_IN'!I$32</f>
        <v>0.12100575175929115</v>
      </c>
      <c r="N396" s="1">
        <f>'[1]Electricity and CHPs_IN'!J$32</f>
        <v>0.12100089811046801</v>
      </c>
      <c r="O396" s="1">
        <f>'[1]Electricity and CHPs_IN'!K$32</f>
        <v>0.1104589620369554</v>
      </c>
      <c r="P396" s="1">
        <f>'[1]Electricity and CHPs_IN'!L$32</f>
        <v>0.11197777993116302</v>
      </c>
      <c r="Q396" s="1">
        <f>'[1]Electricity and CHPs_IN'!M$32</f>
        <v>0.11264959376031791</v>
      </c>
      <c r="S396" s="3"/>
    </row>
    <row r="397" spans="1:19" x14ac:dyDescent="0.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75"/>
        <v>PJ/yr.</v>
      </c>
      <c r="F397" s="1">
        <f t="shared" ref="F397" si="413">SUM(F398:F400)</f>
        <v>0</v>
      </c>
      <c r="G397" s="1">
        <f t="shared" ref="G397" si="414">SUM(G398:G400)</f>
        <v>0</v>
      </c>
      <c r="H397" s="1">
        <f t="shared" ref="H397" si="415">SUM(H398:H400)</f>
        <v>0</v>
      </c>
      <c r="I397" s="1">
        <f t="shared" ref="I397" si="416">SUM(I398:I400)</f>
        <v>9.652455286651521E-3</v>
      </c>
      <c r="J397" s="1">
        <f t="shared" ref="J397" si="417">SUM(J398:J400)</f>
        <v>0.86571251505840852</v>
      </c>
      <c r="K397" s="1">
        <f t="shared" ref="K397" si="418">SUM(K398:K400)</f>
        <v>3.6364007148069182</v>
      </c>
      <c r="L397" s="1">
        <f t="shared" ref="L397:O397" si="419">SUM(L398:L400)</f>
        <v>5.3628854524145142</v>
      </c>
      <c r="M397" s="1">
        <f t="shared" si="419"/>
        <v>5.7117240120599622</v>
      </c>
      <c r="N397" s="1">
        <f t="shared" si="419"/>
        <v>5.6937977989562167</v>
      </c>
      <c r="O397" s="1">
        <f t="shared" si="419"/>
        <v>5.6430053179634143</v>
      </c>
      <c r="P397" s="1">
        <f>SUM(P398:P400)</f>
        <v>5.6216451431387524</v>
      </c>
      <c r="Q397" s="1">
        <f>SUM(Q398:Q400)</f>
        <v>5.6387570506478433</v>
      </c>
      <c r="S397" s="3"/>
    </row>
    <row r="398" spans="1:19" x14ac:dyDescent="0.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7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0.27064310431728472</v>
      </c>
      <c r="L398" s="1">
        <f>IFERROR(L170/SUM(L170,L209),0)*'[1]Electricity and CHPs_IN'!H$30</f>
        <v>0.77351855603064823</v>
      </c>
      <c r="M398" s="1">
        <f>IFERROR(M170/SUM(M170,M209),0)*'[1]Electricity and CHPs_IN'!I$30</f>
        <v>1.1335175553502659</v>
      </c>
      <c r="N398" s="1">
        <f>IFERROR(N170/SUM(N170,N209),0)*'[1]Electricity and CHPs_IN'!J$30</f>
        <v>1.1335170721008772</v>
      </c>
      <c r="O398" s="1">
        <f>IFERROR(O170/SUM(O170,O209),0)*'[1]Electricity and CHPs_IN'!K$30</f>
        <v>1.1335184566700087</v>
      </c>
      <c r="P398" s="1">
        <f>IFERROR(P170/SUM(P170,P209),0)*'[1]Electricity and CHPs_IN'!L$30</f>
        <v>1.133520503814017</v>
      </c>
      <c r="Q398" s="1">
        <f>IFERROR(Q170/SUM(Q170,Q209),0)*'[1]Electricity and CHPs_IN'!M$30</f>
        <v>1.1335410087380029</v>
      </c>
      <c r="S398" s="3"/>
    </row>
    <row r="399" spans="1:19" x14ac:dyDescent="0.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7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8.2494793162824712E-3</v>
      </c>
      <c r="J399" s="1">
        <f>IFERROR(J171/SUM(J171,J289),0)*'[1]Electricity and CHPs_IN'!F$46</f>
        <v>0.8622349076267799</v>
      </c>
      <c r="K399" s="1">
        <f>IFERROR(K171/SUM(K171,K289),0)*'[1]Electricity and CHPs_IN'!G$46</f>
        <v>3.3482829826433411</v>
      </c>
      <c r="L399" s="1">
        <f>IFERROR(L171/SUM(L171,L289),0)*'[1]Electricity and CHPs_IN'!H$46</f>
        <v>4.521582524594443</v>
      </c>
      <c r="M399" s="1">
        <f>IFERROR(M171/SUM(M171,M289),0)*'[1]Electricity and CHPs_IN'!I$46</f>
        <v>4.4776239628455041</v>
      </c>
      <c r="N399" s="1">
        <f>IFERROR(N171/SUM(N171,N289),0)*'[1]Electricity and CHPs_IN'!J$46</f>
        <v>4.4776248067548252</v>
      </c>
      <c r="O399" s="1">
        <f>IFERROR(O171/SUM(O171,O289),0)*'[1]Electricity and CHPs_IN'!K$46</f>
        <v>4.4776232573653711</v>
      </c>
      <c r="P399" s="1">
        <f>IFERROR(P171/SUM(P171,P289),0)*'[1]Electricity and CHPs_IN'!L$46</f>
        <v>4.4776240821648123</v>
      </c>
      <c r="Q399" s="1">
        <f>IFERROR(Q171/SUM(Q171,Q289),0)*'[1]Electricity and CHPs_IN'!M$46</f>
        <v>4.4776264725535917</v>
      </c>
      <c r="S399" s="3"/>
    </row>
    <row r="400" spans="1:19" x14ac:dyDescent="0.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7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1.4029759703690491E-3</v>
      </c>
      <c r="J400" s="1">
        <f>IFERROR(J172/SUM(J172,J290),0)*'[1]Electricity and CHPs_IN'!F$57</f>
        <v>3.4776074316285933E-3</v>
      </c>
      <c r="K400" s="1">
        <f>IFERROR(K172/SUM(K172,K290),0)*'[1]Electricity and CHPs_IN'!G$57</f>
        <v>1.747462784629213E-2</v>
      </c>
      <c r="L400" s="1">
        <f>IFERROR(L172/SUM(L172,L290),0)*'[1]Electricity and CHPs_IN'!H$57</f>
        <v>6.7784371789422607E-2</v>
      </c>
      <c r="M400" s="1">
        <f>IFERROR(M172/SUM(M172,M290),0)*'[1]Electricity and CHPs_IN'!I$57</f>
        <v>0.10058249386419239</v>
      </c>
      <c r="N400" s="1">
        <f>IFERROR(N172/SUM(N172,N290),0)*'[1]Electricity and CHPs_IN'!J$57</f>
        <v>8.2655920100514063E-2</v>
      </c>
      <c r="O400" s="1">
        <f>IFERROR(O172/SUM(O172,O290),0)*'[1]Electricity and CHPs_IN'!K$57</f>
        <v>3.186360392803407E-2</v>
      </c>
      <c r="P400" s="1">
        <f>IFERROR(P172/SUM(P172,P290),0)*'[1]Electricity and CHPs_IN'!L$57</f>
        <v>1.0500557159923329E-2</v>
      </c>
      <c r="Q400" s="1">
        <f>IFERROR(Q172/SUM(Q172,Q290),0)*'[1]Electricity and CHPs_IN'!M$57</f>
        <v>2.75895693562483E-2</v>
      </c>
      <c r="S400" s="3"/>
    </row>
    <row r="401" spans="1:19" x14ac:dyDescent="0.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75"/>
        <v>PJ/yr.</v>
      </c>
      <c r="F401" s="1">
        <f>SUM(F402:F408)</f>
        <v>0.14572743586028347</v>
      </c>
      <c r="G401" s="1">
        <f t="shared" ref="G401:K401" si="420">SUM(G402:G408)</f>
        <v>2.1411846063551777E-2</v>
      </c>
      <c r="H401" s="1">
        <f t="shared" si="420"/>
        <v>0.14176737249653504</v>
      </c>
      <c r="I401" s="1">
        <f t="shared" si="420"/>
        <v>0.2859545966352342</v>
      </c>
      <c r="J401" s="1">
        <f t="shared" si="420"/>
        <v>1.4584284276601185</v>
      </c>
      <c r="K401" s="1">
        <f t="shared" si="420"/>
        <v>1.7716932557056404</v>
      </c>
      <c r="L401" s="1">
        <f t="shared" ref="L401:O401" si="421">SUM(L402:L408)</f>
        <v>2.9468348371213113</v>
      </c>
      <c r="M401" s="1">
        <f t="shared" si="421"/>
        <v>5.0663684521405239</v>
      </c>
      <c r="N401" s="1">
        <f t="shared" si="421"/>
        <v>5.8425446590120487</v>
      </c>
      <c r="O401" s="1">
        <f t="shared" si="421"/>
        <v>5.2697875360906545</v>
      </c>
      <c r="P401" s="1">
        <f>SUM(P402:P408)</f>
        <v>5.6270055644956276</v>
      </c>
      <c r="Q401" s="1">
        <f>SUM(Q402:Q408)</f>
        <v>6.02346071905896</v>
      </c>
      <c r="S401" s="3"/>
    </row>
    <row r="402" spans="1:19" x14ac:dyDescent="0.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75"/>
        <v>PJ/yr.</v>
      </c>
      <c r="F402" s="1">
        <f>'[1]Electricity and CHPs_IN'!B63</f>
        <v>0.1350347468469251</v>
      </c>
      <c r="G402" s="1">
        <f>'[1]Electricity and CHPs_IN'!C63</f>
        <v>1.1822883679859994E-2</v>
      </c>
      <c r="H402" s="1">
        <f>'[1]Electricity and CHPs_IN'!D63</f>
        <v>0.1311488360899945</v>
      </c>
      <c r="I402" s="1">
        <f>'[1]Electricity and CHPs_IN'!E63</f>
        <v>6.4363939651619365E-2</v>
      </c>
      <c r="J402" s="1">
        <f>'[1]Electricity and CHPs_IN'!F63</f>
        <v>4.8738313727479422E-2</v>
      </c>
      <c r="K402" s="1">
        <f>'[1]Electricity and CHPs_IN'!G63</f>
        <v>4.063673653770359E-2</v>
      </c>
      <c r="L402" s="1">
        <f>'[1]Electricity and CHPs_IN'!H63</f>
        <v>4.6189110969144756E-2</v>
      </c>
      <c r="M402" s="1">
        <f>'[1]Electricity and CHPs_IN'!I63</f>
        <v>0.1349618763909346</v>
      </c>
      <c r="N402" s="1">
        <f>'[1]Electricity and CHPs_IN'!J63</f>
        <v>0.13498773916733817</v>
      </c>
      <c r="O402" s="1">
        <f>'[1]Electricity and CHPs_IN'!K63</f>
        <v>0.13498745028858139</v>
      </c>
      <c r="P402" s="1">
        <f>'[1]Electricity and CHPs_IN'!L63</f>
        <v>0.134988667959378</v>
      </c>
      <c r="Q402" s="1">
        <f>'[1]Electricity and CHPs_IN'!M63</f>
        <v>0.13499251734568385</v>
      </c>
      <c r="S402" s="3"/>
    </row>
    <row r="403" spans="1:19" x14ac:dyDescent="0.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75"/>
        <v>PJ/yr.</v>
      </c>
      <c r="F403" s="1">
        <f>'[1]Electricity and CHPs_IN'!B64</f>
        <v>2.9910528310956672E-3</v>
      </c>
      <c r="G403" s="1">
        <f>'[1]Electricity and CHPs_IN'!C64</f>
        <v>2.4012986732612511E-3</v>
      </c>
      <c r="H403" s="1">
        <f>'[1]Electricity and CHPs_IN'!D64</f>
        <v>2.9527096495960549E-3</v>
      </c>
      <c r="I403" s="1">
        <f>'[1]Electricity and CHPs_IN'!E64</f>
        <v>2.9611613890300555E-3</v>
      </c>
      <c r="J403" s="1">
        <f>'[1]Electricity and CHPs_IN'!F64</f>
        <v>0.86994349562722717</v>
      </c>
      <c r="K403" s="1">
        <f>'[1]Electricity and CHPs_IN'!G64</f>
        <v>1.1403738872834799</v>
      </c>
      <c r="L403" s="1">
        <f>'[1]Electricity and CHPs_IN'!H64</f>
        <v>1.1699419703938352</v>
      </c>
      <c r="M403" s="1">
        <f>'[1]Electricity and CHPs_IN'!I64</f>
        <v>1.9250008109953061</v>
      </c>
      <c r="N403" s="1">
        <f>'[1]Electricity and CHPs_IN'!J64</f>
        <v>2.2613590221650153</v>
      </c>
      <c r="O403" s="1">
        <f>'[1]Electricity and CHPs_IN'!K64</f>
        <v>2.3588818843195067</v>
      </c>
      <c r="P403" s="1">
        <f>'[1]Electricity and CHPs_IN'!L64</f>
        <v>2.3592538699539389</v>
      </c>
      <c r="Q403" s="1">
        <f>'[1]Electricity and CHPs_IN'!M64</f>
        <v>2.531586089703898</v>
      </c>
      <c r="S403" s="3"/>
    </row>
    <row r="404" spans="1:19" x14ac:dyDescent="0.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75"/>
        <v>PJ/yr.</v>
      </c>
      <c r="F404" s="1">
        <f>'[1]Electricity and CHPs_IN'!B65</f>
        <v>2.6374271116148817E-3</v>
      </c>
      <c r="G404" s="1">
        <f>'[1]Electricity and CHPs_IN'!C65</f>
        <v>2.1254312600487066E-3</v>
      </c>
      <c r="H404" s="1">
        <f>'[1]Electricity and CHPs_IN'!D65</f>
        <v>2.5873572838620378E-3</v>
      </c>
      <c r="I404" s="1">
        <f>'[1]Electricity and CHPs_IN'!E65</f>
        <v>2.702301196575867E-3</v>
      </c>
      <c r="J404" s="1">
        <f>'[1]Electricity and CHPs_IN'!F65</f>
        <v>3.3231647715184442E-2</v>
      </c>
      <c r="K404" s="1">
        <f>'[1]Electricity and CHPs_IN'!G65</f>
        <v>6.9443802039764441E-2</v>
      </c>
      <c r="L404" s="1">
        <f>'[1]Electricity and CHPs_IN'!H65</f>
        <v>1.1809258797595399</v>
      </c>
      <c r="M404" s="1">
        <f>'[1]Electricity and CHPs_IN'!I65</f>
        <v>2.2885972176724234</v>
      </c>
      <c r="N404" s="1">
        <f>'[1]Electricity and CHPs_IN'!J65</f>
        <v>2.6878902532957687</v>
      </c>
      <c r="O404" s="1">
        <f>'[1]Electricity and CHPs_IN'!K65</f>
        <v>1.9782470423086553</v>
      </c>
      <c r="P404" s="1">
        <f>'[1]Electricity and CHPs_IN'!L65</f>
        <v>2.2950631701592701</v>
      </c>
      <c r="Q404" s="1">
        <f>'[1]Electricity and CHPs_IN'!M65</f>
        <v>2.4748070051498035</v>
      </c>
      <c r="S404" s="3"/>
    </row>
    <row r="405" spans="1:19" x14ac:dyDescent="0.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75"/>
        <v>PJ/yr.</v>
      </c>
      <c r="F405" s="1">
        <f>'[1]Electricity and CHPs_IN'!B66</f>
        <v>8.4131085372658938E-4</v>
      </c>
      <c r="G405" s="1">
        <f>'[1]Electricity and CHPs_IN'!C66</f>
        <v>8.4100598987940417E-4</v>
      </c>
      <c r="H405" s="1">
        <f>'[1]Electricity and CHPs_IN'!D66</f>
        <v>8.4363354162474548E-4</v>
      </c>
      <c r="I405" s="1">
        <f>'[1]Electricity and CHPs_IN'!E66</f>
        <v>5.0617924624708599E-2</v>
      </c>
      <c r="J405" s="1">
        <f>'[1]Electricity and CHPs_IN'!F66</f>
        <v>0.15034817819100763</v>
      </c>
      <c r="K405" s="1">
        <f>'[1]Electricity and CHPs_IN'!G66</f>
        <v>0.24345214692513695</v>
      </c>
      <c r="L405" s="1">
        <f>'[1]Electricity and CHPs_IN'!H66</f>
        <v>0.28743093365239708</v>
      </c>
      <c r="M405" s="1">
        <f>'[1]Electricity and CHPs_IN'!I66</f>
        <v>0.3301575484384951</v>
      </c>
      <c r="N405" s="1">
        <f>'[1]Electricity and CHPs_IN'!J66</f>
        <v>0.34833370966845334</v>
      </c>
      <c r="O405" s="1">
        <f>'[1]Electricity and CHPs_IN'!K66</f>
        <v>0.36384057088650845</v>
      </c>
      <c r="P405" s="1">
        <f>'[1]Electricity and CHPs_IN'!L66</f>
        <v>0.45115484409351619</v>
      </c>
      <c r="Q405" s="1">
        <f>'[1]Electricity and CHPs_IN'!M66</f>
        <v>0.38177357036522419</v>
      </c>
      <c r="S405" s="3"/>
    </row>
    <row r="406" spans="1:19" x14ac:dyDescent="0.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75"/>
        <v>PJ/yr.</v>
      </c>
      <c r="F406" s="1">
        <f>'[1]Electricity and CHPs_IN'!B67</f>
        <v>1.689811727059367E-3</v>
      </c>
      <c r="G406" s="1">
        <f>'[1]Electricity and CHPs_IN'!C67</f>
        <v>1.6891299610291527E-3</v>
      </c>
      <c r="H406" s="1">
        <f>'[1]Electricity and CHPs_IN'!D67</f>
        <v>1.6948303124453609E-3</v>
      </c>
      <c r="I406" s="1">
        <f>'[1]Electricity and CHPs_IN'!E67</f>
        <v>5.5070886584070874E-2</v>
      </c>
      <c r="J406" s="1">
        <f>'[1]Electricity and CHPs_IN'!F67</f>
        <v>8.7588357722232252E-2</v>
      </c>
      <c r="K406" s="1">
        <f>'[1]Electricity and CHPs_IN'!G67</f>
        <v>7.2941259237853107E-2</v>
      </c>
      <c r="L406" s="1">
        <f>'[1]Electricity and CHPs_IN'!H67</f>
        <v>9.8126891797087445E-2</v>
      </c>
      <c r="M406" s="1">
        <f>'[1]Electricity and CHPs_IN'!I67</f>
        <v>0.12419941592861694</v>
      </c>
      <c r="N406" s="1">
        <f>'[1]Electricity and CHPs_IN'!J67</f>
        <v>0.10548256101971512</v>
      </c>
      <c r="O406" s="1">
        <f>'[1]Electricity and CHPs_IN'!K67</f>
        <v>0.16069928094939467</v>
      </c>
      <c r="P406" s="1">
        <f>'[1]Electricity and CHPs_IN'!L67</f>
        <v>0.14507282784254244</v>
      </c>
      <c r="Q406" s="1">
        <f>'[1]Electricity and CHPs_IN'!M67</f>
        <v>0.18718977222142677</v>
      </c>
      <c r="S406" s="3"/>
    </row>
    <row r="407" spans="1:19" x14ac:dyDescent="0.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75"/>
        <v>PJ/yr.</v>
      </c>
      <c r="F407" s="1">
        <f>'[1]Electricity and CHPs_IN'!B68</f>
        <v>1.688569261149193E-3</v>
      </c>
      <c r="G407" s="1">
        <f>'[1]Electricity and CHPs_IN'!C68</f>
        <v>1.6878804275435621E-3</v>
      </c>
      <c r="H407" s="1">
        <f>'[1]Electricity and CHPs_IN'!D68</f>
        <v>1.6932985273944371E-3</v>
      </c>
      <c r="I407" s="1">
        <f>'[1]Electricity and CHPs_IN'!E68</f>
        <v>6.6738153444437315E-2</v>
      </c>
      <c r="J407" s="1">
        <f>'[1]Electricity and CHPs_IN'!F68</f>
        <v>0.14787341710928675</v>
      </c>
      <c r="K407" s="1">
        <f>'[1]Electricity and CHPs_IN'!G68</f>
        <v>0.11703298893228825</v>
      </c>
      <c r="L407" s="1">
        <f>'[1]Electricity and CHPs_IN'!H68</f>
        <v>9.9986391568560956E-2</v>
      </c>
      <c r="M407" s="1">
        <f>'[1]Electricity and CHPs_IN'!I68</f>
        <v>0.15688890274791134</v>
      </c>
      <c r="N407" s="1">
        <f>'[1]Electricity and CHPs_IN'!J68</f>
        <v>0.17877793819581311</v>
      </c>
      <c r="O407" s="1">
        <f>'[1]Electricity and CHPs_IN'!K68</f>
        <v>0.16385630997772338</v>
      </c>
      <c r="P407" s="1">
        <f>'[1]Electricity and CHPs_IN'!L68</f>
        <v>0.14474336924036657</v>
      </c>
      <c r="Q407" s="1">
        <f>'[1]Electricity and CHPs_IN'!M68</f>
        <v>0.18756434196021005</v>
      </c>
      <c r="S407" s="3"/>
    </row>
    <row r="408" spans="1:19" x14ac:dyDescent="0.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75"/>
        <v>PJ/yr.</v>
      </c>
      <c r="F408" s="1">
        <f>'[1]Electricity and CHPs_IN'!B69</f>
        <v>8.4451722871266603E-4</v>
      </c>
      <c r="G408" s="1">
        <f>'[1]Electricity and CHPs_IN'!C69</f>
        <v>8.4421607192970585E-4</v>
      </c>
      <c r="H408" s="1">
        <f>'[1]Electricity and CHPs_IN'!D69</f>
        <v>8.4670709161790026E-4</v>
      </c>
      <c r="I408" s="1">
        <f>'[1]Electricity and CHPs_IN'!E69</f>
        <v>4.3500229744792104E-2</v>
      </c>
      <c r="J408" s="1">
        <f>'[1]Electricity and CHPs_IN'!F69</f>
        <v>0.12070501756770058</v>
      </c>
      <c r="K408" s="1">
        <f>'[1]Electricity and CHPs_IN'!G69</f>
        <v>8.7812434749413956E-2</v>
      </c>
      <c r="L408" s="1">
        <f>'[1]Electricity and CHPs_IN'!H69</f>
        <v>6.4233658980745928E-2</v>
      </c>
      <c r="M408" s="1">
        <f>'[1]Electricity and CHPs_IN'!I69</f>
        <v>0.10656267996683642</v>
      </c>
      <c r="N408" s="1">
        <f>'[1]Electricity and CHPs_IN'!J69</f>
        <v>0.12571343549994449</v>
      </c>
      <c r="O408" s="1">
        <f>'[1]Electricity and CHPs_IN'!K69</f>
        <v>0.10927499736028488</v>
      </c>
      <c r="P408" s="1">
        <f>'[1]Electricity and CHPs_IN'!L69</f>
        <v>9.6728815246615973E-2</v>
      </c>
      <c r="Q408" s="1">
        <f>'[1]Electricity and CHPs_IN'!M69</f>
        <v>0.12554742231271387</v>
      </c>
      <c r="S408" s="3"/>
    </row>
    <row r="409" spans="1:19" x14ac:dyDescent="0.5">
      <c r="A409" s="5"/>
      <c r="B409" s="9" t="str">
        <f t="shared" ref="B409:C409" si="422">B408</f>
        <v>SPS1</v>
      </c>
      <c r="C409" s="2" t="str">
        <f t="shared" si="422"/>
        <v>CH</v>
      </c>
      <c r="D409" s="2" t="s">
        <v>190</v>
      </c>
      <c r="E409" s="2" t="str">
        <f>E397</f>
        <v>PJ/yr.</v>
      </c>
      <c r="F409" s="3">
        <f>F410+F463</f>
        <v>55.967000241673048</v>
      </c>
      <c r="G409" s="3">
        <f t="shared" ref="G409:K409" si="423">G410+G463</f>
        <v>54.979901594084843</v>
      </c>
      <c r="H409" s="3">
        <f t="shared" si="423"/>
        <v>58.517624185984502</v>
      </c>
      <c r="I409" s="3">
        <f t="shared" si="423"/>
        <v>57.962916562982237</v>
      </c>
      <c r="J409" s="3">
        <f t="shared" si="423"/>
        <v>58.229346190740813</v>
      </c>
      <c r="K409" s="3">
        <f t="shared" si="423"/>
        <v>61.280501627772395</v>
      </c>
      <c r="L409" s="3">
        <f t="shared" ref="L409:O409" si="424">L410+L463</f>
        <v>73.295088358581509</v>
      </c>
      <c r="M409" s="3">
        <f t="shared" si="424"/>
        <v>74.276247931630877</v>
      </c>
      <c r="N409" s="3">
        <f t="shared" si="424"/>
        <v>75.366366438990326</v>
      </c>
      <c r="O409" s="3">
        <f t="shared" si="424"/>
        <v>79.763380817362844</v>
      </c>
      <c r="P409" s="3">
        <f>P410+P463</f>
        <v>88.377200527712318</v>
      </c>
      <c r="Q409" s="3">
        <f>Q410+Q463</f>
        <v>95.563966600227133</v>
      </c>
      <c r="R409" s="11"/>
      <c r="S409" s="3"/>
    </row>
    <row r="410" spans="1:19" x14ac:dyDescent="0.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25">F411+F440</f>
        <v>48.064932095278181</v>
      </c>
      <c r="G410" s="1">
        <f t="shared" si="425"/>
        <v>46.739387279229987</v>
      </c>
      <c r="H410" s="1">
        <f t="shared" si="425"/>
        <v>46.336632565626992</v>
      </c>
      <c r="I410" s="1">
        <f t="shared" si="425"/>
        <v>44.536996101959744</v>
      </c>
      <c r="J410" s="1">
        <f t="shared" si="425"/>
        <v>43.975329675048442</v>
      </c>
      <c r="K410" s="1">
        <f t="shared" si="425"/>
        <v>43.622452875712327</v>
      </c>
      <c r="L410" s="1">
        <f t="shared" ref="L410:O410" si="426">L411+L440</f>
        <v>46.465485514704447</v>
      </c>
      <c r="M410" s="1">
        <f t="shared" si="426"/>
        <v>46.721240668585949</v>
      </c>
      <c r="N410" s="1">
        <f t="shared" si="426"/>
        <v>46.708237066875071</v>
      </c>
      <c r="O410" s="1">
        <f t="shared" si="426"/>
        <v>49.813111380893197</v>
      </c>
      <c r="P410" s="1">
        <f>P411+P440</f>
        <v>57.870296650243077</v>
      </c>
      <c r="Q410" s="1">
        <f>Q411+Q440</f>
        <v>65.0013095828172</v>
      </c>
      <c r="R410" s="11"/>
      <c r="S410" s="3"/>
    </row>
    <row r="411" spans="1:19" x14ac:dyDescent="0.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39.094999453453426</v>
      </c>
      <c r="G411" s="1">
        <f t="shared" ref="G411:K411" si="427">SUM(G412,G418,G427,G436,G438)</f>
        <v>34.583888312363634</v>
      </c>
      <c r="H411" s="1">
        <f t="shared" si="427"/>
        <v>34.679853407978428</v>
      </c>
      <c r="I411" s="1">
        <f t="shared" si="427"/>
        <v>34.327653588264297</v>
      </c>
      <c r="J411" s="1">
        <f t="shared" si="427"/>
        <v>34.018102687243733</v>
      </c>
      <c r="K411" s="1">
        <f t="shared" si="427"/>
        <v>35.520461877155121</v>
      </c>
      <c r="L411" s="1">
        <f t="shared" ref="L411:O411" si="428">SUM(L412,L418,L427,L436,L438)</f>
        <v>39.10934235365017</v>
      </c>
      <c r="M411" s="1">
        <f t="shared" si="428"/>
        <v>39.913914427079618</v>
      </c>
      <c r="N411" s="1">
        <f t="shared" si="428"/>
        <v>40.296406629750408</v>
      </c>
      <c r="O411" s="1">
        <f t="shared" si="428"/>
        <v>40.2840348633272</v>
      </c>
      <c r="P411" s="1">
        <f>SUM(P412,P418,P427,P436,P438)</f>
        <v>40.305940872117851</v>
      </c>
      <c r="Q411" s="1">
        <f>SUM(Q412,Q418,Q427,Q436,Q438)</f>
        <v>40.31908322784723</v>
      </c>
      <c r="S411" s="3"/>
    </row>
    <row r="412" spans="1:19" x14ac:dyDescent="0.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1.715701187010478E-2</v>
      </c>
      <c r="G412" s="1">
        <f t="shared" ref="G412:O412" si="429">G413</f>
        <v>5.972264324572952E-4</v>
      </c>
      <c r="H412" s="1">
        <f t="shared" si="429"/>
        <v>6.1901500012931116E-3</v>
      </c>
      <c r="I412" s="1">
        <f t="shared" si="429"/>
        <v>2.0400207870106784E-3</v>
      </c>
      <c r="J412" s="1">
        <f t="shared" si="429"/>
        <v>7.9420748248233014E-4</v>
      </c>
      <c r="K412" s="1">
        <f t="shared" si="429"/>
        <v>5.2432742747230247E-3</v>
      </c>
      <c r="L412" s="1">
        <f t="shared" si="429"/>
        <v>3.1527611662350028E-3</v>
      </c>
      <c r="M412" s="1">
        <f t="shared" si="429"/>
        <v>1.3556799064073458E-5</v>
      </c>
      <c r="N412" s="1">
        <f t="shared" si="429"/>
        <v>4.6613543089284908E-4</v>
      </c>
      <c r="O412" s="1">
        <f t="shared" si="429"/>
        <v>5.5281246533451698E-4</v>
      </c>
      <c r="P412" s="1">
        <f>P413</f>
        <v>5.0273810036898566E-4</v>
      </c>
      <c r="Q412" s="1">
        <f>Q413</f>
        <v>6.8807841681095138E-4</v>
      </c>
      <c r="S412" s="3"/>
    </row>
    <row r="413" spans="1:19" x14ac:dyDescent="0.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1.715701187010478E-2</v>
      </c>
      <c r="G413" s="1">
        <f>'[1]Electricity and CHPs_IN'!C$28-G300</f>
        <v>5.972264324572952E-4</v>
      </c>
      <c r="H413" s="1">
        <f>'[1]Electricity and CHPs_IN'!D$28-H300</f>
        <v>6.1901500012931116E-3</v>
      </c>
      <c r="I413" s="1">
        <f>'[1]Electricity and CHPs_IN'!E$28-I300</f>
        <v>2.0400207870106784E-3</v>
      </c>
      <c r="J413" s="1">
        <f>'[1]Electricity and CHPs_IN'!F$28-J300</f>
        <v>7.9420748248233014E-4</v>
      </c>
      <c r="K413" s="1">
        <f>'[1]Electricity and CHPs_IN'!G$28-K300</f>
        <v>5.2432742747230247E-3</v>
      </c>
      <c r="L413" s="1">
        <f>'[1]Electricity and CHPs_IN'!H$28-L300</f>
        <v>3.1527611662350028E-3</v>
      </c>
      <c r="M413" s="1">
        <f>'[1]Electricity and CHPs_IN'!I$28-M300</f>
        <v>1.3556799064073458E-5</v>
      </c>
      <c r="N413" s="1">
        <f>'[1]Electricity and CHPs_IN'!J$28-N300</f>
        <v>4.6613543089284908E-4</v>
      </c>
      <c r="O413" s="1">
        <f>'[1]Electricity and CHPs_IN'!K$28-O300</f>
        <v>5.5281246533451698E-4</v>
      </c>
      <c r="P413" s="1">
        <f>'[1]Electricity and CHPs_IN'!L$28-P300</f>
        <v>5.0273810036898566E-4</v>
      </c>
      <c r="Q413" s="1">
        <f>'[1]Electricity and CHPs_IN'!M$28-Q300</f>
        <v>6.8807841681095138E-4</v>
      </c>
      <c r="S413" s="3"/>
    </row>
    <row r="414" spans="1:19" x14ac:dyDescent="0.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1.715701187010478E-2</v>
      </c>
      <c r="G414" s="1">
        <f t="shared" ref="G414:O414" si="430">G415</f>
        <v>5.972264324572952E-4</v>
      </c>
      <c r="H414" s="1">
        <f t="shared" si="430"/>
        <v>6.1901500012931116E-3</v>
      </c>
      <c r="I414" s="1">
        <f t="shared" si="430"/>
        <v>2.0400207870106784E-3</v>
      </c>
      <c r="J414" s="1">
        <f t="shared" si="430"/>
        <v>7.9420748248233014E-4</v>
      </c>
      <c r="K414" s="1">
        <f t="shared" si="430"/>
        <v>5.2432742747230247E-3</v>
      </c>
      <c r="L414" s="1">
        <f t="shared" si="430"/>
        <v>3.1527611662350028E-3</v>
      </c>
      <c r="M414" s="1">
        <f t="shared" si="430"/>
        <v>1.3556799064073458E-5</v>
      </c>
      <c r="N414" s="1">
        <f t="shared" si="430"/>
        <v>4.6613543089284908E-4</v>
      </c>
      <c r="O414" s="1">
        <f t="shared" si="430"/>
        <v>5.5281246533451698E-4</v>
      </c>
      <c r="P414" s="1">
        <f>P415</f>
        <v>5.0273810036898566E-4</v>
      </c>
      <c r="Q414" s="1">
        <f>Q415</f>
        <v>6.8807841681095138E-4</v>
      </c>
      <c r="S414" s="3"/>
    </row>
    <row r="415" spans="1:19" x14ac:dyDescent="0.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1.715701187010478E-2</v>
      </c>
      <c r="G415" s="1">
        <f t="shared" ref="G415:K415" si="431">G413-G417</f>
        <v>5.972264324572952E-4</v>
      </c>
      <c r="H415" s="1">
        <f t="shared" si="431"/>
        <v>6.1901500012931116E-3</v>
      </c>
      <c r="I415" s="1">
        <f t="shared" si="431"/>
        <v>2.0400207870106784E-3</v>
      </c>
      <c r="J415" s="1">
        <f t="shared" si="431"/>
        <v>7.9420748248233014E-4</v>
      </c>
      <c r="K415" s="1">
        <f t="shared" si="431"/>
        <v>5.2432742747230247E-3</v>
      </c>
      <c r="L415" s="1">
        <f t="shared" ref="L415:O415" si="432">L413-L417</f>
        <v>3.1527611662350028E-3</v>
      </c>
      <c r="M415" s="1">
        <f t="shared" si="432"/>
        <v>1.3556799064073458E-5</v>
      </c>
      <c r="N415" s="1">
        <f t="shared" si="432"/>
        <v>4.6613543089284908E-4</v>
      </c>
      <c r="O415" s="1">
        <f t="shared" si="432"/>
        <v>5.5281246533451698E-4</v>
      </c>
      <c r="P415" s="1">
        <f>P413-P417</f>
        <v>5.0273810036898566E-4</v>
      </c>
      <c r="Q415" s="1">
        <f>Q413-Q417</f>
        <v>6.8807841681095138E-4</v>
      </c>
      <c r="S415" s="3"/>
    </row>
    <row r="416" spans="1:19" x14ac:dyDescent="0.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O416" si="433">G417</f>
        <v>0</v>
      </c>
      <c r="H416" s="1">
        <f t="shared" si="433"/>
        <v>0</v>
      </c>
      <c r="I416" s="1">
        <f t="shared" si="433"/>
        <v>0</v>
      </c>
      <c r="J416" s="1">
        <f t="shared" si="433"/>
        <v>0</v>
      </c>
      <c r="K416" s="1">
        <f t="shared" si="433"/>
        <v>0</v>
      </c>
      <c r="L416" s="1">
        <f t="shared" si="433"/>
        <v>0</v>
      </c>
      <c r="M416" s="1">
        <f t="shared" si="433"/>
        <v>0</v>
      </c>
      <c r="N416" s="1">
        <f t="shared" si="433"/>
        <v>0</v>
      </c>
      <c r="O416" s="1">
        <f t="shared" si="433"/>
        <v>0</v>
      </c>
      <c r="P416" s="1">
        <f>P417</f>
        <v>0</v>
      </c>
      <c r="Q416" s="1">
        <f>Q417</f>
        <v>0</v>
      </c>
      <c r="S416" s="3"/>
    </row>
    <row r="417" spans="1:19" x14ac:dyDescent="0.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34">IFERROR(G308/G300,0)*G413</f>
        <v>0</v>
      </c>
      <c r="H417" s="1">
        <f t="shared" si="434"/>
        <v>0</v>
      </c>
      <c r="I417" s="1">
        <f t="shared" si="434"/>
        <v>0</v>
      </c>
      <c r="J417" s="1">
        <f t="shared" si="434"/>
        <v>0</v>
      </c>
      <c r="K417" s="1">
        <f t="shared" si="434"/>
        <v>0</v>
      </c>
      <c r="L417" s="1">
        <f t="shared" ref="L417:O417" si="435">IFERROR(L308/L300,0)*L413</f>
        <v>0</v>
      </c>
      <c r="M417" s="1">
        <f t="shared" si="435"/>
        <v>0</v>
      </c>
      <c r="N417" s="1">
        <f t="shared" si="435"/>
        <v>0</v>
      </c>
      <c r="O417" s="1">
        <f t="shared" si="435"/>
        <v>0</v>
      </c>
      <c r="P417" s="1">
        <f>IFERROR(P308/P300,0)*P413</f>
        <v>0</v>
      </c>
      <c r="Q417" s="1">
        <f>IFERROR(Q308/Q300,0)*Q413</f>
        <v>0</v>
      </c>
      <c r="S417" s="3"/>
    </row>
    <row r="418" spans="1:19" x14ac:dyDescent="0.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2.3936455199970066</v>
      </c>
      <c r="G418" s="1">
        <f t="shared" ref="G418:K418" si="436">SUM(G419:G420)</f>
        <v>7.1945169449411594E-4</v>
      </c>
      <c r="H418" s="1">
        <f t="shared" si="436"/>
        <v>3.8502479575849482E-3</v>
      </c>
      <c r="I418" s="1">
        <f t="shared" si="436"/>
        <v>0</v>
      </c>
      <c r="J418" s="1">
        <f t="shared" si="436"/>
        <v>0</v>
      </c>
      <c r="K418" s="1">
        <f t="shared" si="436"/>
        <v>0</v>
      </c>
      <c r="L418" s="1">
        <f t="shared" ref="L418:O418" si="437">SUM(L419:L420)</f>
        <v>0</v>
      </c>
      <c r="M418" s="1">
        <f t="shared" si="437"/>
        <v>0</v>
      </c>
      <c r="N418" s="1">
        <f t="shared" si="437"/>
        <v>1.0398299481333468E-4</v>
      </c>
      <c r="O418" s="1">
        <f t="shared" si="437"/>
        <v>1.7508620407286697E-4</v>
      </c>
      <c r="P418" s="1">
        <f>SUM(P419:P420)</f>
        <v>1.3955077070698012E-4</v>
      </c>
      <c r="Q418" s="1">
        <f>SUM(Q419:Q420)</f>
        <v>2.8301059890972779E-4</v>
      </c>
      <c r="S418" s="3"/>
    </row>
    <row r="419" spans="1:19" x14ac:dyDescent="0.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2.3936455199970066</v>
      </c>
      <c r="G419" s="1">
        <f>'[1]Electricity and CHPs_IN'!C$24-G314</f>
        <v>7.1945169449411594E-4</v>
      </c>
      <c r="H419" s="1">
        <f>'[1]Electricity and CHPs_IN'!D$24-H314</f>
        <v>3.8502479575849482E-3</v>
      </c>
      <c r="I419" s="1">
        <f>'[1]Electricity and CHPs_IN'!E$24-I314</f>
        <v>0</v>
      </c>
      <c r="J419" s="1">
        <f>'[1]Electricity and CHPs_IN'!F$24-J314</f>
        <v>0</v>
      </c>
      <c r="K419" s="1">
        <f>'[1]Electricity and CHPs_IN'!G$24-K314</f>
        <v>0</v>
      </c>
      <c r="L419" s="1">
        <f>'[1]Electricity and CHPs_IN'!H$24-L314</f>
        <v>0</v>
      </c>
      <c r="M419" s="1">
        <f>'[1]Electricity and CHPs_IN'!I$24-M314</f>
        <v>0</v>
      </c>
      <c r="N419" s="1">
        <f>'[1]Electricity and CHPs_IN'!J$24-N314</f>
        <v>1.0398299481333468E-4</v>
      </c>
      <c r="O419" s="1">
        <f>'[1]Electricity and CHPs_IN'!K$24-O314</f>
        <v>1.7508620407286697E-4</v>
      </c>
      <c r="P419" s="1">
        <f>'[1]Electricity and CHPs_IN'!L$24-P314</f>
        <v>1.3955077070698012E-4</v>
      </c>
      <c r="Q419" s="1">
        <f>'[1]Electricity and CHPs_IN'!M$24-Q314</f>
        <v>2.8301059890972779E-4</v>
      </c>
      <c r="S419" s="3"/>
    </row>
    <row r="420" spans="1:19" x14ac:dyDescent="0.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</v>
      </c>
      <c r="L420" s="1">
        <f>'[1]Electricity and CHPs_IN'!H$29-L315</f>
        <v>0</v>
      </c>
      <c r="M420" s="1">
        <f>'[1]Electricity and CHPs_IN'!I$29-M315</f>
        <v>0</v>
      </c>
      <c r="N420" s="1">
        <f>'[1]Electricity and CHPs_IN'!J$29-N315</f>
        <v>0</v>
      </c>
      <c r="O420" s="1">
        <f>'[1]Electricity and CHPs_IN'!K$29-O315</f>
        <v>0</v>
      </c>
      <c r="P420" s="1">
        <f>'[1]Electricity and CHPs_IN'!L$29-P315</f>
        <v>0</v>
      </c>
      <c r="Q420" s="1">
        <f>'[1]Electricity and CHPs_IN'!M$29-Q315</f>
        <v>0</v>
      </c>
      <c r="S420" s="3"/>
    </row>
    <row r="421" spans="1:19" x14ac:dyDescent="0.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2.3308976373826731</v>
      </c>
      <c r="G421" s="1">
        <f t="shared" ref="G421:K421" si="438">SUM(G422:G423)</f>
        <v>6.8836105834282327E-4</v>
      </c>
      <c r="H421" s="1">
        <f t="shared" si="438"/>
        <v>3.5970035598087789E-3</v>
      </c>
      <c r="I421" s="1">
        <f t="shared" si="438"/>
        <v>0</v>
      </c>
      <c r="J421" s="1">
        <f t="shared" si="438"/>
        <v>0</v>
      </c>
      <c r="K421" s="1">
        <f t="shared" si="438"/>
        <v>0</v>
      </c>
      <c r="L421" s="1">
        <f t="shared" ref="L421:O421" si="439">SUM(L422:L423)</f>
        <v>0</v>
      </c>
      <c r="M421" s="1">
        <f t="shared" si="439"/>
        <v>0</v>
      </c>
      <c r="N421" s="1">
        <f t="shared" si="439"/>
        <v>1.0398299481333468E-4</v>
      </c>
      <c r="O421" s="1">
        <f t="shared" si="439"/>
        <v>1.7508620407286697E-4</v>
      </c>
      <c r="P421" s="1">
        <f>SUM(P422:P423)</f>
        <v>1.3955077070698012E-4</v>
      </c>
      <c r="Q421" s="1">
        <f>SUM(Q422:Q423)</f>
        <v>2.8301059890972779E-4</v>
      </c>
      <c r="S421" s="3"/>
    </row>
    <row r="422" spans="1:19" x14ac:dyDescent="0.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2.3308976373826731</v>
      </c>
      <c r="G422" s="1">
        <f t="shared" ref="G422:K422" si="440">G419-G425</f>
        <v>6.8836105834282327E-4</v>
      </c>
      <c r="H422" s="1">
        <f t="shared" si="440"/>
        <v>3.5970035598087789E-3</v>
      </c>
      <c r="I422" s="1">
        <f t="shared" si="440"/>
        <v>0</v>
      </c>
      <c r="J422" s="1">
        <f t="shared" si="440"/>
        <v>0</v>
      </c>
      <c r="K422" s="1">
        <f t="shared" si="440"/>
        <v>0</v>
      </c>
      <c r="L422" s="1">
        <f t="shared" ref="L422:O422" si="441">L419-L425</f>
        <v>0</v>
      </c>
      <c r="M422" s="1">
        <f t="shared" si="441"/>
        <v>0</v>
      </c>
      <c r="N422" s="1">
        <f t="shared" si="441"/>
        <v>1.0398299481333468E-4</v>
      </c>
      <c r="O422" s="1">
        <f t="shared" si="441"/>
        <v>1.7508620407286697E-4</v>
      </c>
      <c r="P422" s="1">
        <f>P419-P425</f>
        <v>1.3955077070698012E-4</v>
      </c>
      <c r="Q422" s="1">
        <f>Q419-Q425</f>
        <v>2.8301059890972779E-4</v>
      </c>
      <c r="S422" s="3"/>
    </row>
    <row r="423" spans="1:19" x14ac:dyDescent="0.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42">G420-G426</f>
        <v>0</v>
      </c>
      <c r="H423" s="1">
        <f t="shared" si="442"/>
        <v>0</v>
      </c>
      <c r="I423" s="1">
        <f t="shared" si="442"/>
        <v>0</v>
      </c>
      <c r="J423" s="1">
        <f t="shared" si="442"/>
        <v>0</v>
      </c>
      <c r="K423" s="1">
        <f t="shared" si="442"/>
        <v>0</v>
      </c>
      <c r="L423" s="1">
        <f t="shared" ref="L423:O423" si="443">L420-L426</f>
        <v>0</v>
      </c>
      <c r="M423" s="1">
        <f t="shared" si="443"/>
        <v>0</v>
      </c>
      <c r="N423" s="1">
        <f t="shared" si="443"/>
        <v>0</v>
      </c>
      <c r="O423" s="1">
        <f t="shared" si="443"/>
        <v>0</v>
      </c>
      <c r="P423" s="1">
        <f>P420-P426</f>
        <v>0</v>
      </c>
      <c r="Q423" s="1">
        <f>Q420-Q426</f>
        <v>0</v>
      </c>
      <c r="S423" s="3"/>
    </row>
    <row r="424" spans="1:19" x14ac:dyDescent="0.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6.2747882614333478E-2</v>
      </c>
      <c r="G424" s="1">
        <f t="shared" ref="G424:K424" si="444">SUM(G425:G426)</f>
        <v>3.1090636151292622E-5</v>
      </c>
      <c r="H424" s="1">
        <f t="shared" si="444"/>
        <v>2.5324439777616955E-4</v>
      </c>
      <c r="I424" s="1">
        <f t="shared" si="444"/>
        <v>0</v>
      </c>
      <c r="J424" s="1">
        <f t="shared" si="444"/>
        <v>0</v>
      </c>
      <c r="K424" s="1">
        <f t="shared" si="444"/>
        <v>0</v>
      </c>
      <c r="L424" s="1">
        <f t="shared" ref="L424:O424" si="445">SUM(L425:L426)</f>
        <v>0</v>
      </c>
      <c r="M424" s="1">
        <f t="shared" si="445"/>
        <v>0</v>
      </c>
      <c r="N424" s="1">
        <f t="shared" si="445"/>
        <v>0</v>
      </c>
      <c r="O424" s="1">
        <f t="shared" si="445"/>
        <v>0</v>
      </c>
      <c r="P424" s="1">
        <f>SUM(P425:P426)</f>
        <v>0</v>
      </c>
      <c r="Q424" s="1">
        <f>SUM(Q425:Q426)</f>
        <v>0</v>
      </c>
      <c r="S424" s="3"/>
    </row>
    <row r="425" spans="1:19" x14ac:dyDescent="0.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6.2747882614333478E-2</v>
      </c>
      <c r="G425" s="1">
        <f t="shared" ref="G425:K425" si="446">IFERROR(G346/G314,0)*G419</f>
        <v>3.1090636151292622E-5</v>
      </c>
      <c r="H425" s="1">
        <f t="shared" si="446"/>
        <v>2.5324439777616955E-4</v>
      </c>
      <c r="I425" s="1">
        <f t="shared" si="446"/>
        <v>0</v>
      </c>
      <c r="J425" s="1">
        <f t="shared" si="446"/>
        <v>0</v>
      </c>
      <c r="K425" s="1">
        <f t="shared" si="446"/>
        <v>0</v>
      </c>
      <c r="L425" s="1">
        <f t="shared" ref="L425:O425" si="447">IFERROR(L346/L314,0)*L419</f>
        <v>0</v>
      </c>
      <c r="M425" s="1">
        <f t="shared" si="447"/>
        <v>0</v>
      </c>
      <c r="N425" s="1">
        <f t="shared" si="447"/>
        <v>0</v>
      </c>
      <c r="O425" s="1">
        <f t="shared" si="447"/>
        <v>0</v>
      </c>
      <c r="P425" s="1">
        <f>IFERROR(P346/P314,0)*P419</f>
        <v>0</v>
      </c>
      <c r="Q425" s="1">
        <f>IFERROR(Q346/Q314,0)*Q419</f>
        <v>0</v>
      </c>
      <c r="S425" s="3"/>
    </row>
    <row r="426" spans="1:19" x14ac:dyDescent="0.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48">IFERROR(G347/G315,0)*G420</f>
        <v>0</v>
      </c>
      <c r="H426" s="1">
        <f t="shared" si="448"/>
        <v>0</v>
      </c>
      <c r="I426" s="1">
        <f t="shared" si="448"/>
        <v>0</v>
      </c>
      <c r="J426" s="1">
        <f t="shared" si="448"/>
        <v>0</v>
      </c>
      <c r="K426" s="1">
        <f t="shared" si="448"/>
        <v>0</v>
      </c>
      <c r="L426" s="1">
        <f t="shared" ref="L426:O426" si="449">IFERROR(L347/L315,0)*L420</f>
        <v>0</v>
      </c>
      <c r="M426" s="1">
        <f t="shared" si="449"/>
        <v>0</v>
      </c>
      <c r="N426" s="1">
        <f t="shared" si="449"/>
        <v>0</v>
      </c>
      <c r="O426" s="1">
        <f t="shared" si="449"/>
        <v>0</v>
      </c>
      <c r="P426" s="1">
        <f>IFERROR(P347/P315,0)*P420</f>
        <v>0</v>
      </c>
      <c r="Q426" s="1">
        <f>IFERROR(Q347/Q315,0)*Q420</f>
        <v>0</v>
      </c>
      <c r="S426" s="3"/>
    </row>
    <row r="427" spans="1:19" x14ac:dyDescent="0.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36.42042990535537</v>
      </c>
      <c r="G427" s="1">
        <f t="shared" ref="G427:K427" si="450">SUM(G428:G429)</f>
        <v>34.581451723602981</v>
      </c>
      <c r="H427" s="1">
        <f t="shared" si="450"/>
        <v>34.627258521229933</v>
      </c>
      <c r="I427" s="1">
        <f t="shared" si="450"/>
        <v>34.322871649556738</v>
      </c>
      <c r="J427" s="1">
        <f t="shared" si="450"/>
        <v>34.012034232778774</v>
      </c>
      <c r="K427" s="1">
        <f t="shared" si="450"/>
        <v>33.480963117062053</v>
      </c>
      <c r="L427" s="1">
        <f t="shared" ref="L427:O427" si="451">SUM(L428:L429)</f>
        <v>35.497031625703848</v>
      </c>
      <c r="M427" s="1">
        <f t="shared" si="451"/>
        <v>35.964402670041899</v>
      </c>
      <c r="N427" s="1">
        <f t="shared" si="451"/>
        <v>36.384777542055602</v>
      </c>
      <c r="O427" s="1">
        <f t="shared" si="451"/>
        <v>36.386244798504741</v>
      </c>
      <c r="P427" s="1">
        <f>SUM(P428:P429)</f>
        <v>36.386753533096005</v>
      </c>
      <c r="Q427" s="1">
        <f>SUM(Q428:Q429)</f>
        <v>36.387002140936531</v>
      </c>
      <c r="S427" s="3"/>
    </row>
    <row r="428" spans="1:19" x14ac:dyDescent="0.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36.42042990535537</v>
      </c>
      <c r="G428" s="1">
        <f>'[1]Electricity and CHPs_IN'!C$26-G361</f>
        <v>34.581451723602981</v>
      </c>
      <c r="H428" s="1">
        <f>'[1]Electricity and CHPs_IN'!D$26-H361</f>
        <v>34.627258521229933</v>
      </c>
      <c r="I428" s="1">
        <f>'[1]Electricity and CHPs_IN'!E$26-I361</f>
        <v>34.322871649556738</v>
      </c>
      <c r="J428" s="1">
        <f>'[1]Electricity and CHPs_IN'!F$26-J361</f>
        <v>34.012034232778774</v>
      </c>
      <c r="K428" s="1">
        <f>'[1]Electricity and CHPs_IN'!G$26-K361</f>
        <v>27.549706471577068</v>
      </c>
      <c r="L428" s="1">
        <f>'[1]Electricity and CHPs_IN'!H$26-L361</f>
        <v>23.045697731925365</v>
      </c>
      <c r="M428" s="1">
        <f>'[1]Electricity and CHPs_IN'!I$26-M361</f>
        <v>24.002152326163188</v>
      </c>
      <c r="N428" s="1">
        <f>'[1]Electricity and CHPs_IN'!J$26-N361</f>
        <v>24.540964158681327</v>
      </c>
      <c r="O428" s="1">
        <f>'[1]Electricity and CHPs_IN'!K$26-O361</f>
        <v>24.542431086852332</v>
      </c>
      <c r="P428" s="1">
        <f>'[1]Electricity and CHPs_IN'!L$26-P361</f>
        <v>24.542941229168825</v>
      </c>
      <c r="Q428" s="1">
        <f>'[1]Electricity and CHPs_IN'!M$26-Q361</f>
        <v>24.543188706742772</v>
      </c>
      <c r="S428" s="3"/>
    </row>
    <row r="429" spans="1:19" x14ac:dyDescent="0.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5.9312566454849867</v>
      </c>
      <c r="L429" s="1">
        <f>'[1]Electricity and CHPs_IN'!H$27-L362</f>
        <v>12.451333893778482</v>
      </c>
      <c r="M429" s="1">
        <f>'[1]Electricity and CHPs_IN'!I$27-M362</f>
        <v>11.962250343878711</v>
      </c>
      <c r="N429" s="1">
        <f>'[1]Electricity and CHPs_IN'!J$27-N362</f>
        <v>11.843813383374279</v>
      </c>
      <c r="O429" s="1">
        <f>'[1]Electricity and CHPs_IN'!K$27-O362</f>
        <v>11.843813711652407</v>
      </c>
      <c r="P429" s="1">
        <f>'[1]Electricity and CHPs_IN'!L$27-P362</f>
        <v>11.84381230392718</v>
      </c>
      <c r="Q429" s="1">
        <f>'[1]Electricity and CHPs_IN'!M$27-Q362</f>
        <v>11.843813434193761</v>
      </c>
      <c r="S429" s="3"/>
    </row>
    <row r="430" spans="1:19" x14ac:dyDescent="0.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18.210214952677681</v>
      </c>
      <c r="G430" s="1">
        <f t="shared" ref="G430:K430" si="452">SUM(G431:G432)</f>
        <v>17.290725861801491</v>
      </c>
      <c r="H430" s="1">
        <f t="shared" si="452"/>
        <v>17.313629260614967</v>
      </c>
      <c r="I430" s="1">
        <f t="shared" si="452"/>
        <v>17.161435824778366</v>
      </c>
      <c r="J430" s="1">
        <f t="shared" si="452"/>
        <v>17.006017116389391</v>
      </c>
      <c r="K430" s="1">
        <f t="shared" si="452"/>
        <v>16.740481558531027</v>
      </c>
      <c r="L430" s="1">
        <f t="shared" ref="L430:O430" si="453">SUM(L431:L432)</f>
        <v>17.748515812851924</v>
      </c>
      <c r="M430" s="1">
        <f t="shared" si="453"/>
        <v>17.98220133502095</v>
      </c>
      <c r="N430" s="1">
        <f t="shared" si="453"/>
        <v>18.192388771027801</v>
      </c>
      <c r="O430" s="1">
        <f t="shared" si="453"/>
        <v>18.193122399252371</v>
      </c>
      <c r="P430" s="1">
        <f>SUM(P431:P432)</f>
        <v>18.193376766548003</v>
      </c>
      <c r="Q430" s="1">
        <f>SUM(Q431:Q432)</f>
        <v>18.193501070468265</v>
      </c>
      <c r="S430" s="3"/>
    </row>
    <row r="431" spans="1:19" x14ac:dyDescent="0.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18.210214952677681</v>
      </c>
      <c r="G431" s="1">
        <f t="shared" ref="G431:K431" si="454">IFERROR(G368/G361,0)*G428</f>
        <v>17.290725861801491</v>
      </c>
      <c r="H431" s="1">
        <f t="shared" si="454"/>
        <v>17.313629260614967</v>
      </c>
      <c r="I431" s="1">
        <f t="shared" si="454"/>
        <v>17.161435824778366</v>
      </c>
      <c r="J431" s="1">
        <f t="shared" si="454"/>
        <v>17.006017116389391</v>
      </c>
      <c r="K431" s="1">
        <f t="shared" si="454"/>
        <v>13.774853235788534</v>
      </c>
      <c r="L431" s="1">
        <f t="shared" ref="L431:O431" si="455">IFERROR(L368/L361,0)*L428</f>
        <v>11.522848865962683</v>
      </c>
      <c r="M431" s="1">
        <f t="shared" si="455"/>
        <v>12.001076163081594</v>
      </c>
      <c r="N431" s="1">
        <f t="shared" si="455"/>
        <v>12.270482079340663</v>
      </c>
      <c r="O431" s="1">
        <f t="shared" si="455"/>
        <v>12.271215543426166</v>
      </c>
      <c r="P431" s="1">
        <f>IFERROR(P368/P361,0)*P428</f>
        <v>12.271470614584413</v>
      </c>
      <c r="Q431" s="1">
        <f>IFERROR(Q368/Q361,0)*Q428</f>
        <v>12.271594353371386</v>
      </c>
      <c r="S431" s="3"/>
    </row>
    <row r="432" spans="1:19" x14ac:dyDescent="0.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56">IFERROR(G369/G362,0)*G429</f>
        <v>0</v>
      </c>
      <c r="H432" s="1">
        <f t="shared" si="456"/>
        <v>0</v>
      </c>
      <c r="I432" s="1">
        <f t="shared" si="456"/>
        <v>0</v>
      </c>
      <c r="J432" s="1">
        <f t="shared" si="456"/>
        <v>0</v>
      </c>
      <c r="K432" s="1">
        <f t="shared" si="456"/>
        <v>2.9656283227424933</v>
      </c>
      <c r="L432" s="1">
        <f t="shared" ref="L432:O432" si="457">IFERROR(L369/L362,0)*L429</f>
        <v>6.2256669468892412</v>
      </c>
      <c r="M432" s="1">
        <f t="shared" si="457"/>
        <v>5.9811251719393557</v>
      </c>
      <c r="N432" s="1">
        <f t="shared" si="457"/>
        <v>5.9219066916871395</v>
      </c>
      <c r="O432" s="1">
        <f t="shared" si="457"/>
        <v>5.9219068558262045</v>
      </c>
      <c r="P432" s="1">
        <f>IFERROR(P369/P362,0)*P429</f>
        <v>5.9219061519635892</v>
      </c>
      <c r="Q432" s="1">
        <f>IFERROR(Q369/Q362,0)*Q429</f>
        <v>5.9219067170968804</v>
      </c>
      <c r="S432" s="3"/>
    </row>
    <row r="433" spans="1:19" x14ac:dyDescent="0.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18.210214952677688</v>
      </c>
      <c r="G433" s="1">
        <f t="shared" ref="G433:K433" si="458">SUM(G434:G435)</f>
        <v>17.290725861801491</v>
      </c>
      <c r="H433" s="1">
        <f t="shared" si="458"/>
        <v>17.313629260614967</v>
      </c>
      <c r="I433" s="1">
        <f t="shared" si="458"/>
        <v>17.161435824778373</v>
      </c>
      <c r="J433" s="1">
        <f t="shared" si="458"/>
        <v>17.006017116389383</v>
      </c>
      <c r="K433" s="1">
        <f t="shared" si="458"/>
        <v>16.740481558531027</v>
      </c>
      <c r="L433" s="1">
        <f t="shared" ref="L433:O433" si="459">SUM(L434:L435)</f>
        <v>17.748515812851924</v>
      </c>
      <c r="M433" s="1">
        <f t="shared" si="459"/>
        <v>17.98220133502095</v>
      </c>
      <c r="N433" s="1">
        <f t="shared" si="459"/>
        <v>18.192388771027801</v>
      </c>
      <c r="O433" s="1">
        <f t="shared" si="459"/>
        <v>18.193122399252367</v>
      </c>
      <c r="P433" s="1">
        <f>SUM(P434:P435)</f>
        <v>18.193376766548003</v>
      </c>
      <c r="Q433" s="1">
        <f>SUM(Q434:Q435)</f>
        <v>18.193501070468265</v>
      </c>
      <c r="S433" s="3"/>
    </row>
    <row r="434" spans="1:19" x14ac:dyDescent="0.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18.210214952677688</v>
      </c>
      <c r="G434" s="1">
        <f t="shared" ref="G434:K434" si="460">G428-G431</f>
        <v>17.290725861801491</v>
      </c>
      <c r="H434" s="1">
        <f t="shared" si="460"/>
        <v>17.313629260614967</v>
      </c>
      <c r="I434" s="1">
        <f t="shared" si="460"/>
        <v>17.161435824778373</v>
      </c>
      <c r="J434" s="1">
        <f t="shared" si="460"/>
        <v>17.006017116389383</v>
      </c>
      <c r="K434" s="1">
        <f t="shared" si="460"/>
        <v>13.774853235788534</v>
      </c>
      <c r="L434" s="1">
        <f t="shared" ref="L434:O434" si="461">L428-L431</f>
        <v>11.522848865962683</v>
      </c>
      <c r="M434" s="1">
        <f t="shared" si="461"/>
        <v>12.001076163081594</v>
      </c>
      <c r="N434" s="1">
        <f t="shared" si="461"/>
        <v>12.270482079340663</v>
      </c>
      <c r="O434" s="1">
        <f t="shared" si="461"/>
        <v>12.271215543426166</v>
      </c>
      <c r="P434" s="1">
        <f>P428-P431</f>
        <v>12.271470614584413</v>
      </c>
      <c r="Q434" s="1">
        <f>Q428-Q431</f>
        <v>12.271594353371386</v>
      </c>
      <c r="S434" s="3"/>
    </row>
    <row r="435" spans="1:19" x14ac:dyDescent="0.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62">G429-G432</f>
        <v>0</v>
      </c>
      <c r="H435" s="1">
        <f t="shared" si="462"/>
        <v>0</v>
      </c>
      <c r="I435" s="1">
        <f t="shared" si="462"/>
        <v>0</v>
      </c>
      <c r="J435" s="1">
        <f t="shared" si="462"/>
        <v>0</v>
      </c>
      <c r="K435" s="1">
        <f t="shared" si="462"/>
        <v>2.9656283227424933</v>
      </c>
      <c r="L435" s="1">
        <f t="shared" ref="L435:O435" si="463">L429-L432</f>
        <v>6.2256669468892412</v>
      </c>
      <c r="M435" s="1">
        <f t="shared" si="463"/>
        <v>5.9811251719393557</v>
      </c>
      <c r="N435" s="1">
        <f t="shared" si="463"/>
        <v>5.9219066916871395</v>
      </c>
      <c r="O435" s="1">
        <f t="shared" si="463"/>
        <v>5.9219068558262027</v>
      </c>
      <c r="P435" s="1">
        <f>P429-P432</f>
        <v>5.9219061519635909</v>
      </c>
      <c r="Q435" s="1">
        <f>Q429-Q432</f>
        <v>5.9219067170968804</v>
      </c>
      <c r="S435" s="3"/>
    </row>
    <row r="436" spans="1:19" x14ac:dyDescent="0.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0.26376701623094639</v>
      </c>
      <c r="G436" s="1">
        <f t="shared" ref="G436:O436" si="464">G437</f>
        <v>1.1199106336946866E-3</v>
      </c>
      <c r="H436" s="1">
        <f t="shared" si="464"/>
        <v>4.2554488789618872E-2</v>
      </c>
      <c r="I436" s="1">
        <f t="shared" si="464"/>
        <v>2.7419179205434353E-3</v>
      </c>
      <c r="J436" s="1">
        <f t="shared" si="464"/>
        <v>5.2742469824737289E-3</v>
      </c>
      <c r="K436" s="1">
        <f t="shared" si="464"/>
        <v>1.7056174305759293</v>
      </c>
      <c r="L436" s="1">
        <f t="shared" si="464"/>
        <v>2.6514683259802414</v>
      </c>
      <c r="M436" s="1">
        <f t="shared" si="464"/>
        <v>2.5191069994395154</v>
      </c>
      <c r="N436" s="1">
        <f t="shared" si="464"/>
        <v>2.4806683782846628</v>
      </c>
      <c r="O436" s="1">
        <f t="shared" si="464"/>
        <v>2.4666698279742292</v>
      </c>
      <c r="P436" s="1">
        <f>P437</f>
        <v>2.4881501286711822</v>
      </c>
      <c r="Q436" s="1">
        <f>Q437</f>
        <v>2.5006892011541635</v>
      </c>
      <c r="S436" s="3"/>
    </row>
    <row r="437" spans="1:19" x14ac:dyDescent="0.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0.26376701623094639</v>
      </c>
      <c r="G437" s="1">
        <f>'[1]Electricity and CHPs_IN'!C$25-G380</f>
        <v>1.1199106336946866E-3</v>
      </c>
      <c r="H437" s="1">
        <f>'[1]Electricity and CHPs_IN'!D$25-H380</f>
        <v>4.2554488789618872E-2</v>
      </c>
      <c r="I437" s="1">
        <f>'[1]Electricity and CHPs_IN'!E$25-I380</f>
        <v>2.7419179205434353E-3</v>
      </c>
      <c r="J437" s="1">
        <f>'[1]Electricity and CHPs_IN'!F$25-J380</f>
        <v>5.2742469824737289E-3</v>
      </c>
      <c r="K437" s="1">
        <f>'[1]Electricity and CHPs_IN'!G$25-K380</f>
        <v>1.7056174305759293</v>
      </c>
      <c r="L437" s="1">
        <f>'[1]Electricity and CHPs_IN'!H$25-L380</f>
        <v>2.6514683259802414</v>
      </c>
      <c r="M437" s="1">
        <f>'[1]Electricity and CHPs_IN'!I$25-M380</f>
        <v>2.5191069994395154</v>
      </c>
      <c r="N437" s="1">
        <f>'[1]Electricity and CHPs_IN'!J$25-N380</f>
        <v>2.4806683782846628</v>
      </c>
      <c r="O437" s="1">
        <f>'[1]Electricity and CHPs_IN'!K$25-O380</f>
        <v>2.4666698279742292</v>
      </c>
      <c r="P437" s="1">
        <f>'[1]Electricity and CHPs_IN'!L$25-P380</f>
        <v>2.4881501286711822</v>
      </c>
      <c r="Q437" s="1">
        <f>'[1]Electricity and CHPs_IN'!M$25-Q380</f>
        <v>2.5006892011541635</v>
      </c>
      <c r="S437" s="3"/>
    </row>
    <row r="438" spans="1:19" x14ac:dyDescent="0.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O438" si="465">+G439</f>
        <v>0</v>
      </c>
      <c r="H438" s="1">
        <f t="shared" si="465"/>
        <v>0</v>
      </c>
      <c r="I438" s="1">
        <f t="shared" si="465"/>
        <v>0</v>
      </c>
      <c r="J438" s="1">
        <f t="shared" si="465"/>
        <v>0</v>
      </c>
      <c r="K438" s="1">
        <f t="shared" si="465"/>
        <v>0.32863805524241646</v>
      </c>
      <c r="L438" s="1">
        <f t="shared" si="465"/>
        <v>0.95768964079984686</v>
      </c>
      <c r="M438" s="1">
        <f t="shared" si="465"/>
        <v>1.4303912007991435</v>
      </c>
      <c r="N438" s="1">
        <f t="shared" si="465"/>
        <v>1.4303905909844379</v>
      </c>
      <c r="O438" s="1">
        <f t="shared" si="465"/>
        <v>1.4303923381788175</v>
      </c>
      <c r="P438" s="1">
        <f>+P439</f>
        <v>1.4303949214795901</v>
      </c>
      <c r="Q438" s="1">
        <f>+Q439</f>
        <v>1.4304207967408118</v>
      </c>
      <c r="S438" s="3"/>
    </row>
    <row r="439" spans="1:19" x14ac:dyDescent="0.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0.32863805524241646</v>
      </c>
      <c r="L439" s="1">
        <f>'[1]Electricity and CHPs_IN'!H$30-L398</f>
        <v>0.95768964079984686</v>
      </c>
      <c r="M439" s="1">
        <f>'[1]Electricity and CHPs_IN'!I$30-M398</f>
        <v>1.4303912007991435</v>
      </c>
      <c r="N439" s="1">
        <f>'[1]Electricity and CHPs_IN'!J$30-N398</f>
        <v>1.4303905909844379</v>
      </c>
      <c r="O439" s="1">
        <f>'[1]Electricity and CHPs_IN'!K$30-O398</f>
        <v>1.4303923381788175</v>
      </c>
      <c r="P439" s="1">
        <f>'[1]Electricity and CHPs_IN'!L$30-P398</f>
        <v>1.4303949214795901</v>
      </c>
      <c r="Q439" s="1">
        <f>'[1]Electricity and CHPs_IN'!M$30-Q398</f>
        <v>1.4304207967408118</v>
      </c>
      <c r="S439" s="3"/>
    </row>
    <row r="440" spans="1:19" x14ac:dyDescent="0.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8.9699326418247569</v>
      </c>
      <c r="G440" s="1">
        <f t="shared" ref="G440:K440" si="466">SUM(G441,G447,G449,G455,G457,G459,G461)</f>
        <v>12.155498966866354</v>
      </c>
      <c r="H440" s="1">
        <f t="shared" si="466"/>
        <v>11.656779157648563</v>
      </c>
      <c r="I440" s="1">
        <f t="shared" si="466"/>
        <v>10.209342513695447</v>
      </c>
      <c r="J440" s="1">
        <f t="shared" si="466"/>
        <v>9.9572269878047059</v>
      </c>
      <c r="K440" s="1">
        <f t="shared" si="466"/>
        <v>8.1019909985572021</v>
      </c>
      <c r="L440" s="1">
        <f t="shared" ref="L440:O440" si="467">SUM(L441,L447,L449,L455,L457,L459,L461)</f>
        <v>7.3561431610542778</v>
      </c>
      <c r="M440" s="1">
        <f t="shared" si="467"/>
        <v>6.8073262415063311</v>
      </c>
      <c r="N440" s="1">
        <f t="shared" si="467"/>
        <v>6.4118304371246602</v>
      </c>
      <c r="O440" s="1">
        <f t="shared" si="467"/>
        <v>9.5290765175659988</v>
      </c>
      <c r="P440" s="1">
        <f>SUM(P441,P447,P449,P455,P457,P459,P461)</f>
        <v>17.564355778125229</v>
      </c>
      <c r="Q440" s="1">
        <f>SUM(Q441,Q447,Q449,Q455,Q457,Q459,Q461)</f>
        <v>24.682226354969973</v>
      </c>
      <c r="S440" s="3"/>
    </row>
    <row r="441" spans="1:19" x14ac:dyDescent="0.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4.3959795217720963</v>
      </c>
      <c r="G441" s="1">
        <f t="shared" ref="G441:O441" si="468">+G442</f>
        <v>4.2253083864563301</v>
      </c>
      <c r="H441" s="1">
        <f t="shared" si="468"/>
        <v>4.2182561108754442</v>
      </c>
      <c r="I441" s="1">
        <f t="shared" si="468"/>
        <v>2.3679020511260482</v>
      </c>
      <c r="J441" s="1">
        <f t="shared" si="468"/>
        <v>2.3679978437106719</v>
      </c>
      <c r="K441" s="1">
        <f t="shared" si="468"/>
        <v>2.3680002908283817</v>
      </c>
      <c r="L441" s="1">
        <f t="shared" si="468"/>
        <v>2.3679956727808533</v>
      </c>
      <c r="M441" s="1">
        <f t="shared" si="468"/>
        <v>2.3680044167440557</v>
      </c>
      <c r="N441" s="1">
        <f t="shared" si="468"/>
        <v>2.3679974313652719</v>
      </c>
      <c r="O441" s="1">
        <f t="shared" si="468"/>
        <v>5.7601127892624442</v>
      </c>
      <c r="P441" s="1">
        <f>+P442</f>
        <v>13.975474484948251</v>
      </c>
      <c r="Q441" s="1">
        <f>+Q442</f>
        <v>21.197405118696413</v>
      </c>
      <c r="S441" s="3"/>
    </row>
    <row r="442" spans="1:19" x14ac:dyDescent="0.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4.3959795217720963</v>
      </c>
      <c r="G442" s="1">
        <f t="shared" ref="G442:K442" si="469">SUM(G444:G446)</f>
        <v>4.2253083864563301</v>
      </c>
      <c r="H442" s="1">
        <f t="shared" si="469"/>
        <v>4.2182561108754442</v>
      </c>
      <c r="I442" s="1">
        <f t="shared" si="469"/>
        <v>2.3679020511260482</v>
      </c>
      <c r="J442" s="1">
        <f t="shared" si="469"/>
        <v>2.3679978437106719</v>
      </c>
      <c r="K442" s="1">
        <f t="shared" si="469"/>
        <v>2.3680002908283817</v>
      </c>
      <c r="L442" s="1">
        <f t="shared" ref="L442:O442" si="470">SUM(L444:L446)</f>
        <v>2.3679956727808533</v>
      </c>
      <c r="M442" s="1">
        <f t="shared" si="470"/>
        <v>2.3680044167440557</v>
      </c>
      <c r="N442" s="1">
        <f t="shared" si="470"/>
        <v>2.3679974313652719</v>
      </c>
      <c r="O442" s="1">
        <f t="shared" si="470"/>
        <v>5.7601127892624442</v>
      </c>
      <c r="P442" s="1">
        <f>SUM(P444:P446)</f>
        <v>13.975474484948251</v>
      </c>
      <c r="Q442" s="1">
        <f>SUM(Q444:Q446)</f>
        <v>21.197405118696413</v>
      </c>
      <c r="S442" s="3"/>
    </row>
    <row r="443" spans="1:19" x14ac:dyDescent="0.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2.0280764115733412</v>
      </c>
      <c r="G443" s="1">
        <f t="shared" ref="G443:O443" si="471">G444</f>
        <v>1.8574085608909772</v>
      </c>
      <c r="H443" s="1">
        <f t="shared" si="471"/>
        <v>1.8503550366733292</v>
      </c>
      <c r="I443" s="1">
        <f t="shared" si="471"/>
        <v>0</v>
      </c>
      <c r="J443" s="1">
        <f t="shared" si="471"/>
        <v>0</v>
      </c>
      <c r="K443" s="1">
        <f t="shared" si="471"/>
        <v>0</v>
      </c>
      <c r="L443" s="1">
        <f t="shared" si="471"/>
        <v>0</v>
      </c>
      <c r="M443" s="1">
        <f t="shared" si="471"/>
        <v>0</v>
      </c>
      <c r="N443" s="1">
        <f t="shared" si="471"/>
        <v>0</v>
      </c>
      <c r="O443" s="1">
        <f t="shared" si="471"/>
        <v>0</v>
      </c>
      <c r="P443" s="1">
        <f>P444</f>
        <v>0</v>
      </c>
      <c r="Q443" s="1">
        <f>Q444</f>
        <v>0</v>
      </c>
      <c r="S443" s="3"/>
    </row>
    <row r="444" spans="1:19" x14ac:dyDescent="0.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2.0280764115733412</v>
      </c>
      <c r="G444" s="1">
        <f>'[1]Electricity and CHPs_IN'!C$90</f>
        <v>1.8574085608909772</v>
      </c>
      <c r="H444" s="1">
        <f>'[1]Electricity and CHPs_IN'!D$90</f>
        <v>1.8503550366733292</v>
      </c>
      <c r="I444" s="1">
        <f>'[1]Electricity and CHPs_IN'!E$90</f>
        <v>0</v>
      </c>
      <c r="J444" s="1">
        <f>'[1]Electricity and CHPs_IN'!F$90</f>
        <v>0</v>
      </c>
      <c r="K444" s="1">
        <f>'[1]Electricity and CHPs_IN'!G$90</f>
        <v>0</v>
      </c>
      <c r="L444" s="1">
        <f>'[1]Electricity and CHPs_IN'!H$90</f>
        <v>0</v>
      </c>
      <c r="M444" s="1">
        <f>'[1]Electricity and CHPs_IN'!I$90</f>
        <v>0</v>
      </c>
      <c r="N444" s="1">
        <f>'[1]Electricity and CHPs_IN'!J$90</f>
        <v>0</v>
      </c>
      <c r="O444" s="1">
        <f>'[1]Electricity and CHPs_IN'!K$90</f>
        <v>0</v>
      </c>
      <c r="P444" s="1">
        <f>'[1]Electricity and CHPs_IN'!L$90</f>
        <v>0</v>
      </c>
      <c r="Q444" s="1">
        <f>'[1]Electricity and CHPs_IN'!M$90</f>
        <v>0</v>
      </c>
      <c r="S444" s="3"/>
    </row>
    <row r="445" spans="1:19" x14ac:dyDescent="0.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1.1839515550993776</v>
      </c>
      <c r="G445" s="1">
        <f t="shared" ref="G445:O445" si="472">G446</f>
        <v>1.1839499127826767</v>
      </c>
      <c r="H445" s="1">
        <f t="shared" si="472"/>
        <v>1.1839505371010577</v>
      </c>
      <c r="I445" s="1">
        <f t="shared" si="472"/>
        <v>1.1839510255630241</v>
      </c>
      <c r="J445" s="1">
        <f t="shared" si="472"/>
        <v>1.183998921855336</v>
      </c>
      <c r="K445" s="1">
        <f t="shared" si="472"/>
        <v>1.1840001454141909</v>
      </c>
      <c r="L445" s="1">
        <f t="shared" si="472"/>
        <v>1.1839978363904267</v>
      </c>
      <c r="M445" s="1">
        <f t="shared" si="472"/>
        <v>1.1840022083720279</v>
      </c>
      <c r="N445" s="1">
        <f t="shared" si="472"/>
        <v>1.1839987156826359</v>
      </c>
      <c r="O445" s="1">
        <f t="shared" si="472"/>
        <v>2.8800563946312221</v>
      </c>
      <c r="P445" s="1">
        <f>P446</f>
        <v>6.9877372424741253</v>
      </c>
      <c r="Q445" s="1">
        <f>Q446</f>
        <v>10.598702559348206</v>
      </c>
      <c r="S445" s="3"/>
    </row>
    <row r="446" spans="1:19" x14ac:dyDescent="0.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1.1839515550993776</v>
      </c>
      <c r="G446" s="1">
        <f>'[1]Electricity and CHPs_IN'!C$91</f>
        <v>1.1839499127826767</v>
      </c>
      <c r="H446" s="1">
        <f>'[1]Electricity and CHPs_IN'!D$91</f>
        <v>1.1839505371010577</v>
      </c>
      <c r="I446" s="1">
        <f>'[1]Electricity and CHPs_IN'!E$91</f>
        <v>1.1839510255630241</v>
      </c>
      <c r="J446" s="1">
        <f>'[1]Electricity and CHPs_IN'!F$91</f>
        <v>1.183998921855336</v>
      </c>
      <c r="K446" s="1">
        <f>'[1]Electricity and CHPs_IN'!G$91</f>
        <v>1.1840001454141909</v>
      </c>
      <c r="L446" s="1">
        <f>'[1]Electricity and CHPs_IN'!H$91</f>
        <v>1.1839978363904267</v>
      </c>
      <c r="M446" s="1">
        <f>'[1]Electricity and CHPs_IN'!I$91</f>
        <v>1.1840022083720279</v>
      </c>
      <c r="N446" s="1">
        <f>'[1]Electricity and CHPs_IN'!J$91</f>
        <v>1.1839987156826359</v>
      </c>
      <c r="O446" s="1">
        <f>'[1]Electricity and CHPs_IN'!K$91</f>
        <v>2.8800563946312221</v>
      </c>
      <c r="P446" s="1">
        <f>'[1]Electricity and CHPs_IN'!L$91</f>
        <v>6.9877372424741253</v>
      </c>
      <c r="Q446" s="1">
        <f>'[1]Electricity and CHPs_IN'!M$91</f>
        <v>10.598702559348206</v>
      </c>
      <c r="S446" s="3"/>
    </row>
    <row r="447" spans="1:19" x14ac:dyDescent="0.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1.4500075317723111</v>
      </c>
      <c r="G447" s="1">
        <f t="shared" ref="G447:O447" si="473">G448</f>
        <v>3.8018381739436022</v>
      </c>
      <c r="H447" s="1">
        <f t="shared" si="473"/>
        <v>3.8014288378245666</v>
      </c>
      <c r="I447" s="1">
        <f t="shared" si="473"/>
        <v>1.1502465353496012</v>
      </c>
      <c r="J447" s="1">
        <f t="shared" si="473"/>
        <v>0.85616026892172625</v>
      </c>
      <c r="K447" s="1">
        <f t="shared" si="473"/>
        <v>0</v>
      </c>
      <c r="L447" s="1">
        <f t="shared" si="473"/>
        <v>0</v>
      </c>
      <c r="M447" s="1">
        <f t="shared" si="473"/>
        <v>0</v>
      </c>
      <c r="N447" s="1">
        <f t="shared" si="473"/>
        <v>0</v>
      </c>
      <c r="O447" s="1">
        <f t="shared" si="473"/>
        <v>0</v>
      </c>
      <c r="P447" s="1">
        <f>P448</f>
        <v>0</v>
      </c>
      <c r="Q447" s="1">
        <f>Q448</f>
        <v>0</v>
      </c>
      <c r="S447" s="3"/>
    </row>
    <row r="448" spans="1:19" x14ac:dyDescent="0.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1.4500075317723111</v>
      </c>
      <c r="G448" s="1">
        <f>'[1]Electricity and CHPs_IN'!C$92</f>
        <v>3.8018381739436022</v>
      </c>
      <c r="H448" s="1">
        <f>'[1]Electricity and CHPs_IN'!D$92</f>
        <v>3.8014288378245666</v>
      </c>
      <c r="I448" s="1">
        <f>'[1]Electricity and CHPs_IN'!E$92</f>
        <v>1.1502465353496012</v>
      </c>
      <c r="J448" s="1">
        <f>'[1]Electricity and CHPs_IN'!F$92</f>
        <v>0.85616026892172625</v>
      </c>
      <c r="K448" s="1">
        <f>'[1]Electricity and CHPs_IN'!G$92</f>
        <v>0</v>
      </c>
      <c r="L448" s="1">
        <f>'[1]Electricity and CHPs_IN'!H$92</f>
        <v>0</v>
      </c>
      <c r="M448" s="1">
        <f>'[1]Electricity and CHPs_IN'!I$92</f>
        <v>0</v>
      </c>
      <c r="N448" s="1">
        <f>'[1]Electricity and CHPs_IN'!J$92</f>
        <v>0</v>
      </c>
      <c r="O448" s="1">
        <f>'[1]Electricity and CHPs_IN'!K$92</f>
        <v>0</v>
      </c>
      <c r="P448" s="1">
        <f>'[1]Electricity and CHPs_IN'!L$92</f>
        <v>0</v>
      </c>
      <c r="Q448" s="1">
        <f>'[1]Electricity and CHPs_IN'!M$92</f>
        <v>0</v>
      </c>
      <c r="S448" s="3"/>
    </row>
    <row r="449" spans="1:19" x14ac:dyDescent="0.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0.21541976878335978</v>
      </c>
      <c r="G449" s="1">
        <f t="shared" ref="G449:O449" si="474">G450</f>
        <v>0.21750850602010718</v>
      </c>
      <c r="H449" s="1">
        <f t="shared" si="474"/>
        <v>6.1651021664595546E-2</v>
      </c>
      <c r="I449" s="1">
        <f t="shared" si="474"/>
        <v>6.2183020749642021E-2</v>
      </c>
      <c r="J449" s="1">
        <f t="shared" si="474"/>
        <v>6.8425958394993419E-4</v>
      </c>
      <c r="K449" s="1">
        <f t="shared" si="474"/>
        <v>6.5518887911367158E-5</v>
      </c>
      <c r="L449" s="1">
        <f t="shared" si="474"/>
        <v>3.5461401792518364E-4</v>
      </c>
      <c r="M449" s="1">
        <f t="shared" si="474"/>
        <v>5.4432274883911311E-5</v>
      </c>
      <c r="N449" s="1">
        <f t="shared" si="474"/>
        <v>1.7917453504995126E-6</v>
      </c>
      <c r="O449" s="1">
        <f t="shared" si="474"/>
        <v>1.7925762904887362E-7</v>
      </c>
      <c r="P449" s="1">
        <f>P450</f>
        <v>1.1120315475679304E-6</v>
      </c>
      <c r="Q449" s="1">
        <f>Q450</f>
        <v>5.7732439679227581E-7</v>
      </c>
      <c r="S449" s="3"/>
    </row>
    <row r="450" spans="1:19" x14ac:dyDescent="0.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0.21541976878335978</v>
      </c>
      <c r="G450" s="1">
        <f>'[1]Electricity and CHPs_IN'!C$93</f>
        <v>0.21750850602010718</v>
      </c>
      <c r="H450" s="1">
        <f>'[1]Electricity and CHPs_IN'!D$93</f>
        <v>6.1651021664595546E-2</v>
      </c>
      <c r="I450" s="1">
        <f>'[1]Electricity and CHPs_IN'!E$93</f>
        <v>6.2183020749642021E-2</v>
      </c>
      <c r="J450" s="1">
        <f>'[1]Electricity and CHPs_IN'!F$93</f>
        <v>6.8425958394993419E-4</v>
      </c>
      <c r="K450" s="1">
        <f>'[1]Electricity and CHPs_IN'!G$93</f>
        <v>6.5518887911367158E-5</v>
      </c>
      <c r="L450" s="1">
        <f>'[1]Electricity and CHPs_IN'!H$93</f>
        <v>3.5461401792518364E-4</v>
      </c>
      <c r="M450" s="1">
        <f>'[1]Electricity and CHPs_IN'!I$93</f>
        <v>5.4432274883911311E-5</v>
      </c>
      <c r="N450" s="1">
        <f>'[1]Electricity and CHPs_IN'!J$93</f>
        <v>1.7917453504995126E-6</v>
      </c>
      <c r="O450" s="1">
        <f>'[1]Electricity and CHPs_IN'!K$93</f>
        <v>1.7925762904887362E-7</v>
      </c>
      <c r="P450" s="1">
        <f>'[1]Electricity and CHPs_IN'!L$93</f>
        <v>1.1120315475679304E-6</v>
      </c>
      <c r="Q450" s="1">
        <f>'[1]Electricity and CHPs_IN'!M$93</f>
        <v>5.7732439679227581E-7</v>
      </c>
      <c r="S450" s="3"/>
    </row>
    <row r="451" spans="1:19" x14ac:dyDescent="0.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0.21541976878335978</v>
      </c>
      <c r="G451" s="1">
        <f t="shared" ref="G451:O451" si="475">G452</f>
        <v>0.21750850602010718</v>
      </c>
      <c r="H451" s="1">
        <f t="shared" si="475"/>
        <v>6.1651021664595546E-2</v>
      </c>
      <c r="I451" s="1">
        <f t="shared" si="475"/>
        <v>6.2183020749642021E-2</v>
      </c>
      <c r="J451" s="1">
        <f t="shared" si="475"/>
        <v>6.8425958394993419E-4</v>
      </c>
      <c r="K451" s="1">
        <f t="shared" si="475"/>
        <v>6.5518887911367158E-5</v>
      </c>
      <c r="L451" s="1">
        <f t="shared" si="475"/>
        <v>3.5461401792518364E-4</v>
      </c>
      <c r="M451" s="1">
        <f t="shared" si="475"/>
        <v>5.4432274883911311E-5</v>
      </c>
      <c r="N451" s="1">
        <f t="shared" si="475"/>
        <v>1.7917453504995126E-6</v>
      </c>
      <c r="O451" s="1">
        <f t="shared" si="475"/>
        <v>1.7925762904887362E-7</v>
      </c>
      <c r="P451" s="1">
        <f>P452</f>
        <v>1.1120315475679304E-6</v>
      </c>
      <c r="Q451" s="1">
        <f>Q452</f>
        <v>5.7732439679227581E-7</v>
      </c>
      <c r="S451" s="3"/>
    </row>
    <row r="452" spans="1:19" x14ac:dyDescent="0.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0.21541976878335978</v>
      </c>
      <c r="G452" s="1">
        <f t="shared" ref="G452:K452" si="476">G450</f>
        <v>0.21750850602010718</v>
      </c>
      <c r="H452" s="1">
        <f t="shared" si="476"/>
        <v>6.1651021664595546E-2</v>
      </c>
      <c r="I452" s="1">
        <f t="shared" si="476"/>
        <v>6.2183020749642021E-2</v>
      </c>
      <c r="J452" s="1">
        <f t="shared" si="476"/>
        <v>6.8425958394993419E-4</v>
      </c>
      <c r="K452" s="1">
        <f t="shared" si="476"/>
        <v>6.5518887911367158E-5</v>
      </c>
      <c r="L452" s="1">
        <f t="shared" ref="L452:O452" si="477">L450</f>
        <v>3.5461401792518364E-4</v>
      </c>
      <c r="M452" s="1">
        <f t="shared" si="477"/>
        <v>5.4432274883911311E-5</v>
      </c>
      <c r="N452" s="1">
        <f t="shared" si="477"/>
        <v>1.7917453504995126E-6</v>
      </c>
      <c r="O452" s="1">
        <f t="shared" si="477"/>
        <v>1.7925762904887362E-7</v>
      </c>
      <c r="P452" s="1">
        <f>P450</f>
        <v>1.1120315475679304E-6</v>
      </c>
      <c r="Q452" s="1">
        <f>Q450</f>
        <v>5.7732439679227581E-7</v>
      </c>
      <c r="S452" s="3"/>
    </row>
    <row r="453" spans="1:19" x14ac:dyDescent="0.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O453" si="478">G454</f>
        <v>0</v>
      </c>
      <c r="H453" s="1">
        <f t="shared" si="478"/>
        <v>0</v>
      </c>
      <c r="I453" s="1">
        <f t="shared" si="478"/>
        <v>0</v>
      </c>
      <c r="J453" s="1">
        <f t="shared" si="478"/>
        <v>0</v>
      </c>
      <c r="K453" s="1">
        <f t="shared" si="478"/>
        <v>0</v>
      </c>
      <c r="L453" s="1">
        <f t="shared" si="478"/>
        <v>0</v>
      </c>
      <c r="M453" s="1">
        <f t="shared" si="478"/>
        <v>0</v>
      </c>
      <c r="N453" s="1">
        <f t="shared" si="478"/>
        <v>0</v>
      </c>
      <c r="O453" s="1">
        <f t="shared" si="478"/>
        <v>4</v>
      </c>
      <c r="P453" s="1">
        <f>P454</f>
        <v>0</v>
      </c>
      <c r="Q453" s="1">
        <f>Q454</f>
        <v>0</v>
      </c>
      <c r="S453" s="3"/>
    </row>
    <row r="454" spans="1:19" x14ac:dyDescent="0.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4</v>
      </c>
      <c r="P454" s="1">
        <v>0</v>
      </c>
      <c r="Q454" s="1">
        <v>0</v>
      </c>
      <c r="S454" s="3"/>
    </row>
    <row r="455" spans="1:19" x14ac:dyDescent="0.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2.9085258194969907</v>
      </c>
      <c r="G455" s="1">
        <f t="shared" ref="G455:O455" si="479">G456</f>
        <v>2.6249442617439391</v>
      </c>
      <c r="H455" s="1">
        <f t="shared" si="479"/>
        <v>2.2505791473624037</v>
      </c>
      <c r="I455" s="1">
        <f t="shared" si="479"/>
        <v>5.1509708297199071</v>
      </c>
      <c r="J455" s="1">
        <f t="shared" si="479"/>
        <v>4.8416294944194762</v>
      </c>
      <c r="K455" s="1">
        <f t="shared" si="479"/>
        <v>3.746360906219746</v>
      </c>
      <c r="L455" s="1">
        <f t="shared" si="479"/>
        <v>2.8988641159474047</v>
      </c>
      <c r="M455" s="1">
        <f t="shared" si="479"/>
        <v>2.2430942057640593</v>
      </c>
      <c r="N455" s="1">
        <f t="shared" si="479"/>
        <v>1.7356551986614683</v>
      </c>
      <c r="O455" s="1">
        <f t="shared" si="479"/>
        <v>1.3430210157436544</v>
      </c>
      <c r="P455" s="1">
        <f>P456</f>
        <v>1.039203743522668</v>
      </c>
      <c r="Q455" s="1">
        <f>Q456</f>
        <v>0.8041732567608515</v>
      </c>
      <c r="S455" s="3"/>
    </row>
    <row r="456" spans="1:19" x14ac:dyDescent="0.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2.9085258194969907</v>
      </c>
      <c r="G456" s="1">
        <f>'[1]Electricity and CHPs_IN'!C$94</f>
        <v>2.6249442617439391</v>
      </c>
      <c r="H456" s="1">
        <f>'[1]Electricity and CHPs_IN'!D$94</f>
        <v>2.2505791473624037</v>
      </c>
      <c r="I456" s="1">
        <f>'[1]Electricity and CHPs_IN'!E$94</f>
        <v>5.1509708297199071</v>
      </c>
      <c r="J456" s="1">
        <f>'[1]Electricity and CHPs_IN'!F$94</f>
        <v>4.8416294944194762</v>
      </c>
      <c r="K456" s="1">
        <f>'[1]Electricity and CHPs_IN'!G$94</f>
        <v>3.746360906219746</v>
      </c>
      <c r="L456" s="1">
        <f>'[1]Electricity and CHPs_IN'!H$94</f>
        <v>2.8988641159474047</v>
      </c>
      <c r="M456" s="1">
        <f>'[1]Electricity and CHPs_IN'!I$94</f>
        <v>2.2430942057640593</v>
      </c>
      <c r="N456" s="1">
        <f>'[1]Electricity and CHPs_IN'!J$94</f>
        <v>1.7356551986614683</v>
      </c>
      <c r="O456" s="1">
        <f>'[1]Electricity and CHPs_IN'!K$94</f>
        <v>1.3430210157436544</v>
      </c>
      <c r="P456" s="1">
        <f>'[1]Electricity and CHPs_IN'!L$94</f>
        <v>1.039203743522668</v>
      </c>
      <c r="Q456" s="1">
        <f>'[1]Electricity and CHPs_IN'!M$94</f>
        <v>0.8041732567608515</v>
      </c>
      <c r="S456" s="3"/>
    </row>
    <row r="457" spans="1:19" x14ac:dyDescent="0.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O457" si="480">G458</f>
        <v>0</v>
      </c>
      <c r="H457" s="1">
        <f t="shared" si="480"/>
        <v>0</v>
      </c>
      <c r="I457" s="1">
        <f t="shared" si="480"/>
        <v>7.5636353389587266E-5</v>
      </c>
      <c r="J457" s="1">
        <f t="shared" si="480"/>
        <v>1.2039280193120556E-4</v>
      </c>
      <c r="K457" s="1">
        <f t="shared" si="480"/>
        <v>1.2168478937498039E-4</v>
      </c>
      <c r="L457" s="1">
        <f t="shared" si="480"/>
        <v>1.2379029296732846E-4</v>
      </c>
      <c r="M457" s="1">
        <f t="shared" si="480"/>
        <v>1.3119494309285059E-4</v>
      </c>
      <c r="N457" s="1">
        <f t="shared" si="480"/>
        <v>1.3190780773362083E-4</v>
      </c>
      <c r="O457" s="1">
        <f t="shared" si="480"/>
        <v>1.3669480027803056E-4</v>
      </c>
      <c r="P457" s="1">
        <f>P458</f>
        <v>1.4214843542617069E-4</v>
      </c>
      <c r="Q457" s="1">
        <f>Q458</f>
        <v>2.8012776627756432E-4</v>
      </c>
      <c r="S457" s="3"/>
    </row>
    <row r="458" spans="1:19" x14ac:dyDescent="0.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7.5636353389587266E-5</v>
      </c>
      <c r="J458" s="1">
        <f>'[1]Electricity and CHPs_IN'!F$95</f>
        <v>1.2039280193120556E-4</v>
      </c>
      <c r="K458" s="1">
        <f>'[1]Electricity and CHPs_IN'!G$95</f>
        <v>1.2168478937498039E-4</v>
      </c>
      <c r="L458" s="1">
        <f>'[1]Electricity and CHPs_IN'!H$95</f>
        <v>1.2379029296732846E-4</v>
      </c>
      <c r="M458" s="1">
        <f>'[1]Electricity and CHPs_IN'!I$95</f>
        <v>1.3119494309285059E-4</v>
      </c>
      <c r="N458" s="1">
        <f>'[1]Electricity and CHPs_IN'!J$95</f>
        <v>1.3190780773362083E-4</v>
      </c>
      <c r="O458" s="1">
        <f>'[1]Electricity and CHPs_IN'!K$95</f>
        <v>1.3669480027803056E-4</v>
      </c>
      <c r="P458" s="1">
        <f>'[1]Electricity and CHPs_IN'!L$95</f>
        <v>1.4214843542617069E-4</v>
      </c>
      <c r="Q458" s="1">
        <f>'[1]Electricity and CHPs_IN'!M$95</f>
        <v>2.8012776627756432E-4</v>
      </c>
      <c r="S458" s="3"/>
    </row>
    <row r="459" spans="1:19" x14ac:dyDescent="0.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O459" si="481">G460</f>
        <v>0</v>
      </c>
      <c r="H459" s="1">
        <f t="shared" si="481"/>
        <v>0</v>
      </c>
      <c r="I459" s="1">
        <f t="shared" si="481"/>
        <v>0</v>
      </c>
      <c r="J459" s="1">
        <f t="shared" si="481"/>
        <v>0</v>
      </c>
      <c r="K459" s="1">
        <f t="shared" si="481"/>
        <v>3.6613207049875286E-4</v>
      </c>
      <c r="L459" s="1">
        <f t="shared" si="481"/>
        <v>3.670798785142354E-4</v>
      </c>
      <c r="M459" s="1">
        <f t="shared" si="481"/>
        <v>3.6861142053385256E-4</v>
      </c>
      <c r="N459" s="1">
        <f t="shared" si="481"/>
        <v>3.6925083636965388E-4</v>
      </c>
      <c r="O459" s="1">
        <f t="shared" si="481"/>
        <v>3.7117052089108708E-4</v>
      </c>
      <c r="P459" s="1">
        <f>P460</f>
        <v>3.7574859258492977E-4</v>
      </c>
      <c r="Q459" s="1">
        <f>Q460</f>
        <v>6.3722698682211129E-4</v>
      </c>
      <c r="S459" s="3"/>
    </row>
    <row r="460" spans="1:19" x14ac:dyDescent="0.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3.6613207049875286E-4</v>
      </c>
      <c r="L460" s="1">
        <f>'[1]Electricity and CHPs_IN'!H$96</f>
        <v>3.670798785142354E-4</v>
      </c>
      <c r="M460" s="1">
        <f>'[1]Electricity and CHPs_IN'!I$96</f>
        <v>3.6861142053385256E-4</v>
      </c>
      <c r="N460" s="1">
        <f>'[1]Electricity and CHPs_IN'!J$96</f>
        <v>3.6925083636965388E-4</v>
      </c>
      <c r="O460" s="1">
        <f>'[1]Electricity and CHPs_IN'!K$96</f>
        <v>3.7117052089108708E-4</v>
      </c>
      <c r="P460" s="1">
        <f>'[1]Electricity and CHPs_IN'!L$96</f>
        <v>3.7574859258492977E-4</v>
      </c>
      <c r="Q460" s="1">
        <f>'[1]Electricity and CHPs_IN'!M$96</f>
        <v>6.3722698682211129E-4</v>
      </c>
      <c r="S460" s="3"/>
    </row>
    <row r="461" spans="1:19" x14ac:dyDescent="0.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82">G462</f>
        <v>1.2858996387023727</v>
      </c>
      <c r="H461" s="1">
        <f>H462</f>
        <v>1.3248640399215541</v>
      </c>
      <c r="I461" s="1">
        <f t="shared" ref="I461" si="483">I462</f>
        <v>1.4779644403968568</v>
      </c>
      <c r="J461" s="1">
        <f t="shared" ref="J461" si="484">J462</f>
        <v>1.8906347283669502</v>
      </c>
      <c r="K461" s="1">
        <f t="shared" ref="K461:O461" si="485">K462</f>
        <v>1.9870764657612883</v>
      </c>
      <c r="L461" s="1">
        <f t="shared" si="485"/>
        <v>2.088437888136613</v>
      </c>
      <c r="M461" s="1">
        <f t="shared" si="485"/>
        <v>2.1956733803597062</v>
      </c>
      <c r="N461" s="1">
        <f t="shared" si="485"/>
        <v>2.3076748567084668</v>
      </c>
      <c r="O461" s="1">
        <f t="shared" si="485"/>
        <v>2.4254346679811016</v>
      </c>
      <c r="P461" s="1">
        <f>P462</f>
        <v>2.5491585405947519</v>
      </c>
      <c r="Q461" s="1">
        <f>Q462</f>
        <v>2.6797300474352155</v>
      </c>
      <c r="S461" s="3"/>
    </row>
    <row r="462" spans="1:19" x14ac:dyDescent="0.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1.2858996387023727</v>
      </c>
      <c r="H462" s="1">
        <f>'[1]Electricity and CHPs_IN'!D$97</f>
        <v>1.3248640399215541</v>
      </c>
      <c r="I462" s="1">
        <f>'[1]Electricity and CHPs_IN'!E$97</f>
        <v>1.4779644403968568</v>
      </c>
      <c r="J462" s="1">
        <f>'[1]Electricity and CHPs_IN'!F$97</f>
        <v>1.8906347283669502</v>
      </c>
      <c r="K462" s="1">
        <f>'[1]Electricity and CHPs_IN'!G$97</f>
        <v>1.9870764657612883</v>
      </c>
      <c r="L462" s="1">
        <f>'[1]Electricity and CHPs_IN'!H$97</f>
        <v>2.088437888136613</v>
      </c>
      <c r="M462" s="1">
        <f>'[1]Electricity and CHPs_IN'!I$97</f>
        <v>2.1956733803597062</v>
      </c>
      <c r="N462" s="1">
        <f>'[1]Electricity and CHPs_IN'!J$97</f>
        <v>2.3076748567084668</v>
      </c>
      <c r="O462" s="1">
        <f>'[1]Electricity and CHPs_IN'!K$97</f>
        <v>2.4254346679811016</v>
      </c>
      <c r="P462" s="1">
        <f>'[1]Electricity and CHPs_IN'!L$97</f>
        <v>2.5491585405947519</v>
      </c>
      <c r="Q462" s="1">
        <f>'[1]Electricity and CHPs_IN'!M$97</f>
        <v>2.6797300474352155</v>
      </c>
      <c r="S462" s="3"/>
    </row>
    <row r="463" spans="1:19" x14ac:dyDescent="0.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7.9020681463948641</v>
      </c>
      <c r="G463" s="1">
        <f t="shared" ref="G463:K463" si="486">SUM(G464,G470,G503,G512,G518)</f>
        <v>8.2405143148548543</v>
      </c>
      <c r="H463" s="1">
        <f t="shared" si="486"/>
        <v>12.180991620357506</v>
      </c>
      <c r="I463" s="1">
        <f t="shared" si="486"/>
        <v>13.425920461022494</v>
      </c>
      <c r="J463" s="1">
        <f t="shared" si="486"/>
        <v>14.254016515692369</v>
      </c>
      <c r="K463" s="1">
        <f t="shared" si="486"/>
        <v>17.658048752060068</v>
      </c>
      <c r="L463" s="1">
        <f t="shared" ref="L463:O463" si="487">SUM(L464,L470,L503,L512,L518)</f>
        <v>26.829602843877058</v>
      </c>
      <c r="M463" s="1">
        <f t="shared" si="487"/>
        <v>27.555007263044928</v>
      </c>
      <c r="N463" s="1">
        <f t="shared" si="487"/>
        <v>28.658129372115251</v>
      </c>
      <c r="O463" s="1">
        <f t="shared" si="487"/>
        <v>29.950269436469643</v>
      </c>
      <c r="P463" s="1">
        <f>SUM(P464,P470,P503,P512,P518)</f>
        <v>30.506903877469234</v>
      </c>
      <c r="Q463" s="1">
        <f>SUM(Q464,Q470,Q503,Q512,Q518)</f>
        <v>30.562657017409936</v>
      </c>
      <c r="S463" s="3"/>
    </row>
    <row r="464" spans="1:19" x14ac:dyDescent="0.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0.27352015833600118</v>
      </c>
      <c r="G464" s="1">
        <f t="shared" ref="G464:O464" si="488">+G465</f>
        <v>0.64214954887973053</v>
      </c>
      <c r="H464" s="1">
        <f t="shared" si="488"/>
        <v>3.2412415452064185E-2</v>
      </c>
      <c r="I464" s="1">
        <f t="shared" si="488"/>
        <v>0.57456225380542891</v>
      </c>
      <c r="J464" s="1">
        <f t="shared" si="488"/>
        <v>0.54087402374961213</v>
      </c>
      <c r="K464" s="1">
        <f t="shared" si="488"/>
        <v>0</v>
      </c>
      <c r="L464" s="1">
        <f t="shared" si="488"/>
        <v>0</v>
      </c>
      <c r="M464" s="1">
        <f t="shared" si="488"/>
        <v>0</v>
      </c>
      <c r="N464" s="1">
        <f t="shared" si="488"/>
        <v>0.30939867042805713</v>
      </c>
      <c r="O464" s="1">
        <f t="shared" si="488"/>
        <v>0.30948965878029355</v>
      </c>
      <c r="P464" s="1">
        <f>+P465</f>
        <v>0.44745161673432643</v>
      </c>
      <c r="Q464" s="1">
        <f>+Q465</f>
        <v>0.44746125860925978</v>
      </c>
      <c r="S464" s="3"/>
    </row>
    <row r="465" spans="1:19" x14ac:dyDescent="0.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0.27352015833600118</v>
      </c>
      <c r="G465" s="1">
        <f>'[1]Electricity and CHPs_IN'!C$41-G301</f>
        <v>0.64214954887973053</v>
      </c>
      <c r="H465" s="1">
        <f>'[1]Electricity and CHPs_IN'!D$41-H301</f>
        <v>3.2412415452064185E-2</v>
      </c>
      <c r="I465" s="1">
        <f>'[1]Electricity and CHPs_IN'!E$41-I301</f>
        <v>0.57456225380542891</v>
      </c>
      <c r="J465" s="1">
        <f>'[1]Electricity and CHPs_IN'!F$41-J301</f>
        <v>0.54087402374961213</v>
      </c>
      <c r="K465" s="1">
        <f>'[1]Electricity and CHPs_IN'!G$41-K301</f>
        <v>0</v>
      </c>
      <c r="L465" s="1">
        <f>'[1]Electricity and CHPs_IN'!H$41-L301</f>
        <v>0</v>
      </c>
      <c r="M465" s="1">
        <f>'[1]Electricity and CHPs_IN'!I$41-M301</f>
        <v>0</v>
      </c>
      <c r="N465" s="1">
        <f>'[1]Electricity and CHPs_IN'!J$41-N301</f>
        <v>0.30939867042805713</v>
      </c>
      <c r="O465" s="1">
        <f>'[1]Electricity and CHPs_IN'!K$41-O301</f>
        <v>0.30948965878029355</v>
      </c>
      <c r="P465" s="1">
        <f>'[1]Electricity and CHPs_IN'!L$41-P301</f>
        <v>0.44745161673432643</v>
      </c>
      <c r="Q465" s="1">
        <f>'[1]Electricity and CHPs_IN'!M$41-Q301</f>
        <v>0.44746125860925978</v>
      </c>
      <c r="S465" s="3"/>
    </row>
    <row r="466" spans="1:19" x14ac:dyDescent="0.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0.27352015833600118</v>
      </c>
      <c r="G466" s="1">
        <f t="shared" ref="G466:O466" si="489">G467</f>
        <v>0.64214954887973053</v>
      </c>
      <c r="H466" s="1">
        <f t="shared" si="489"/>
        <v>3.2412415452064185E-2</v>
      </c>
      <c r="I466" s="1">
        <f t="shared" si="489"/>
        <v>0.57456225380542891</v>
      </c>
      <c r="J466" s="1">
        <f t="shared" si="489"/>
        <v>0.54087402374961213</v>
      </c>
      <c r="K466" s="1">
        <f t="shared" si="489"/>
        <v>0</v>
      </c>
      <c r="L466" s="1">
        <f t="shared" si="489"/>
        <v>0</v>
      </c>
      <c r="M466" s="1">
        <f t="shared" si="489"/>
        <v>0</v>
      </c>
      <c r="N466" s="1">
        <f t="shared" si="489"/>
        <v>0.30939867042805713</v>
      </c>
      <c r="O466" s="1">
        <f t="shared" si="489"/>
        <v>0.30948965878029355</v>
      </c>
      <c r="P466" s="1">
        <f>P467</f>
        <v>0.44745161673432643</v>
      </c>
      <c r="Q466" s="1">
        <f>Q467</f>
        <v>0.44746125860925978</v>
      </c>
      <c r="S466" s="3"/>
    </row>
    <row r="467" spans="1:19" x14ac:dyDescent="0.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0.27352015833600118</v>
      </c>
      <c r="G467" s="1">
        <f t="shared" ref="G467:K467" si="490">G465-G469</f>
        <v>0.64214954887973053</v>
      </c>
      <c r="H467" s="1">
        <f t="shared" si="490"/>
        <v>3.2412415452064185E-2</v>
      </c>
      <c r="I467" s="1">
        <f t="shared" si="490"/>
        <v>0.57456225380542891</v>
      </c>
      <c r="J467" s="1">
        <f t="shared" si="490"/>
        <v>0.54087402374961213</v>
      </c>
      <c r="K467" s="1">
        <f t="shared" si="490"/>
        <v>0</v>
      </c>
      <c r="L467" s="1">
        <f t="shared" ref="L467:O467" si="491">L465-L469</f>
        <v>0</v>
      </c>
      <c r="M467" s="1">
        <f t="shared" si="491"/>
        <v>0</v>
      </c>
      <c r="N467" s="1">
        <f t="shared" si="491"/>
        <v>0.30939867042805713</v>
      </c>
      <c r="O467" s="1">
        <f t="shared" si="491"/>
        <v>0.30948965878029355</v>
      </c>
      <c r="P467" s="1">
        <f>P465-P469</f>
        <v>0.44745161673432643</v>
      </c>
      <c r="Q467" s="1">
        <f>Q465-Q469</f>
        <v>0.44746125860925978</v>
      </c>
      <c r="S467" s="3"/>
    </row>
    <row r="468" spans="1:19" x14ac:dyDescent="0.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O468" si="492">G469</f>
        <v>0</v>
      </c>
      <c r="H468" s="1">
        <f t="shared" si="492"/>
        <v>0</v>
      </c>
      <c r="I468" s="1">
        <f t="shared" si="492"/>
        <v>0</v>
      </c>
      <c r="J468" s="1">
        <f t="shared" si="492"/>
        <v>0</v>
      </c>
      <c r="K468" s="1">
        <f t="shared" si="492"/>
        <v>0</v>
      </c>
      <c r="L468" s="1">
        <f t="shared" si="492"/>
        <v>0</v>
      </c>
      <c r="M468" s="1">
        <f t="shared" si="492"/>
        <v>0</v>
      </c>
      <c r="N468" s="1">
        <f t="shared" si="492"/>
        <v>0</v>
      </c>
      <c r="O468" s="1">
        <f t="shared" si="492"/>
        <v>0</v>
      </c>
      <c r="P468" s="1">
        <f>P469</f>
        <v>0</v>
      </c>
      <c r="Q468" s="1">
        <f>Q469</f>
        <v>0</v>
      </c>
      <c r="S468" s="3"/>
    </row>
    <row r="469" spans="1:19" x14ac:dyDescent="0.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93">IFERROR(G309/G301,0)*G465</f>
        <v>0</v>
      </c>
      <c r="H469" s="1">
        <f t="shared" si="493"/>
        <v>0</v>
      </c>
      <c r="I469" s="1">
        <f t="shared" si="493"/>
        <v>0</v>
      </c>
      <c r="J469" s="1">
        <f t="shared" si="493"/>
        <v>0</v>
      </c>
      <c r="K469" s="1">
        <f t="shared" si="493"/>
        <v>0</v>
      </c>
      <c r="L469" s="1">
        <f t="shared" ref="L469:O469" si="494">IFERROR(L309/L301,0)*L465</f>
        <v>0</v>
      </c>
      <c r="M469" s="1">
        <f t="shared" si="494"/>
        <v>0</v>
      </c>
      <c r="N469" s="1">
        <f t="shared" si="494"/>
        <v>0</v>
      </c>
      <c r="O469" s="1">
        <f t="shared" si="494"/>
        <v>0</v>
      </c>
      <c r="P469" s="1">
        <f>IFERROR(P309/P301,0)*P465</f>
        <v>0</v>
      </c>
      <c r="Q469" s="1">
        <f>IFERROR(Q309/Q301,0)*Q465</f>
        <v>0</v>
      </c>
      <c r="S469" s="3"/>
    </row>
    <row r="470" spans="1:19" x14ac:dyDescent="0.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3.6190676517978408</v>
      </c>
      <c r="G470" s="1">
        <f t="shared" ref="G470:K470" si="495">SUM(G471:G480)</f>
        <v>3.4457065463020564</v>
      </c>
      <c r="H470" s="1">
        <f t="shared" si="495"/>
        <v>3.953664277372404</v>
      </c>
      <c r="I470" s="1">
        <f t="shared" si="495"/>
        <v>4.6035035209916915</v>
      </c>
      <c r="J470" s="1">
        <f t="shared" si="495"/>
        <v>4.7914552060924525</v>
      </c>
      <c r="K470" s="1">
        <f t="shared" si="495"/>
        <v>4.2361472790014814</v>
      </c>
      <c r="L470" s="1">
        <f t="shared" ref="L470:O470" si="496">SUM(L471:L480)</f>
        <v>5.4378363509542185</v>
      </c>
      <c r="M470" s="1">
        <f t="shared" si="496"/>
        <v>5.6604587338107777</v>
      </c>
      <c r="N470" s="1">
        <f t="shared" si="496"/>
        <v>6.5428043729014318</v>
      </c>
      <c r="O470" s="1">
        <f t="shared" si="496"/>
        <v>7.7935059436031535</v>
      </c>
      <c r="P470" s="1">
        <f>SUM(P471:P480)</f>
        <v>8.2512497924038399</v>
      </c>
      <c r="Q470" s="1">
        <f>SUM(Q471:Q480)</f>
        <v>8.2754165281962901</v>
      </c>
      <c r="S470" s="3"/>
    </row>
    <row r="471" spans="1:19" x14ac:dyDescent="0.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1.0257437686053792</v>
      </c>
      <c r="G471" s="1">
        <f>'[1]Electricity and CHPs_IN'!C$39-G316</f>
        <v>0.63137708547941929</v>
      </c>
      <c r="H471" s="1">
        <f>'[1]Electricity and CHPs_IN'!D$39-H316</f>
        <v>8.1030756798949194E-2</v>
      </c>
      <c r="I471" s="1">
        <f>'[1]Electricity and CHPs_IN'!E$39-I316</f>
        <v>0.60091821355065489</v>
      </c>
      <c r="J471" s="1">
        <f>'[1]Electricity and CHPs_IN'!F$39-J316</f>
        <v>0.45382036614578297</v>
      </c>
      <c r="K471" s="1">
        <f>'[1]Electricity and CHPs_IN'!G$39-K316</f>
        <v>0.98646405623121491</v>
      </c>
      <c r="L471" s="1">
        <f>'[1]Electricity and CHPs_IN'!H$39-L316</f>
        <v>1.0255808156698598</v>
      </c>
      <c r="M471" s="1">
        <f>'[1]Electricity and CHPs_IN'!I$39-M316</f>
        <v>1.0204913789718719</v>
      </c>
      <c r="N471" s="1">
        <f>'[1]Electricity and CHPs_IN'!J$39-N316</f>
        <v>1.0206489418118094</v>
      </c>
      <c r="O471" s="1">
        <f>'[1]Electricity and CHPs_IN'!K$39-O316</f>
        <v>0.85649448482594281</v>
      </c>
      <c r="P471" s="1">
        <f>'[1]Electricity and CHPs_IN'!L$39-P316</f>
        <v>1.0220336527617291</v>
      </c>
      <c r="Q471" s="1">
        <f>'[1]Electricity and CHPs_IN'!M$39-Q316</f>
        <v>1.0243935494872063</v>
      </c>
      <c r="S471" s="3"/>
    </row>
    <row r="472" spans="1:19" x14ac:dyDescent="0.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7.8864239115779555E-3</v>
      </c>
      <c r="L472" s="6">
        <f>'[1]Electricity and CHPs_IN'!H$40-L317</f>
        <v>0.39897996458892715</v>
      </c>
      <c r="M472" s="6">
        <f>'[1]Electricity and CHPs_IN'!I$40-M317</f>
        <v>0.39780718565335987</v>
      </c>
      <c r="N472" s="6">
        <f>'[1]Electricity and CHPs_IN'!J$40-N317</f>
        <v>0.39855575587422842</v>
      </c>
      <c r="O472" s="6">
        <f>'[1]Electricity and CHPs_IN'!K$40-O317</f>
        <v>0.3347397007963161</v>
      </c>
      <c r="P472" s="6">
        <f>'[1]Electricity and CHPs_IN'!L$40-P317</f>
        <v>0.39929070485737589</v>
      </c>
      <c r="Q472" s="6">
        <f>'[1]Electricity and CHPs_IN'!M$40-Q317</f>
        <v>0.40065237120795866</v>
      </c>
      <c r="S472" s="3"/>
    </row>
    <row r="473" spans="1:19" x14ac:dyDescent="0.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M473" s="6">
        <f>'[1]Electricity and CHPs_IN'!$B$47-M318</f>
        <v>0</v>
      </c>
      <c r="N473" s="6">
        <f>'[1]Electricity and CHPs_IN'!$B$47-N318</f>
        <v>0</v>
      </c>
      <c r="O473" s="6">
        <f>'[1]Electricity and CHPs_IN'!$B$47-O318</f>
        <v>0</v>
      </c>
      <c r="P473" s="6">
        <f>'[1]Electricity and CHPs_IN'!$B$47-P318</f>
        <v>0</v>
      </c>
      <c r="Q473" s="6">
        <f>'[1]Electricity and CHPs_IN'!$B$47-Q318</f>
        <v>0</v>
      </c>
      <c r="S473" s="3"/>
    </row>
    <row r="474" spans="1:19" x14ac:dyDescent="0.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4.4520538039485941E-2</v>
      </c>
      <c r="G474" s="1">
        <f>'[1]Electricity and CHPs_IN'!C$48-G319</f>
        <v>6.3987602782659848E-3</v>
      </c>
      <c r="H474" s="1">
        <f>'[1]Electricity and CHPs_IN'!D$48-H319</f>
        <v>2.1376212361920645E-2</v>
      </c>
      <c r="I474" s="1">
        <f>'[1]Electricity and CHPs_IN'!E$48-I319</f>
        <v>1.5646239236741796E-2</v>
      </c>
      <c r="J474" s="1">
        <f>'[1]Electricity and CHPs_IN'!F$48-J319</f>
        <v>1.5108137144785188E-2</v>
      </c>
      <c r="K474" s="1">
        <f>'[1]Electricity and CHPs_IN'!G$48-K319</f>
        <v>7.0555205073225841E-3</v>
      </c>
      <c r="L474" s="1">
        <f>'[1]Electricity and CHPs_IN'!H$48-L319</f>
        <v>0</v>
      </c>
      <c r="M474" s="1">
        <f>'[1]Electricity and CHPs_IN'!I$48-M319</f>
        <v>0</v>
      </c>
      <c r="N474" s="1">
        <f>'[1]Electricity and CHPs_IN'!J$48-N319</f>
        <v>6.1114833087714399E-3</v>
      </c>
      <c r="O474" s="1">
        <f>'[1]Electricity and CHPs_IN'!K$48-O319</f>
        <v>7.7743272176115348E-3</v>
      </c>
      <c r="P474" s="1">
        <f>'[1]Electricity and CHPs_IN'!L$48-P319</f>
        <v>1.0268056985295978E-2</v>
      </c>
      <c r="Q474" s="1">
        <f>'[1]Electricity and CHPs_IN'!M$48-Q319</f>
        <v>1.3173728058934037E-2</v>
      </c>
      <c r="S474" s="3"/>
    </row>
    <row r="475" spans="1:19" x14ac:dyDescent="0.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M475" s="6">
        <f>'[1]Electricity and CHPs_IN'!I$49-M320</f>
        <v>0</v>
      </c>
      <c r="N475" s="6">
        <f>'[1]Electricity and CHPs_IN'!J$49-N320</f>
        <v>0</v>
      </c>
      <c r="O475" s="6">
        <f>'[1]Electricity and CHPs_IN'!K$49-O320</f>
        <v>0</v>
      </c>
      <c r="P475" s="6">
        <f>'[1]Electricity and CHPs_IN'!L$49-P320</f>
        <v>0</v>
      </c>
      <c r="Q475" s="6">
        <f>'[1]Electricity and CHPs_IN'!M$49-Q320</f>
        <v>0</v>
      </c>
      <c r="S475" s="3"/>
    </row>
    <row r="476" spans="1:19" x14ac:dyDescent="0.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7.4317241708891257E-2</v>
      </c>
      <c r="G476" s="1">
        <f>'[1]Electricity and CHPs_IN'!C$51-G321</f>
        <v>6.8999377029341086E-2</v>
      </c>
      <c r="H476" s="1">
        <f>'[1]Electricity and CHPs_IN'!D$51-H321</f>
        <v>0.27895604289441167</v>
      </c>
      <c r="I476" s="1">
        <f>'[1]Electricity and CHPs_IN'!E$51-I321</f>
        <v>0.27109532352091598</v>
      </c>
      <c r="J476" s="1">
        <f>'[1]Electricity and CHPs_IN'!F$51-J321</f>
        <v>0.26848719405556049</v>
      </c>
      <c r="K476" s="1">
        <f>'[1]Electricity and CHPs_IN'!G$51-K321</f>
        <v>0.11376885066382317</v>
      </c>
      <c r="L476" s="1">
        <f>'[1]Electricity and CHPs_IN'!H$51-L321</f>
        <v>0</v>
      </c>
      <c r="M476" s="1">
        <f>'[1]Electricity and CHPs_IN'!I$51-M321</f>
        <v>0</v>
      </c>
      <c r="N476" s="1">
        <f>'[1]Electricity and CHPs_IN'!J$51-N321</f>
        <v>4.9329761706351331E-3</v>
      </c>
      <c r="O476" s="1">
        <f>'[1]Electricity and CHPs_IN'!K$51-O321</f>
        <v>1.1453908943424507E-2</v>
      </c>
      <c r="P476" s="1">
        <f>'[1]Electricity and CHPs_IN'!L$51-P321</f>
        <v>8.8405289286636428E-3</v>
      </c>
      <c r="Q476" s="1">
        <f>'[1]Electricity and CHPs_IN'!M$51-Q321</f>
        <v>2.2475716499322292E-2</v>
      </c>
      <c r="S476" s="3"/>
    </row>
    <row r="477" spans="1:19" x14ac:dyDescent="0.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M477" s="1">
        <f>'[1]Electricity and CHPs_IN'!I$52-M322</f>
        <v>0</v>
      </c>
      <c r="N477" s="1">
        <f>'[1]Electricity and CHPs_IN'!J$52-N322</f>
        <v>0</v>
      </c>
      <c r="O477" s="1">
        <f>'[1]Electricity and CHPs_IN'!K$52-O322</f>
        <v>0</v>
      </c>
      <c r="P477" s="1">
        <f>'[1]Electricity and CHPs_IN'!L$52-P322</f>
        <v>0</v>
      </c>
      <c r="Q477" s="1">
        <f>'[1]Electricity and CHPs_IN'!M$52-Q322</f>
        <v>0</v>
      </c>
      <c r="S477" s="3"/>
    </row>
    <row r="478" spans="1:19" x14ac:dyDescent="0.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1.5806939332014378</v>
      </c>
      <c r="G478" s="1">
        <f>'[1]Electricity and CHPs_IN'!C$54-G323</f>
        <v>1.7911028434327536</v>
      </c>
      <c r="H478" s="1">
        <f>'[1]Electricity and CHPs_IN'!D$54-H323</f>
        <v>1.7424905221272342</v>
      </c>
      <c r="I478" s="1">
        <f>'[1]Electricity and CHPs_IN'!E$54-I323</f>
        <v>1.6525567668970282</v>
      </c>
      <c r="J478" s="1">
        <f>'[1]Electricity and CHPs_IN'!F$54-J323</f>
        <v>2.0064446849713402</v>
      </c>
      <c r="K478" s="1">
        <f>'[1]Electricity and CHPs_IN'!G$54-K323</f>
        <v>1.8388727858276486</v>
      </c>
      <c r="L478" s="1">
        <f>'[1]Electricity and CHPs_IN'!H$54-L323</f>
        <v>4.0132755706954315</v>
      </c>
      <c r="M478" s="1">
        <f>'[1]Electricity and CHPs_IN'!I$54-M323</f>
        <v>4.2421601691855457</v>
      </c>
      <c r="N478" s="1">
        <f>'[1]Electricity and CHPs_IN'!J$54-N323</f>
        <v>5.1089745649658731</v>
      </c>
      <c r="O478" s="1">
        <f>'[1]Electricity and CHPs_IN'!K$54-O323</f>
        <v>6.5792996180808085</v>
      </c>
      <c r="P478" s="1">
        <f>'[1]Electricity and CHPs_IN'!L$54-P323</f>
        <v>6.8079440511250278</v>
      </c>
      <c r="Q478" s="1">
        <f>'[1]Electricity and CHPs_IN'!M$54-Q323</f>
        <v>6.8080882595833749</v>
      </c>
      <c r="S478" s="3"/>
    </row>
    <row r="479" spans="1:19" x14ac:dyDescent="0.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0.89379217024264634</v>
      </c>
      <c r="G479" s="1">
        <f>'[1]Electricity and CHPs_IN'!C$55-G324</f>
        <v>0.94782848008227638</v>
      </c>
      <c r="H479" s="1">
        <f>'[1]Electricity and CHPs_IN'!D$55-H324</f>
        <v>1.8298107431898885</v>
      </c>
      <c r="I479" s="1">
        <f>'[1]Electricity and CHPs_IN'!E$55-I324</f>
        <v>2.0632869777863503</v>
      </c>
      <c r="J479" s="1">
        <f>'[1]Electricity and CHPs_IN'!F$55-J324</f>
        <v>2.047594823774983</v>
      </c>
      <c r="K479" s="1">
        <f>'[1]Electricity and CHPs_IN'!G$55-K324</f>
        <v>1.2820996418598938</v>
      </c>
      <c r="L479" s="1">
        <f>'[1]Electricity and CHPs_IN'!H$55-L324</f>
        <v>0</v>
      </c>
      <c r="M479" s="1">
        <f>'[1]Electricity and CHPs_IN'!I$55-M324</f>
        <v>0</v>
      </c>
      <c r="N479" s="1">
        <f>'[1]Electricity and CHPs_IN'!J$55-N324</f>
        <v>3.2624473371453346E-3</v>
      </c>
      <c r="O479" s="1">
        <f>'[1]Electricity and CHPs_IN'!K$55-O324</f>
        <v>3.1928616158079645E-3</v>
      </c>
      <c r="P479" s="1">
        <f>'[1]Electricity and CHPs_IN'!L$55-P324</f>
        <v>2.4608343529341483E-3</v>
      </c>
      <c r="Q479" s="1">
        <f>'[1]Electricity and CHPs_IN'!M$55-Q324</f>
        <v>5.7069270892341362E-3</v>
      </c>
      <c r="S479" s="3"/>
    </row>
    <row r="480" spans="1:19" x14ac:dyDescent="0.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'[1]Electricity and CHPs_IN'!F$58-J325</f>
        <v>0</v>
      </c>
      <c r="K480" s="1">
        <f>'[1]Electricity and CHPs_IN'!G$58-K325</f>
        <v>0</v>
      </c>
      <c r="L480" s="1">
        <f>'[1]Electricity and CHPs_IN'!H$58-L325</f>
        <v>0</v>
      </c>
      <c r="M480" s="1">
        <f>'[1]Electricity and CHPs_IN'!I$58-M325</f>
        <v>0</v>
      </c>
      <c r="N480" s="1">
        <f>'[1]Electricity and CHPs_IN'!J$58-N325</f>
        <v>3.182034329683441E-4</v>
      </c>
      <c r="O480" s="1">
        <f>'[1]Electricity and CHPs_IN'!K$58-O325</f>
        <v>5.5104212324182697E-4</v>
      </c>
      <c r="P480" s="1">
        <f>'[1]Electricity and CHPs_IN'!L$58-P325</f>
        <v>4.1196339281244273E-4</v>
      </c>
      <c r="Q480" s="1">
        <f>'[1]Electricity and CHPs_IN'!M$58-Q325</f>
        <v>9.2597627026005025E-4</v>
      </c>
      <c r="S480" s="3"/>
    </row>
    <row r="481" spans="1:19" x14ac:dyDescent="0.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1.9849390584722966</v>
      </c>
      <c r="G481" s="1">
        <f t="shared" ref="G481:K481" si="497">SUM(G482:G491)</f>
        <v>1.5831010820621296</v>
      </c>
      <c r="H481" s="1">
        <f t="shared" si="497"/>
        <v>2.0657370529355426</v>
      </c>
      <c r="I481" s="1">
        <f t="shared" si="497"/>
        <v>2.887497205548041</v>
      </c>
      <c r="J481" s="1">
        <f t="shared" si="497"/>
        <v>2.7054421488065543</v>
      </c>
      <c r="K481" s="1">
        <f t="shared" si="497"/>
        <v>2.1946017946322818</v>
      </c>
      <c r="L481" s="1">
        <f t="shared" ref="L481:O481" si="498">SUM(L482:L491)</f>
        <v>1.1124603265911241</v>
      </c>
      <c r="M481" s="1">
        <f t="shared" si="498"/>
        <v>0.65128343191606786</v>
      </c>
      <c r="N481" s="1">
        <f t="shared" si="498"/>
        <v>8.6824442170396719E-3</v>
      </c>
      <c r="O481" s="1">
        <f t="shared" si="498"/>
        <v>1.050062201103532E-2</v>
      </c>
      <c r="P481" s="1">
        <f>SUM(P482:P491)</f>
        <v>9.3385032950706829E-3</v>
      </c>
      <c r="Q481" s="1">
        <f>SUM(Q482:Q491)</f>
        <v>1.2904732345542083E-2</v>
      </c>
      <c r="S481" s="3"/>
    </row>
    <row r="482" spans="1:19" x14ac:dyDescent="0.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99">F471-F493</f>
        <v>0.99885455336981899</v>
      </c>
      <c r="G482" s="1">
        <f t="shared" ref="G482:K482" si="500">G471-G493</f>
        <v>0.60409253616341974</v>
      </c>
      <c r="H482" s="1">
        <f t="shared" si="500"/>
        <v>7.5701077922950624E-2</v>
      </c>
      <c r="I482" s="1">
        <f t="shared" si="500"/>
        <v>0.58799761804674544</v>
      </c>
      <c r="J482" s="1">
        <f t="shared" si="500"/>
        <v>0.44085461697407768</v>
      </c>
      <c r="K482" s="1">
        <f t="shared" si="500"/>
        <v>0.90306545800647398</v>
      </c>
      <c r="L482" s="1">
        <f t="shared" ref="L482:O482" si="501">L471-L493</f>
        <v>0.8008910430191849</v>
      </c>
      <c r="M482" s="1">
        <f t="shared" si="501"/>
        <v>0.46861016722045512</v>
      </c>
      <c r="N482" s="1">
        <f t="shared" si="501"/>
        <v>6.1804598100947405E-3</v>
      </c>
      <c r="O482" s="1">
        <f t="shared" si="501"/>
        <v>7.4070811942316128E-3</v>
      </c>
      <c r="P482" s="1">
        <f t="shared" ref="P482:Q488" si="502">P471-P493</f>
        <v>6.6127808966740531E-3</v>
      </c>
      <c r="Q482" s="1">
        <f t="shared" si="502"/>
        <v>9.0092482066939095E-3</v>
      </c>
      <c r="S482" s="3"/>
    </row>
    <row r="483" spans="1:19" x14ac:dyDescent="0.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99"/>
        <v>0</v>
      </c>
      <c r="G483" s="1">
        <f t="shared" ref="G483:K483" si="503">G472-G494</f>
        <v>0</v>
      </c>
      <c r="H483" s="1">
        <f t="shared" si="503"/>
        <v>0</v>
      </c>
      <c r="I483" s="1">
        <f t="shared" si="503"/>
        <v>0</v>
      </c>
      <c r="J483" s="1">
        <f t="shared" si="503"/>
        <v>0</v>
      </c>
      <c r="K483" s="1">
        <f t="shared" si="503"/>
        <v>7.2196822344970006E-3</v>
      </c>
      <c r="L483" s="1">
        <f t="shared" ref="L483:O483" si="504">L472-L494</f>
        <v>0.31156928357193925</v>
      </c>
      <c r="M483" s="1">
        <f t="shared" si="504"/>
        <v>0.18267326469561279</v>
      </c>
      <c r="N483" s="1">
        <f t="shared" si="504"/>
        <v>2.4134231961187025E-3</v>
      </c>
      <c r="O483" s="1">
        <f t="shared" si="504"/>
        <v>2.8948746158418137E-3</v>
      </c>
      <c r="P483" s="1">
        <f t="shared" si="502"/>
        <v>2.5834980464346513E-3</v>
      </c>
      <c r="Q483" s="1">
        <f t="shared" si="502"/>
        <v>3.5236229851504652E-3</v>
      </c>
      <c r="S483" s="3"/>
    </row>
    <row r="484" spans="1:19" x14ac:dyDescent="0.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99"/>
        <v>0</v>
      </c>
      <c r="G484" s="1">
        <f t="shared" ref="G484:K484" si="505">G473-G495</f>
        <v>0</v>
      </c>
      <c r="H484" s="1">
        <f t="shared" si="505"/>
        <v>0</v>
      </c>
      <c r="I484" s="1">
        <f t="shared" si="505"/>
        <v>0</v>
      </c>
      <c r="J484" s="1">
        <f t="shared" si="505"/>
        <v>0</v>
      </c>
      <c r="K484" s="1">
        <f t="shared" si="505"/>
        <v>0</v>
      </c>
      <c r="L484" s="1">
        <f t="shared" ref="L484:O484" si="506">L473-L495</f>
        <v>0</v>
      </c>
      <c r="M484" s="1">
        <f t="shared" si="506"/>
        <v>0</v>
      </c>
      <c r="N484" s="1">
        <f t="shared" si="506"/>
        <v>0</v>
      </c>
      <c r="O484" s="1">
        <f t="shared" si="506"/>
        <v>0</v>
      </c>
      <c r="P484" s="1">
        <f t="shared" si="502"/>
        <v>0</v>
      </c>
      <c r="Q484" s="1">
        <f t="shared" si="502"/>
        <v>0</v>
      </c>
      <c r="S484" s="3"/>
    </row>
    <row r="485" spans="1:19" x14ac:dyDescent="0.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99"/>
        <v>4.3353460679245844E-2</v>
      </c>
      <c r="G485" s="1">
        <f t="shared" ref="G485:K485" si="507">G474-G496</f>
        <v>6.1222420225534912E-3</v>
      </c>
      <c r="H485" s="1">
        <f t="shared" si="507"/>
        <v>1.9970223426671489E-2</v>
      </c>
      <c r="I485" s="1">
        <f t="shared" si="507"/>
        <v>1.5309822859643085E-2</v>
      </c>
      <c r="J485" s="1">
        <f t="shared" si="507"/>
        <v>1.4676494293816084E-2</v>
      </c>
      <c r="K485" s="1">
        <f t="shared" si="507"/>
        <v>6.4590258693885075E-3</v>
      </c>
      <c r="L485" s="1">
        <f t="shared" ref="L485:O485" si="508">L474-L496</f>
        <v>0</v>
      </c>
      <c r="M485" s="1">
        <f t="shared" si="508"/>
        <v>0</v>
      </c>
      <c r="N485" s="1">
        <f t="shared" si="508"/>
        <v>3.7007609004988291E-5</v>
      </c>
      <c r="O485" s="1">
        <f t="shared" si="508"/>
        <v>6.7233442773513043E-5</v>
      </c>
      <c r="P485" s="1">
        <f t="shared" si="502"/>
        <v>6.6436570747788887E-5</v>
      </c>
      <c r="Q485" s="1">
        <f t="shared" si="502"/>
        <v>1.1585916950554442E-4</v>
      </c>
      <c r="S485" s="3"/>
    </row>
    <row r="486" spans="1:19" x14ac:dyDescent="0.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99"/>
        <v>0</v>
      </c>
      <c r="G486" s="1">
        <f t="shared" ref="G486:K486" si="509">G475-G497</f>
        <v>0</v>
      </c>
      <c r="H486" s="1">
        <f t="shared" si="509"/>
        <v>0</v>
      </c>
      <c r="I486" s="1">
        <f t="shared" si="509"/>
        <v>0</v>
      </c>
      <c r="J486" s="1">
        <f t="shared" si="509"/>
        <v>0</v>
      </c>
      <c r="K486" s="1">
        <f t="shared" si="509"/>
        <v>0</v>
      </c>
      <c r="L486" s="1">
        <f t="shared" ref="L486:O486" si="510">L475-L497</f>
        <v>0</v>
      </c>
      <c r="M486" s="1">
        <f t="shared" si="510"/>
        <v>0</v>
      </c>
      <c r="N486" s="1">
        <f t="shared" si="510"/>
        <v>0</v>
      </c>
      <c r="O486" s="1">
        <f t="shared" si="510"/>
        <v>0</v>
      </c>
      <c r="P486" s="1">
        <f t="shared" si="502"/>
        <v>0</v>
      </c>
      <c r="Q486" s="1">
        <f t="shared" si="502"/>
        <v>0</v>
      </c>
      <c r="S486" s="3"/>
    </row>
    <row r="487" spans="1:19" x14ac:dyDescent="0.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99"/>
        <v>7.2369062866195974E-2</v>
      </c>
      <c r="G487" s="1">
        <f t="shared" ref="G487:K487" si="511">G476-G498</f>
        <v>6.6017613914037668E-2</v>
      </c>
      <c r="H487" s="1">
        <f t="shared" si="511"/>
        <v>0.26060811936661643</v>
      </c>
      <c r="I487" s="1">
        <f t="shared" si="511"/>
        <v>0.26526638883524767</v>
      </c>
      <c r="J487" s="1">
        <f t="shared" si="511"/>
        <v>0.26081645498427541</v>
      </c>
      <c r="K487" s="1">
        <f t="shared" si="511"/>
        <v>0.10415049446820843</v>
      </c>
      <c r="L487" s="1">
        <f t="shared" ref="L487:O487" si="512">L476-L498</f>
        <v>0</v>
      </c>
      <c r="M487" s="1">
        <f t="shared" si="512"/>
        <v>0</v>
      </c>
      <c r="N487" s="1">
        <f t="shared" si="512"/>
        <v>2.9871251238104864E-5</v>
      </c>
      <c r="O487" s="1">
        <f t="shared" si="512"/>
        <v>9.9054967706560179E-5</v>
      </c>
      <c r="P487" s="1">
        <f t="shared" si="502"/>
        <v>5.7200152517474651E-5</v>
      </c>
      <c r="Q487" s="1">
        <f t="shared" si="502"/>
        <v>1.9766749670284758E-4</v>
      </c>
      <c r="S487" s="3"/>
    </row>
    <row r="488" spans="1:19" x14ac:dyDescent="0.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99"/>
        <v>0</v>
      </c>
      <c r="G488" s="1">
        <f t="shared" ref="G488:K488" si="513">G477-G499</f>
        <v>0</v>
      </c>
      <c r="H488" s="1">
        <f t="shared" si="513"/>
        <v>0</v>
      </c>
      <c r="I488" s="1">
        <f t="shared" si="513"/>
        <v>0</v>
      </c>
      <c r="J488" s="1">
        <f t="shared" si="513"/>
        <v>0</v>
      </c>
      <c r="K488" s="1">
        <f t="shared" si="513"/>
        <v>0</v>
      </c>
      <c r="L488" s="1">
        <f t="shared" ref="L488:O488" si="514">L477-L499</f>
        <v>0</v>
      </c>
      <c r="M488" s="1">
        <f t="shared" si="514"/>
        <v>0</v>
      </c>
      <c r="N488" s="1">
        <f t="shared" si="514"/>
        <v>0</v>
      </c>
      <c r="O488" s="1">
        <f t="shared" si="514"/>
        <v>0</v>
      </c>
      <c r="P488" s="1">
        <f t="shared" si="502"/>
        <v>0</v>
      </c>
      <c r="Q488" s="1">
        <f t="shared" si="502"/>
        <v>0</v>
      </c>
      <c r="S488" s="3"/>
    </row>
    <row r="489" spans="1:19" x14ac:dyDescent="0.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S489" s="3"/>
    </row>
    <row r="490" spans="1:19" x14ac:dyDescent="0.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0.87036198155703592</v>
      </c>
      <c r="G490" s="1">
        <f t="shared" ref="G490:K490" si="515">G479-G501</f>
        <v>0.90686868996211878</v>
      </c>
      <c r="H490" s="1">
        <f t="shared" si="515"/>
        <v>1.709457632219304</v>
      </c>
      <c r="I490" s="1">
        <f t="shared" si="515"/>
        <v>2.0189233758064047</v>
      </c>
      <c r="J490" s="1">
        <f t="shared" si="515"/>
        <v>1.9890945825543849</v>
      </c>
      <c r="K490" s="1">
        <f t="shared" si="515"/>
        <v>1.173707134053714</v>
      </c>
      <c r="L490" s="1">
        <f t="shared" ref="L490:O490" si="516">L479-L501</f>
        <v>0</v>
      </c>
      <c r="M490" s="1">
        <f t="shared" si="516"/>
        <v>0</v>
      </c>
      <c r="N490" s="1">
        <f t="shared" si="516"/>
        <v>1.9755494591494269E-5</v>
      </c>
      <c r="O490" s="1">
        <f t="shared" si="516"/>
        <v>2.7612302996954993E-5</v>
      </c>
      <c r="P490" s="1">
        <f>P479-P501</f>
        <v>1.5922135592100727E-5</v>
      </c>
      <c r="Q490" s="1">
        <f>Q479-Q501</f>
        <v>5.0190791097965218E-5</v>
      </c>
      <c r="S490" s="3"/>
    </row>
    <row r="491" spans="1:19" x14ac:dyDescent="0.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517">G480-G502</f>
        <v>0</v>
      </c>
      <c r="H491" s="1">
        <f t="shared" si="517"/>
        <v>0</v>
      </c>
      <c r="I491" s="1">
        <f t="shared" si="517"/>
        <v>0</v>
      </c>
      <c r="J491" s="1">
        <f t="shared" si="517"/>
        <v>0</v>
      </c>
      <c r="K491" s="1">
        <f t="shared" si="517"/>
        <v>0</v>
      </c>
      <c r="L491" s="1">
        <f t="shared" ref="L491:O491" si="518">L480-L502</f>
        <v>0</v>
      </c>
      <c r="M491" s="1">
        <f t="shared" si="518"/>
        <v>0</v>
      </c>
      <c r="N491" s="1">
        <f t="shared" si="518"/>
        <v>1.9268559916438537E-6</v>
      </c>
      <c r="O491" s="1">
        <f t="shared" si="518"/>
        <v>4.7654874848650827E-6</v>
      </c>
      <c r="P491" s="1">
        <f>P480-P502</f>
        <v>2.6654931046133507E-6</v>
      </c>
      <c r="Q491" s="1">
        <f>Q480-Q502</f>
        <v>8.1436963913503538E-6</v>
      </c>
      <c r="S491" s="3"/>
    </row>
    <row r="492" spans="1:19" x14ac:dyDescent="0.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1.6341285933255438</v>
      </c>
      <c r="G492" s="1">
        <f t="shared" ref="G492:K492" si="519">SUM(G493:G502)</f>
        <v>1.8626054642399268</v>
      </c>
      <c r="H492" s="1">
        <f t="shared" si="519"/>
        <v>1.8879272244368617</v>
      </c>
      <c r="I492" s="1">
        <f t="shared" si="519"/>
        <v>1.7160063154436507</v>
      </c>
      <c r="J492" s="1">
        <f t="shared" si="519"/>
        <v>2.0860130572858977</v>
      </c>
      <c r="K492" s="1">
        <f t="shared" si="519"/>
        <v>2.0415454843691991</v>
      </c>
      <c r="L492" s="1">
        <f t="shared" ref="L492:O492" si="520">SUM(L493:L502)</f>
        <v>4.3253760243630941</v>
      </c>
      <c r="M492" s="1">
        <f t="shared" si="520"/>
        <v>5.0091753018947092</v>
      </c>
      <c r="N492" s="1">
        <f t="shared" si="520"/>
        <v>6.5341219286843923</v>
      </c>
      <c r="O492" s="1">
        <f t="shared" si="520"/>
        <v>7.7830053215921184</v>
      </c>
      <c r="P492" s="1">
        <f>SUM(P493:P502)</f>
        <v>8.2419112891087689</v>
      </c>
      <c r="Q492" s="1">
        <f>SUM(Q493:Q502)</f>
        <v>8.2625117958507488</v>
      </c>
      <c r="R492" s="8"/>
      <c r="S492" s="3"/>
    </row>
    <row r="493" spans="1:19" x14ac:dyDescent="0.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21">IFERROR(F348/F316,0)*F471</f>
        <v>2.6889215235560225E-2</v>
      </c>
      <c r="G493" s="1">
        <f t="shared" ref="G493:K493" si="522">IFERROR(G348/G316,0)*G471</f>
        <v>2.7284549315999582E-2</v>
      </c>
      <c r="H493" s="1">
        <f t="shared" si="522"/>
        <v>5.3296788759985645E-3</v>
      </c>
      <c r="I493" s="1">
        <f t="shared" si="522"/>
        <v>1.2920595503909497E-2</v>
      </c>
      <c r="J493" s="1">
        <f t="shared" si="522"/>
        <v>1.2965749171705281E-2</v>
      </c>
      <c r="K493" s="1">
        <f t="shared" si="522"/>
        <v>8.339859822474098E-2</v>
      </c>
      <c r="L493" s="1">
        <f t="shared" ref="L493:O493" si="523">IFERROR(L348/L316,0)*L471</f>
        <v>0.22468977265067497</v>
      </c>
      <c r="M493" s="1">
        <f t="shared" si="523"/>
        <v>0.5518812117514168</v>
      </c>
      <c r="N493" s="1">
        <f t="shared" si="523"/>
        <v>1.0144684820017147</v>
      </c>
      <c r="O493" s="1">
        <f t="shared" si="523"/>
        <v>0.8490874036317112</v>
      </c>
      <c r="P493" s="1">
        <f t="shared" ref="P493:Q499" si="524">IFERROR(P348/P316,0)*P471</f>
        <v>1.015420871865055</v>
      </c>
      <c r="Q493" s="1">
        <f t="shared" si="524"/>
        <v>1.0153843012805124</v>
      </c>
      <c r="S493" s="3"/>
    </row>
    <row r="494" spans="1:19" x14ac:dyDescent="0.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21"/>
        <v>0</v>
      </c>
      <c r="G494" s="1">
        <f t="shared" ref="G494:K494" si="525">IFERROR(G349/G317,0)*G472</f>
        <v>0</v>
      </c>
      <c r="H494" s="1">
        <f t="shared" si="525"/>
        <v>0</v>
      </c>
      <c r="I494" s="1">
        <f t="shared" si="525"/>
        <v>0</v>
      </c>
      <c r="J494" s="1">
        <f t="shared" si="525"/>
        <v>0</v>
      </c>
      <c r="K494" s="1">
        <f t="shared" si="525"/>
        <v>6.6674167708095455E-4</v>
      </c>
      <c r="L494" s="1">
        <f t="shared" ref="L494:O494" si="526">IFERROR(L349/L317,0)*L472</f>
        <v>8.7410681016987915E-2</v>
      </c>
      <c r="M494" s="1">
        <f t="shared" si="526"/>
        <v>0.21513392095774708</v>
      </c>
      <c r="N494" s="1">
        <f t="shared" si="526"/>
        <v>0.39614233267810972</v>
      </c>
      <c r="O494" s="1">
        <f t="shared" si="526"/>
        <v>0.33184482618047428</v>
      </c>
      <c r="P494" s="1">
        <f t="shared" si="524"/>
        <v>0.39670720681094124</v>
      </c>
      <c r="Q494" s="1">
        <f t="shared" si="524"/>
        <v>0.39712874822280819</v>
      </c>
      <c r="S494" s="3"/>
    </row>
    <row r="495" spans="1:19" x14ac:dyDescent="0.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21"/>
        <v>0</v>
      </c>
      <c r="G495" s="1">
        <f t="shared" ref="G495:K495" si="527">IFERROR(G350/G318,0)*G473</f>
        <v>0</v>
      </c>
      <c r="H495" s="1">
        <f t="shared" si="527"/>
        <v>0</v>
      </c>
      <c r="I495" s="1">
        <f t="shared" si="527"/>
        <v>0</v>
      </c>
      <c r="J495" s="1">
        <f t="shared" si="527"/>
        <v>0</v>
      </c>
      <c r="K495" s="1">
        <f t="shared" si="527"/>
        <v>0</v>
      </c>
      <c r="L495" s="1">
        <f t="shared" ref="L495:O495" si="528">IFERROR(L350/L318,0)*L473</f>
        <v>0</v>
      </c>
      <c r="M495" s="1">
        <f t="shared" si="528"/>
        <v>0</v>
      </c>
      <c r="N495" s="1">
        <f t="shared" si="528"/>
        <v>0</v>
      </c>
      <c r="O495" s="1">
        <f t="shared" si="528"/>
        <v>0</v>
      </c>
      <c r="P495" s="1">
        <f t="shared" si="524"/>
        <v>0</v>
      </c>
      <c r="Q495" s="1">
        <f t="shared" si="524"/>
        <v>0</v>
      </c>
      <c r="S495" s="3"/>
    </row>
    <row r="496" spans="1:19" x14ac:dyDescent="0.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21"/>
        <v>1.167077360240095E-3</v>
      </c>
      <c r="G496" s="1">
        <f t="shared" ref="G496:K496" si="529">IFERROR(G351/G319,0)*G474</f>
        <v>2.7651825571249329E-4</v>
      </c>
      <c r="H496" s="1">
        <f t="shared" si="529"/>
        <v>1.4059889352491576E-3</v>
      </c>
      <c r="I496" s="1">
        <f t="shared" si="529"/>
        <v>3.3641637709871047E-4</v>
      </c>
      <c r="J496" s="1">
        <f t="shared" si="529"/>
        <v>4.3164285096910452E-4</v>
      </c>
      <c r="K496" s="1">
        <f t="shared" si="529"/>
        <v>5.9649463793407637E-4</v>
      </c>
      <c r="L496" s="1">
        <f t="shared" ref="L496:O496" si="530">IFERROR(L351/L319,0)*L474</f>
        <v>0</v>
      </c>
      <c r="M496" s="1">
        <f t="shared" si="530"/>
        <v>0</v>
      </c>
      <c r="N496" s="1">
        <f t="shared" si="530"/>
        <v>6.0744756997664516E-3</v>
      </c>
      <c r="O496" s="1">
        <f t="shared" si="530"/>
        <v>7.7070937748380218E-3</v>
      </c>
      <c r="P496" s="1">
        <f t="shared" si="524"/>
        <v>1.0201620414548189E-2</v>
      </c>
      <c r="Q496" s="1">
        <f t="shared" si="524"/>
        <v>1.3057868889428493E-2</v>
      </c>
      <c r="S496" s="3"/>
    </row>
    <row r="497" spans="1:19" x14ac:dyDescent="0.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21"/>
        <v>0</v>
      </c>
      <c r="G497" s="1">
        <f t="shared" ref="G497:K497" si="531">IFERROR(G352/G320,0)*G475</f>
        <v>0</v>
      </c>
      <c r="H497" s="1">
        <f t="shared" si="531"/>
        <v>0</v>
      </c>
      <c r="I497" s="1">
        <f t="shared" si="531"/>
        <v>0</v>
      </c>
      <c r="J497" s="1">
        <f t="shared" si="531"/>
        <v>0</v>
      </c>
      <c r="K497" s="1">
        <f t="shared" si="531"/>
        <v>0</v>
      </c>
      <c r="L497" s="1">
        <f t="shared" ref="L497:O497" si="532">IFERROR(L352/L320,0)*L475</f>
        <v>0</v>
      </c>
      <c r="M497" s="1">
        <f t="shared" si="532"/>
        <v>0</v>
      </c>
      <c r="N497" s="1">
        <f t="shared" si="532"/>
        <v>0</v>
      </c>
      <c r="O497" s="1">
        <f t="shared" si="532"/>
        <v>0</v>
      </c>
      <c r="P497" s="1">
        <f t="shared" si="524"/>
        <v>0</v>
      </c>
      <c r="Q497" s="1">
        <f t="shared" si="524"/>
        <v>0</v>
      </c>
      <c r="S497" s="3"/>
    </row>
    <row r="498" spans="1:19" x14ac:dyDescent="0.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21"/>
        <v>1.948178842695288E-3</v>
      </c>
      <c r="G498" s="1">
        <f t="shared" ref="G498:K498" si="533">IFERROR(G353/G321,0)*G476</f>
        <v>2.9817631153034162E-3</v>
      </c>
      <c r="H498" s="1">
        <f t="shared" si="533"/>
        <v>1.8347923527795244E-2</v>
      </c>
      <c r="I498" s="1">
        <f t="shared" si="533"/>
        <v>5.8289346856683147E-3</v>
      </c>
      <c r="J498" s="1">
        <f t="shared" si="533"/>
        <v>7.6707390712850857E-3</v>
      </c>
      <c r="K498" s="1">
        <f t="shared" si="533"/>
        <v>9.6183561956147481E-3</v>
      </c>
      <c r="L498" s="1">
        <f t="shared" ref="L498:O498" si="534">IFERROR(L353/L321,0)*L476</f>
        <v>0</v>
      </c>
      <c r="M498" s="1">
        <f t="shared" si="534"/>
        <v>0</v>
      </c>
      <c r="N498" s="1">
        <f t="shared" si="534"/>
        <v>4.9031049193970283E-3</v>
      </c>
      <c r="O498" s="1">
        <f t="shared" si="534"/>
        <v>1.1354853975717947E-2</v>
      </c>
      <c r="P498" s="1">
        <f t="shared" si="524"/>
        <v>8.7833287761461681E-3</v>
      </c>
      <c r="Q498" s="1">
        <f t="shared" si="524"/>
        <v>2.2278049002619444E-2</v>
      </c>
      <c r="S498" s="3"/>
    </row>
    <row r="499" spans="1:19" x14ac:dyDescent="0.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21"/>
        <v>0</v>
      </c>
      <c r="G499" s="1">
        <f t="shared" ref="G499:K499" si="535">IFERROR(G354/G322,0)*G477</f>
        <v>0</v>
      </c>
      <c r="H499" s="1">
        <f t="shared" si="535"/>
        <v>0</v>
      </c>
      <c r="I499" s="1">
        <f t="shared" si="535"/>
        <v>0</v>
      </c>
      <c r="J499" s="1">
        <f t="shared" si="535"/>
        <v>0</v>
      </c>
      <c r="K499" s="1">
        <f t="shared" si="535"/>
        <v>0</v>
      </c>
      <c r="L499" s="1">
        <f t="shared" ref="L499:O499" si="536">IFERROR(L354/L322,0)*L477</f>
        <v>0</v>
      </c>
      <c r="M499" s="1">
        <f t="shared" si="536"/>
        <v>0</v>
      </c>
      <c r="N499" s="1">
        <f t="shared" si="536"/>
        <v>0</v>
      </c>
      <c r="O499" s="1">
        <f t="shared" si="536"/>
        <v>0</v>
      </c>
      <c r="P499" s="1">
        <f t="shared" si="524"/>
        <v>0</v>
      </c>
      <c r="Q499" s="1">
        <f t="shared" si="524"/>
        <v>0</v>
      </c>
      <c r="S499" s="3"/>
    </row>
    <row r="500" spans="1:19" x14ac:dyDescent="0.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1.5806939332014378</v>
      </c>
      <c r="G500" s="1">
        <f t="shared" ref="G500:K500" si="537">G478</f>
        <v>1.7911028434327536</v>
      </c>
      <c r="H500" s="1">
        <f t="shared" si="537"/>
        <v>1.7424905221272342</v>
      </c>
      <c r="I500" s="1">
        <f t="shared" si="537"/>
        <v>1.6525567668970282</v>
      </c>
      <c r="J500" s="1">
        <f t="shared" si="537"/>
        <v>2.0064446849713402</v>
      </c>
      <c r="K500" s="1">
        <f t="shared" si="537"/>
        <v>1.8388727858276486</v>
      </c>
      <c r="L500" s="1">
        <f t="shared" ref="L500:O500" si="538">L478</f>
        <v>4.0132755706954315</v>
      </c>
      <c r="M500" s="1">
        <f t="shared" si="538"/>
        <v>4.2421601691855457</v>
      </c>
      <c r="N500" s="1">
        <f t="shared" si="538"/>
        <v>5.1089745649658731</v>
      </c>
      <c r="O500" s="1">
        <f t="shared" si="538"/>
        <v>6.5792996180808085</v>
      </c>
      <c r="P500" s="1">
        <f>P478</f>
        <v>6.8079440511250278</v>
      </c>
      <c r="Q500" s="1">
        <f>Q478</f>
        <v>6.8080882595833749</v>
      </c>
      <c r="S500" s="3"/>
    </row>
    <row r="501" spans="1:19" x14ac:dyDescent="0.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2.3430188685610445E-2</v>
      </c>
      <c r="G501" s="1">
        <f t="shared" ref="G501:K501" si="539">IFERROR(G356/G324,0)*G479</f>
        <v>4.0959790120157637E-2</v>
      </c>
      <c r="H501" s="1">
        <f t="shared" si="539"/>
        <v>0.12035311097058447</v>
      </c>
      <c r="I501" s="1">
        <f t="shared" si="539"/>
        <v>4.4363601979945808E-2</v>
      </c>
      <c r="J501" s="1">
        <f t="shared" si="539"/>
        <v>5.8500241220598138E-2</v>
      </c>
      <c r="K501" s="1">
        <f t="shared" si="539"/>
        <v>0.10839250780617991</v>
      </c>
      <c r="L501" s="1">
        <f t="shared" ref="L501:O501" si="540">IFERROR(L356/L324,0)*L479</f>
        <v>0</v>
      </c>
      <c r="M501" s="1">
        <f t="shared" si="540"/>
        <v>0</v>
      </c>
      <c r="N501" s="1">
        <f t="shared" si="540"/>
        <v>3.2426918425538403E-3</v>
      </c>
      <c r="O501" s="1">
        <f t="shared" si="540"/>
        <v>3.1652493128110095E-3</v>
      </c>
      <c r="P501" s="1">
        <f>IFERROR(P356/P324,0)*P479</f>
        <v>2.4449122173420476E-3</v>
      </c>
      <c r="Q501" s="1">
        <f>IFERROR(Q356/Q324,0)*Q479</f>
        <v>5.656736298136171E-3</v>
      </c>
      <c r="S501" s="3"/>
    </row>
    <row r="502" spans="1:19" x14ac:dyDescent="0.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41">IFERROR(G357/G325,0)*G480</f>
        <v>0</v>
      </c>
      <c r="H502" s="1">
        <f t="shared" si="541"/>
        <v>0</v>
      </c>
      <c r="I502" s="1">
        <f t="shared" si="541"/>
        <v>0</v>
      </c>
      <c r="J502" s="1">
        <f t="shared" si="541"/>
        <v>0</v>
      </c>
      <c r="K502" s="1">
        <f t="shared" si="541"/>
        <v>0</v>
      </c>
      <c r="L502" s="1">
        <f t="shared" ref="L502:O502" si="542">IFERROR(L357/L325,0)*L480</f>
        <v>0</v>
      </c>
      <c r="M502" s="1">
        <f t="shared" si="542"/>
        <v>0</v>
      </c>
      <c r="N502" s="1">
        <f t="shared" si="542"/>
        <v>3.1627657697670024E-4</v>
      </c>
      <c r="O502" s="1">
        <f t="shared" si="542"/>
        <v>5.4627663575696189E-4</v>
      </c>
      <c r="P502" s="1">
        <f>IFERROR(P357/P325,0)*P480</f>
        <v>4.0929789970782938E-4</v>
      </c>
      <c r="Q502" s="1">
        <f>IFERROR(Q357/Q325,0)*Q480</f>
        <v>9.1783257386869989E-4</v>
      </c>
      <c r="S502" s="3"/>
    </row>
    <row r="503" spans="1:19" x14ac:dyDescent="0.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3.317518052410906</v>
      </c>
      <c r="G503" s="1">
        <f t="shared" ref="G503:K503" si="543">SUM(G504:G505)</f>
        <v>3.304657431307402</v>
      </c>
      <c r="H503" s="1">
        <f t="shared" si="543"/>
        <v>4.7994786119516863</v>
      </c>
      <c r="I503" s="1">
        <f t="shared" si="543"/>
        <v>4.6781478807150494</v>
      </c>
      <c r="J503" s="1">
        <f t="shared" si="543"/>
        <v>4.5421194134310579</v>
      </c>
      <c r="K503" s="1">
        <f t="shared" si="543"/>
        <v>4.5493202754009179</v>
      </c>
      <c r="L503" s="1">
        <f t="shared" ref="L503:O503" si="544">SUM(L504:L505)</f>
        <v>10.679220965149486</v>
      </c>
      <c r="M503" s="1">
        <f t="shared" si="544"/>
        <v>10.630611027750572</v>
      </c>
      <c r="N503" s="1">
        <f t="shared" si="544"/>
        <v>10.630169800196233</v>
      </c>
      <c r="O503" s="1">
        <f t="shared" si="544"/>
        <v>10.628674847024948</v>
      </c>
      <c r="P503" s="1">
        <f>SUM(P504:P505)</f>
        <v>10.630184778137473</v>
      </c>
      <c r="Q503" s="1">
        <f>SUM(Q504:Q505)</f>
        <v>10.631046078895842</v>
      </c>
      <c r="S503" s="3"/>
    </row>
    <row r="504" spans="1:19" x14ac:dyDescent="0.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3.317518052410906</v>
      </c>
      <c r="G504" s="6">
        <f>'[1]Electricity and CHPs_IN'!C$44-G363</f>
        <v>3.304657431307402</v>
      </c>
      <c r="H504" s="6">
        <f>'[1]Electricity and CHPs_IN'!D$44-H363</f>
        <v>4.7994786119516863</v>
      </c>
      <c r="I504" s="6">
        <f>'[1]Electricity and CHPs_IN'!E$44-I363</f>
        <v>4.6781478807150494</v>
      </c>
      <c r="J504" s="6">
        <f>'[1]Electricity and CHPs_IN'!F$44-J363</f>
        <v>4.5421194134310579</v>
      </c>
      <c r="K504" s="6">
        <f>'[1]Electricity and CHPs_IN'!G$44-K363</f>
        <v>3.7263150973043682</v>
      </c>
      <c r="L504" s="6">
        <f>'[1]Electricity and CHPs_IN'!H$44-L363</f>
        <v>2.0722301220381005E-3</v>
      </c>
      <c r="M504" s="6">
        <f>'[1]Electricity and CHPs_IN'!I$44-M363</f>
        <v>7.9979596131796833E-4</v>
      </c>
      <c r="N504" s="6">
        <f>'[1]Electricity and CHPs_IN'!J$44-N363</f>
        <v>1.2787005282429884E-3</v>
      </c>
      <c r="O504" s="6">
        <f>'[1]Electricity and CHPs_IN'!K$44-O363</f>
        <v>2.2226867391377855E-3</v>
      </c>
      <c r="P504" s="6">
        <f>'[1]Electricity and CHPs_IN'!L$44-P363</f>
        <v>1.3827570149279745E-3</v>
      </c>
      <c r="Q504" s="6">
        <f>'[1]Electricity and CHPs_IN'!M$44-Q363</f>
        <v>5.0595227154914227E-4</v>
      </c>
      <c r="S504" s="3"/>
    </row>
    <row r="505" spans="1:19" x14ac:dyDescent="0.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0.82300517809655016</v>
      </c>
      <c r="L505" s="1">
        <f>'[1]Electricity and CHPs_IN'!H$45</f>
        <v>10.677148735027448</v>
      </c>
      <c r="M505" s="1">
        <f>'[1]Electricity and CHPs_IN'!I$45</f>
        <v>10.629811231789253</v>
      </c>
      <c r="N505" s="1">
        <f>'[1]Electricity and CHPs_IN'!J$45</f>
        <v>10.628891099667991</v>
      </c>
      <c r="O505" s="1">
        <f>'[1]Electricity and CHPs_IN'!K$45</f>
        <v>10.62645216028581</v>
      </c>
      <c r="P505" s="1">
        <f>'[1]Electricity and CHPs_IN'!L$45</f>
        <v>10.628802021122544</v>
      </c>
      <c r="Q505" s="1">
        <f>'[1]Electricity and CHPs_IN'!M$45</f>
        <v>10.630540126624293</v>
      </c>
      <c r="S505" s="3"/>
    </row>
    <row r="506" spans="1:19" x14ac:dyDescent="0.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45">SUM(G507:G508)</f>
        <v>0</v>
      </c>
      <c r="H506" s="1">
        <f t="shared" si="545"/>
        <v>0</v>
      </c>
      <c r="I506" s="1">
        <f t="shared" si="545"/>
        <v>0</v>
      </c>
      <c r="J506" s="1">
        <f t="shared" si="545"/>
        <v>0</v>
      </c>
      <c r="K506" s="1">
        <f t="shared" si="545"/>
        <v>0</v>
      </c>
      <c r="L506" s="1">
        <f t="shared" ref="L506:O506" si="546">SUM(L507:L508)</f>
        <v>0</v>
      </c>
      <c r="M506" s="1">
        <f t="shared" si="546"/>
        <v>0</v>
      </c>
      <c r="N506" s="1">
        <f t="shared" si="546"/>
        <v>0</v>
      </c>
      <c r="O506" s="1">
        <f t="shared" si="546"/>
        <v>0</v>
      </c>
      <c r="P506" s="1">
        <f>SUM(P507:P508)</f>
        <v>0</v>
      </c>
      <c r="Q506" s="1">
        <f>SUM(Q507:Q508)</f>
        <v>0</v>
      </c>
      <c r="S506" s="3"/>
    </row>
    <row r="507" spans="1:19" x14ac:dyDescent="0.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S507" s="3"/>
    </row>
    <row r="508" spans="1:19" x14ac:dyDescent="0.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S508" s="3"/>
    </row>
    <row r="509" spans="1:19" x14ac:dyDescent="0.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3.317518052410906</v>
      </c>
      <c r="G509" s="1">
        <f t="shared" ref="G509:K509" si="547">SUM(G510:G511)</f>
        <v>3.304657431307402</v>
      </c>
      <c r="H509" s="1">
        <f t="shared" si="547"/>
        <v>4.7994786119516863</v>
      </c>
      <c r="I509" s="1">
        <f t="shared" si="547"/>
        <v>4.6781478807150494</v>
      </c>
      <c r="J509" s="1">
        <f t="shared" si="547"/>
        <v>4.5421194134310579</v>
      </c>
      <c r="K509" s="1">
        <f t="shared" si="547"/>
        <v>4.5493202754009179</v>
      </c>
      <c r="L509" s="1">
        <f t="shared" ref="L509:O509" si="548">SUM(L510:L511)</f>
        <v>10.679220965149486</v>
      </c>
      <c r="M509" s="1">
        <f t="shared" si="548"/>
        <v>10.630611027750572</v>
      </c>
      <c r="N509" s="1">
        <f t="shared" si="548"/>
        <v>10.630169800196233</v>
      </c>
      <c r="O509" s="1">
        <f t="shared" si="548"/>
        <v>10.628674847024948</v>
      </c>
      <c r="P509" s="1">
        <f>SUM(P510:P511)</f>
        <v>10.630184778137473</v>
      </c>
      <c r="Q509" s="1">
        <f>SUM(Q510:Q511)</f>
        <v>10.631046078895842</v>
      </c>
      <c r="S509" s="3"/>
    </row>
    <row r="510" spans="1:19" x14ac:dyDescent="0.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3.317518052410906</v>
      </c>
      <c r="G510" s="1">
        <f t="shared" ref="G510:K510" si="549">G504</f>
        <v>3.304657431307402</v>
      </c>
      <c r="H510" s="1">
        <f t="shared" si="549"/>
        <v>4.7994786119516863</v>
      </c>
      <c r="I510" s="1">
        <f t="shared" si="549"/>
        <v>4.6781478807150494</v>
      </c>
      <c r="J510" s="1">
        <f t="shared" si="549"/>
        <v>4.5421194134310579</v>
      </c>
      <c r="K510" s="1">
        <f t="shared" si="549"/>
        <v>3.7263150973043682</v>
      </c>
      <c r="L510" s="1">
        <f t="shared" ref="L510:O510" si="550">L504</f>
        <v>2.0722301220381005E-3</v>
      </c>
      <c r="M510" s="1">
        <f t="shared" si="550"/>
        <v>7.9979596131796833E-4</v>
      </c>
      <c r="N510" s="1">
        <f t="shared" si="550"/>
        <v>1.2787005282429884E-3</v>
      </c>
      <c r="O510" s="1">
        <f t="shared" si="550"/>
        <v>2.2226867391377855E-3</v>
      </c>
      <c r="P510" s="1">
        <f>P504</f>
        <v>1.3827570149279745E-3</v>
      </c>
      <c r="Q510" s="1">
        <f>Q504</f>
        <v>5.0595227154914227E-4</v>
      </c>
      <c r="S510" s="3"/>
    </row>
    <row r="511" spans="1:19" x14ac:dyDescent="0.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51">G505</f>
        <v>0</v>
      </c>
      <c r="H511" s="1">
        <f t="shared" si="551"/>
        <v>0</v>
      </c>
      <c r="I511" s="1">
        <f t="shared" si="551"/>
        <v>0</v>
      </c>
      <c r="J511" s="1">
        <f t="shared" si="551"/>
        <v>0</v>
      </c>
      <c r="K511" s="1">
        <f t="shared" si="551"/>
        <v>0.82300517809655016</v>
      </c>
      <c r="L511" s="1">
        <f t="shared" ref="L511:O511" si="552">L505</f>
        <v>10.677148735027448</v>
      </c>
      <c r="M511" s="1">
        <f t="shared" si="552"/>
        <v>10.629811231789253</v>
      </c>
      <c r="N511" s="1">
        <f t="shared" si="552"/>
        <v>10.628891099667991</v>
      </c>
      <c r="O511" s="1">
        <f t="shared" si="552"/>
        <v>10.62645216028581</v>
      </c>
      <c r="P511" s="1">
        <f>P505</f>
        <v>10.628802021122544</v>
      </c>
      <c r="Q511" s="1">
        <f>Q505</f>
        <v>10.630540126624293</v>
      </c>
      <c r="S511" s="3"/>
    </row>
    <row r="512" spans="1:19" x14ac:dyDescent="0.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0.69196228385011649</v>
      </c>
      <c r="G512" s="1">
        <f t="shared" ref="G512:K512" si="553">SUM(G513:G517)</f>
        <v>0.84800078836566506</v>
      </c>
      <c r="H512" s="1">
        <f t="shared" si="553"/>
        <v>3.3954363155813523</v>
      </c>
      <c r="I512" s="1">
        <f t="shared" si="553"/>
        <v>3.5624846040217824</v>
      </c>
      <c r="J512" s="1">
        <f t="shared" si="553"/>
        <v>3.7962445092843913</v>
      </c>
      <c r="K512" s="1">
        <f t="shared" si="553"/>
        <v>6.8526088646128853</v>
      </c>
      <c r="L512" s="1">
        <f t="shared" ref="L512:O512" si="554">SUM(L513:L517)</f>
        <v>8.185179161897171</v>
      </c>
      <c r="M512" s="1">
        <f t="shared" si="554"/>
        <v>8.9682745452680201</v>
      </c>
      <c r="N512" s="1">
        <f t="shared" si="554"/>
        <v>8.8902255616770436</v>
      </c>
      <c r="O512" s="1">
        <f t="shared" si="554"/>
        <v>8.9617774952887999</v>
      </c>
      <c r="P512" s="1">
        <f>SUM(P513:P517)</f>
        <v>8.9332705515860162</v>
      </c>
      <c r="Q512" s="1">
        <f>SUM(Q513:Q517)</f>
        <v>8.954325811012998</v>
      </c>
      <c r="S512" s="3"/>
    </row>
    <row r="513" spans="1:19" x14ac:dyDescent="0.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0.69196228385011649</v>
      </c>
      <c r="G513" s="6">
        <f>'[1]Electricity and CHPs_IN'!C$42-G382</f>
        <v>0.84800078836566506</v>
      </c>
      <c r="H513" s="6">
        <f>'[1]Electricity and CHPs_IN'!D$42-H382</f>
        <v>3.3954363155813523</v>
      </c>
      <c r="I513" s="6">
        <f>'[1]Electricity and CHPs_IN'!E$42-I382</f>
        <v>3.5558597466769148</v>
      </c>
      <c r="J513" s="6">
        <f>'[1]Electricity and CHPs_IN'!F$42-J382</f>
        <v>3.7864447159156889</v>
      </c>
      <c r="K513" s="6">
        <f>'[1]Electricity and CHPs_IN'!G$42-K382</f>
        <v>1.2553742903166569</v>
      </c>
      <c r="L513" s="6">
        <f>'[1]Electricity and CHPs_IN'!H$42-L382</f>
        <v>0.35665592365341481</v>
      </c>
      <c r="M513" s="6">
        <f>'[1]Electricity and CHPs_IN'!I$42-M382</f>
        <v>2.1140434352855844E-3</v>
      </c>
      <c r="N513" s="6">
        <f>'[1]Electricity and CHPs_IN'!J$42-N382</f>
        <v>1.8666780848570421E-3</v>
      </c>
      <c r="O513" s="6">
        <f>'[1]Electricity and CHPs_IN'!K$42-O382</f>
        <v>2.7859274848417766E-3</v>
      </c>
      <c r="P513" s="6">
        <f>'[1]Electricity and CHPs_IN'!L$42-P382</f>
        <v>1.8938974250383978E-3</v>
      </c>
      <c r="Q513" s="6">
        <f>'[1]Electricity and CHPs_IN'!M$42-Q382</f>
        <v>3.3949963516221732E-3</v>
      </c>
      <c r="S513" s="3"/>
    </row>
    <row r="514" spans="1:19" x14ac:dyDescent="0.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5.1491098325759559</v>
      </c>
      <c r="L514" s="1">
        <f>'[1]Electricity and CHPs_IN'!H$43-L383</f>
        <v>7.290540490943048</v>
      </c>
      <c r="M514" s="1">
        <f>'[1]Electricity and CHPs_IN'!I$43-M383</f>
        <v>8.4514079199023797</v>
      </c>
      <c r="N514" s="1">
        <f>'[1]Electricity and CHPs_IN'!J$43-N383</f>
        <v>8.3834692525021968</v>
      </c>
      <c r="O514" s="1">
        <f>'[1]Electricity and CHPs_IN'!K$43-O383</f>
        <v>8.4562481134921761</v>
      </c>
      <c r="P514" s="1">
        <f>'[1]Electricity and CHPs_IN'!L$43-P383</f>
        <v>8.4332896494907335</v>
      </c>
      <c r="Q514" s="1">
        <f>'[1]Electricity and CHPs_IN'!M$43-Q383</f>
        <v>8.4563667931276925</v>
      </c>
      <c r="S514" s="3"/>
    </row>
    <row r="515" spans="1:19" x14ac:dyDescent="0.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2.295225501902305E-3</v>
      </c>
      <c r="J515" s="1">
        <f>'[1]Electricity and CHPs_IN'!F$50-J384</f>
        <v>3.5892189074379069E-3</v>
      </c>
      <c r="K515" s="1">
        <f>'[1]Electricity and CHPs_IN'!G$50-K384</f>
        <v>1.249299889121477E-2</v>
      </c>
      <c r="L515" s="1">
        <f>'[1]Electricity and CHPs_IN'!H$50-L384</f>
        <v>1.4617475514713575E-2</v>
      </c>
      <c r="M515" s="1">
        <f>'[1]Electricity and CHPs_IN'!I$50-M384</f>
        <v>1.7858280916423625E-2</v>
      </c>
      <c r="N515" s="1">
        <f>'[1]Electricity and CHPs_IN'!J$50-N384</f>
        <v>9.5939358729949901E-3</v>
      </c>
      <c r="O515" s="1">
        <f>'[1]Electricity and CHPs_IN'!K$50-O384</f>
        <v>1.0630857641925694E-2</v>
      </c>
      <c r="P515" s="1">
        <f>'[1]Electricity and CHPs_IN'!L$50-P384</f>
        <v>9.3030372875733316E-3</v>
      </c>
      <c r="Q515" s="1">
        <f>'[1]Electricity and CHPs_IN'!M$50-Q384</f>
        <v>1.4175031819227555E-2</v>
      </c>
      <c r="S515" s="3"/>
    </row>
    <row r="516" spans="1:19" x14ac:dyDescent="0.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2.8984695229598923E-3</v>
      </c>
      <c r="J516" s="1">
        <f>'[1]Electricity and CHPs_IN'!F$53-J385</f>
        <v>4.5998818595601827E-3</v>
      </c>
      <c r="K516" s="1">
        <f>'[1]Electricity and CHPs_IN'!G$53-K385</f>
        <v>0.42468088850529628</v>
      </c>
      <c r="L516" s="1">
        <f>'[1]Electricity and CHPs_IN'!H$53-L385</f>
        <v>0.51447144464833949</v>
      </c>
      <c r="M516" s="1">
        <f>'[1]Electricity and CHPs_IN'!I$53-M385</f>
        <v>0.49288933271872937</v>
      </c>
      <c r="N516" s="1">
        <f>'[1]Electricity and CHPs_IN'!J$53-N385</f>
        <v>0.49019458446910591</v>
      </c>
      <c r="O516" s="1">
        <f>'[1]Electricity and CHPs_IN'!K$53-O385</f>
        <v>0.48791494945359598</v>
      </c>
      <c r="P516" s="1">
        <f>'[1]Electricity and CHPs_IN'!L$53-P385</f>
        <v>0.48567879163838079</v>
      </c>
      <c r="Q516" s="1">
        <f>'[1]Electricity and CHPs_IN'!M$53-Q385</f>
        <v>0.47401443777041757</v>
      </c>
      <c r="S516" s="3"/>
    </row>
    <row r="517" spans="1:19" x14ac:dyDescent="0.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1.4311623200056857E-3</v>
      </c>
      <c r="J517" s="1">
        <f>'[1]Electricity and CHPs_IN'!F$56-J386</f>
        <v>1.6106926017042966E-3</v>
      </c>
      <c r="K517" s="1">
        <f>'[1]Electricity and CHPs_IN'!G$56-K386</f>
        <v>1.0950854323760927E-2</v>
      </c>
      <c r="L517" s="1">
        <f>'[1]Electricity and CHPs_IN'!H$56-L386</f>
        <v>8.8938271376551963E-3</v>
      </c>
      <c r="M517" s="1">
        <f>'[1]Electricity and CHPs_IN'!I$56-M386</f>
        <v>4.004968295201511E-3</v>
      </c>
      <c r="N517" s="1">
        <f>'[1]Electricity and CHPs_IN'!J$56-N386</f>
        <v>5.1011107478874766E-3</v>
      </c>
      <c r="O517" s="1">
        <f>'[1]Electricity and CHPs_IN'!K$56-O386</f>
        <v>4.1976472162583963E-3</v>
      </c>
      <c r="P517" s="1">
        <f>'[1]Electricity and CHPs_IN'!L$56-P386</f>
        <v>3.1051757442896464E-3</v>
      </c>
      <c r="Q517" s="1">
        <f>'[1]Electricity and CHPs_IN'!M$56-Q386</f>
        <v>6.3745519440376085E-3</v>
      </c>
      <c r="S517" s="3"/>
    </row>
    <row r="518" spans="1:19" x14ac:dyDescent="0.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55">SUM(G519:G520)</f>
        <v>0</v>
      </c>
      <c r="H518" s="1">
        <f t="shared" si="555"/>
        <v>0</v>
      </c>
      <c r="I518" s="1">
        <f t="shared" si="555"/>
        <v>7.2222014885404712E-3</v>
      </c>
      <c r="J518" s="1">
        <f t="shared" si="555"/>
        <v>0.58332336313485378</v>
      </c>
      <c r="K518" s="1">
        <f t="shared" si="555"/>
        <v>2.0199723330447825</v>
      </c>
      <c r="L518" s="1">
        <f t="shared" ref="L518:O518" si="556">SUM(L519:L520)</f>
        <v>2.5273663658761825</v>
      </c>
      <c r="M518" s="1">
        <f t="shared" si="556"/>
        <v>2.2956629562155575</v>
      </c>
      <c r="N518" s="1">
        <f t="shared" si="556"/>
        <v>2.2855309669124866</v>
      </c>
      <c r="O518" s="1">
        <f t="shared" si="556"/>
        <v>2.2568214917724458</v>
      </c>
      <c r="P518" s="1">
        <f>SUM(P519:P520)</f>
        <v>2.2447471386075795</v>
      </c>
      <c r="Q518" s="1">
        <f>SUM(Q519:Q520)</f>
        <v>2.2544073406955465</v>
      </c>
      <c r="S518" s="3"/>
    </row>
    <row r="519" spans="1:19" x14ac:dyDescent="0.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6.1662774687363982E-3</v>
      </c>
      <c r="J519" s="1">
        <f>'[1]Electricity and CHPs_IN'!F$46-J399</f>
        <v>0.58091988220915414</v>
      </c>
      <c r="K519" s="1">
        <f>'[1]Electricity and CHPs_IN'!G$46-K399</f>
        <v>2.0089697895860059</v>
      </c>
      <c r="L519" s="1">
        <f>'[1]Electricity and CHPs_IN'!H$46-L399</f>
        <v>2.4868703885269463</v>
      </c>
      <c r="M519" s="1">
        <f>'[1]Electricity and CHPs_IN'!I$46-M399</f>
        <v>2.238811981422753</v>
      </c>
      <c r="N519" s="1">
        <f>'[1]Electricity and CHPs_IN'!J$46-N399</f>
        <v>2.2388124033774135</v>
      </c>
      <c r="O519" s="1">
        <f>'[1]Electricity and CHPs_IN'!K$46-O399</f>
        <v>2.2388116286826873</v>
      </c>
      <c r="P519" s="1">
        <f>'[1]Electricity and CHPs_IN'!L$46-P399</f>
        <v>2.2388120410824053</v>
      </c>
      <c r="Q519" s="1">
        <f>'[1]Electricity and CHPs_IN'!M$46-Q399</f>
        <v>2.2388132362767976</v>
      </c>
      <c r="S519" s="3"/>
    </row>
    <row r="520" spans="1:19" x14ac:dyDescent="0.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1.0559240198040728E-3</v>
      </c>
      <c r="J520" s="1">
        <f>'[1]Electricity and CHPs_IN'!F$57-J400</f>
        <v>2.4034809256996445E-3</v>
      </c>
      <c r="K520" s="1">
        <f>'[1]Electricity and CHPs_IN'!G$57-K400</f>
        <v>1.1002543458776538E-2</v>
      </c>
      <c r="L520" s="1">
        <f>'[1]Electricity and CHPs_IN'!H$57-L400</f>
        <v>4.0495977349236378E-2</v>
      </c>
      <c r="M520" s="1">
        <f>'[1]Electricity and CHPs_IN'!I$57-M400</f>
        <v>5.6850974792804418E-2</v>
      </c>
      <c r="N520" s="1">
        <f>'[1]Electricity and CHPs_IN'!J$57-N400</f>
        <v>4.6718563535073199E-2</v>
      </c>
      <c r="O520" s="1">
        <f>'[1]Electricity and CHPs_IN'!K$57-O400</f>
        <v>1.8009863089758403E-2</v>
      </c>
      <c r="P520" s="1">
        <f>'[1]Electricity and CHPs_IN'!L$57-P400</f>
        <v>5.9350975251740573E-3</v>
      </c>
      <c r="Q520" s="1">
        <f>'[1]Electricity and CHPs_IN'!M$57-Q400</f>
        <v>1.559410441874905E-2</v>
      </c>
      <c r="S520" s="3"/>
    </row>
    <row r="521" spans="1:19" x14ac:dyDescent="0.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M521" s="12" t="s">
        <v>292</v>
      </c>
      <c r="N521" s="12" t="s">
        <v>292</v>
      </c>
      <c r="O521" s="12" t="s">
        <v>292</v>
      </c>
      <c r="P521" s="12" t="s">
        <v>292</v>
      </c>
      <c r="Q521" s="12" t="s">
        <v>292</v>
      </c>
      <c r="S521" s="3"/>
    </row>
    <row r="522" spans="1:19" x14ac:dyDescent="0.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57">IFERROR(F65/F293,"-")</f>
        <v>0.32978920544790874</v>
      </c>
      <c r="G522" s="13">
        <f t="shared" si="557"/>
        <v>0.32669882518260912</v>
      </c>
      <c r="H522" s="13">
        <f t="shared" si="557"/>
        <v>0.32597836113320167</v>
      </c>
      <c r="I522" s="13">
        <f t="shared" si="557"/>
        <v>0.32987655162624546</v>
      </c>
      <c r="J522" s="13">
        <f t="shared" si="557"/>
        <v>0.33008898350358634</v>
      </c>
      <c r="K522" s="13">
        <f t="shared" si="557"/>
        <v>0.33157933201783224</v>
      </c>
      <c r="L522" s="13" t="str">
        <f t="shared" ref="L522:O522" si="558">IFERROR(L65/L293,"-")</f>
        <v>-</v>
      </c>
      <c r="M522" s="13" t="str">
        <f t="shared" si="558"/>
        <v>-</v>
      </c>
      <c r="N522" s="13">
        <f t="shared" si="558"/>
        <v>0.3953911194925227</v>
      </c>
      <c r="O522" s="13">
        <f t="shared" si="558"/>
        <v>0.3943377730128737</v>
      </c>
      <c r="P522" s="13">
        <f>IFERROR(P65/P293,"-")</f>
        <v>0.3984692361502038</v>
      </c>
      <c r="Q522" s="13">
        <f>IFERROR(Q65/Q293,"-")</f>
        <v>0.39914415705471956</v>
      </c>
      <c r="S522" s="3"/>
    </row>
    <row r="523" spans="1:19" x14ac:dyDescent="0.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59">IFERROR(F67/F295,"-")</f>
        <v>1</v>
      </c>
      <c r="G523" s="13">
        <f t="shared" si="559"/>
        <v>1</v>
      </c>
      <c r="H523" s="13">
        <f t="shared" si="559"/>
        <v>1</v>
      </c>
      <c r="I523" s="13">
        <f t="shared" si="559"/>
        <v>1</v>
      </c>
      <c r="J523" s="13">
        <f t="shared" si="559"/>
        <v>1</v>
      </c>
      <c r="K523" s="13">
        <f t="shared" si="559"/>
        <v>1</v>
      </c>
      <c r="L523" s="13">
        <f t="shared" ref="L523:O523" si="560">IFERROR(L67/L295,"-")</f>
        <v>1</v>
      </c>
      <c r="M523" s="13">
        <f t="shared" si="560"/>
        <v>1</v>
      </c>
      <c r="N523" s="13">
        <f t="shared" si="560"/>
        <v>1</v>
      </c>
      <c r="O523" s="13">
        <f t="shared" si="560"/>
        <v>1</v>
      </c>
      <c r="P523" s="13">
        <f t="shared" ref="P523:Q525" si="561">IFERROR(P67/P295,"-")</f>
        <v>1</v>
      </c>
      <c r="Q523" s="13">
        <f t="shared" si="561"/>
        <v>1</v>
      </c>
      <c r="S523" s="3"/>
    </row>
    <row r="524" spans="1:19" x14ac:dyDescent="0.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59"/>
        <v>1</v>
      </c>
      <c r="G524" s="13">
        <f t="shared" si="559"/>
        <v>1</v>
      </c>
      <c r="H524" s="13">
        <f t="shared" si="559"/>
        <v>1</v>
      </c>
      <c r="I524" s="13">
        <f t="shared" si="559"/>
        <v>1</v>
      </c>
      <c r="J524" s="13">
        <f t="shared" si="559"/>
        <v>1</v>
      </c>
      <c r="K524" s="13">
        <f t="shared" si="559"/>
        <v>1</v>
      </c>
      <c r="L524" s="13">
        <f t="shared" ref="L524:O524" si="562">IFERROR(L68/L296,"-")</f>
        <v>1</v>
      </c>
      <c r="M524" s="13">
        <f t="shared" si="562"/>
        <v>1</v>
      </c>
      <c r="N524" s="13">
        <f t="shared" si="562"/>
        <v>1</v>
      </c>
      <c r="O524" s="13">
        <f t="shared" si="562"/>
        <v>1</v>
      </c>
      <c r="P524" s="13">
        <f t="shared" si="561"/>
        <v>1</v>
      </c>
      <c r="Q524" s="13">
        <f t="shared" si="561"/>
        <v>1</v>
      </c>
      <c r="S524" s="3"/>
    </row>
    <row r="525" spans="1:19" x14ac:dyDescent="0.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59"/>
        <v>0.79999998956456042</v>
      </c>
      <c r="G525" s="13">
        <f t="shared" si="559"/>
        <v>0.7999999873327639</v>
      </c>
      <c r="H525" s="13">
        <f t="shared" si="559"/>
        <v>0.79999997902334063</v>
      </c>
      <c r="I525" s="13">
        <f t="shared" si="559"/>
        <v>0.79999999707133618</v>
      </c>
      <c r="J525" s="13">
        <f t="shared" si="559"/>
        <v>0.79999998515394255</v>
      </c>
      <c r="K525" s="13">
        <f t="shared" si="559"/>
        <v>0.80000001930801723</v>
      </c>
      <c r="L525" s="13">
        <f t="shared" ref="L525:O525" si="563">IFERROR(L69/L297,"-")</f>
        <v>0.80000001907165175</v>
      </c>
      <c r="M525" s="13">
        <f t="shared" si="563"/>
        <v>0.80000002521600788</v>
      </c>
      <c r="N525" s="13">
        <f t="shared" si="563"/>
        <v>0.80000002527262948</v>
      </c>
      <c r="O525" s="13">
        <f t="shared" si="563"/>
        <v>0.80000002696127204</v>
      </c>
      <c r="P525" s="13">
        <f t="shared" si="561"/>
        <v>0.80000002260609759</v>
      </c>
      <c r="Q525" s="13">
        <f t="shared" si="561"/>
        <v>0.80000002851608343</v>
      </c>
      <c r="S525" s="3"/>
    </row>
    <row r="526" spans="1:19" x14ac:dyDescent="0.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0.3327134035501853</v>
      </c>
      <c r="G526" s="13">
        <f t="shared" ref="G526:K526" si="564">IFERROR(G71/G299,"-")</f>
        <v>5.7033094723011761E-2</v>
      </c>
      <c r="H526" s="13">
        <f t="shared" si="564"/>
        <v>0.29316292801110388</v>
      </c>
      <c r="I526" s="13">
        <f t="shared" si="564"/>
        <v>0.26999095064032413</v>
      </c>
      <c r="J526" s="13">
        <f t="shared" si="564"/>
        <v>0.30144451762442376</v>
      </c>
      <c r="K526" s="13">
        <f t="shared" si="564"/>
        <v>0.34739726388343406</v>
      </c>
      <c r="L526" s="13">
        <f t="shared" ref="L526:O526" si="565">IFERROR(L71/L299,"-")</f>
        <v>0.34506606473846019</v>
      </c>
      <c r="M526" s="13">
        <f t="shared" si="565"/>
        <v>0.31076342849290683</v>
      </c>
      <c r="N526" s="13">
        <f t="shared" si="565"/>
        <v>0.31076123198562133</v>
      </c>
      <c r="O526" s="13">
        <f t="shared" si="565"/>
        <v>0.30694616459093171</v>
      </c>
      <c r="P526" s="13">
        <f>IFERROR(P71/P299,"-")</f>
        <v>0.3034049265550513</v>
      </c>
      <c r="Q526" s="13">
        <f>IFERROR(Q71/Q299,"-")</f>
        <v>0.30422704861564348</v>
      </c>
      <c r="S526" s="3"/>
    </row>
    <row r="527" spans="1:19" x14ac:dyDescent="0.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8.7865105296525303E-2</v>
      </c>
      <c r="G527" s="13">
        <f t="shared" ref="G527:K527" si="566">IFERROR(G72/(G300+G413),"-")</f>
        <v>3.2122664716810821E-2</v>
      </c>
      <c r="H527" s="13">
        <f t="shared" si="566"/>
        <v>9.7113209542912027E-2</v>
      </c>
      <c r="I527" s="13">
        <f t="shared" si="566"/>
        <v>9.890417078856166E-2</v>
      </c>
      <c r="J527" s="13">
        <f t="shared" si="566"/>
        <v>0.10119572419098015</v>
      </c>
      <c r="K527" s="13">
        <f t="shared" si="566"/>
        <v>9.9789530467679521E-2</v>
      </c>
      <c r="L527" s="13">
        <f t="shared" ref="L527:O527" si="567">IFERROR(L72/(L300+L413),"-")</f>
        <v>0.10075432309929826</v>
      </c>
      <c r="M527" s="13">
        <f t="shared" si="567"/>
        <v>0</v>
      </c>
      <c r="N527" s="13">
        <f t="shared" si="567"/>
        <v>7.9047039063100594E-2</v>
      </c>
      <c r="O527" s="13">
        <f t="shared" si="567"/>
        <v>6.5803736346523756E-2</v>
      </c>
      <c r="P527" s="13">
        <f>IFERROR(P72/(P300+P413),"-")</f>
        <v>7.2230309595258002E-2</v>
      </c>
      <c r="Q527" s="13">
        <f>IFERROR(Q72/(Q300+Q413),"-")</f>
        <v>5.4735609935263357E-2</v>
      </c>
      <c r="S527" s="3"/>
    </row>
    <row r="528" spans="1:19" x14ac:dyDescent="0.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0.23957913332976954</v>
      </c>
      <c r="G528" s="13">
        <f t="shared" ref="G528:K528" si="568">IFERROR(G73/(G301+G465),"-")</f>
        <v>0.24661982561440407</v>
      </c>
      <c r="H528" s="13">
        <f t="shared" si="568"/>
        <v>0.24538588163373296</v>
      </c>
      <c r="I528" s="13">
        <f t="shared" si="568"/>
        <v>0.26337528838648061</v>
      </c>
      <c r="J528" s="13">
        <f t="shared" si="568"/>
        <v>0.26335244490817711</v>
      </c>
      <c r="K528" s="13" t="str">
        <f t="shared" si="568"/>
        <v>-</v>
      </c>
      <c r="L528" s="13" t="str">
        <f t="shared" ref="L528:O528" si="569">IFERROR(L73/(L301+L465),"-")</f>
        <v>-</v>
      </c>
      <c r="M528" s="13" t="str">
        <f t="shared" si="569"/>
        <v>-</v>
      </c>
      <c r="N528" s="13">
        <f t="shared" si="569"/>
        <v>0.2629656205745739</v>
      </c>
      <c r="O528" s="13">
        <f t="shared" si="569"/>
        <v>0.26239449848914298</v>
      </c>
      <c r="P528" s="13">
        <f>IFERROR(P73/(P301+P465),"-")</f>
        <v>0.26249557597892176</v>
      </c>
      <c r="Q528" s="13">
        <f>IFERROR(Q73/(Q301+Q465),"-")</f>
        <v>0.26067663374611044</v>
      </c>
      <c r="S528" s="3"/>
    </row>
    <row r="529" spans="1:19" x14ac:dyDescent="0.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70">IFERROR(G83/G311,"-")</f>
        <v>-</v>
      </c>
      <c r="H529" s="13" t="str">
        <f t="shared" si="570"/>
        <v>-</v>
      </c>
      <c r="I529" s="13" t="str">
        <f t="shared" si="570"/>
        <v>-</v>
      </c>
      <c r="J529" s="13" t="str">
        <f t="shared" si="570"/>
        <v>-</v>
      </c>
      <c r="K529" s="13">
        <f t="shared" si="570"/>
        <v>0.5418976996638184</v>
      </c>
      <c r="L529" s="13">
        <f t="shared" ref="L529:O529" si="571">IFERROR(L83/L311,"-")</f>
        <v>0.41297127470449269</v>
      </c>
      <c r="M529" s="13">
        <f t="shared" si="571"/>
        <v>0.26804945867469215</v>
      </c>
      <c r="N529" s="13">
        <f t="shared" si="571"/>
        <v>0.54126846854014643</v>
      </c>
      <c r="O529" s="13">
        <f t="shared" si="571"/>
        <v>0.51516579944686536</v>
      </c>
      <c r="P529" s="13">
        <f t="shared" ref="P529:Q531" si="572">IFERROR(P83/P311,"-")</f>
        <v>0.52170151771335482</v>
      </c>
      <c r="Q529" s="13">
        <f t="shared" si="572"/>
        <v>0.51453972021452554</v>
      </c>
      <c r="S529" s="3"/>
    </row>
    <row r="530" spans="1:19" x14ac:dyDescent="0.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73">IFERROR(G84/G312,"-")</f>
        <v>-</v>
      </c>
      <c r="H530" s="13" t="str">
        <f t="shared" si="573"/>
        <v>-</v>
      </c>
      <c r="I530" s="13" t="str">
        <f t="shared" si="573"/>
        <v>-</v>
      </c>
      <c r="J530" s="13" t="str">
        <f t="shared" si="573"/>
        <v>-</v>
      </c>
      <c r="K530" s="13">
        <f t="shared" si="573"/>
        <v>0.17403374828356427</v>
      </c>
      <c r="L530" s="13">
        <f t="shared" ref="L530:O530" si="574">IFERROR(L84/L312,"-")</f>
        <v>0</v>
      </c>
      <c r="M530" s="13">
        <f t="shared" si="574"/>
        <v>0.4389712134155081</v>
      </c>
      <c r="N530" s="13">
        <f t="shared" si="574"/>
        <v>0.40981796884664051</v>
      </c>
      <c r="O530" s="13">
        <f t="shared" si="574"/>
        <v>0.4015894783360352</v>
      </c>
      <c r="P530" s="13">
        <f t="shared" si="572"/>
        <v>0.40362681927756683</v>
      </c>
      <c r="Q530" s="13">
        <f t="shared" si="572"/>
        <v>0.40302052136742578</v>
      </c>
      <c r="S530" s="3"/>
    </row>
    <row r="531" spans="1:19" x14ac:dyDescent="0.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75">IFERROR(G85/G313,"-")</f>
        <v>-</v>
      </c>
      <c r="H531" s="13" t="str">
        <f t="shared" si="575"/>
        <v>-</v>
      </c>
      <c r="I531" s="13" t="str">
        <f t="shared" si="575"/>
        <v>-</v>
      </c>
      <c r="J531" s="13" t="str">
        <f t="shared" si="575"/>
        <v>-</v>
      </c>
      <c r="K531" s="13" t="str">
        <f t="shared" si="575"/>
        <v>-</v>
      </c>
      <c r="L531" s="13">
        <f t="shared" ref="L531:O531" si="576">IFERROR(L85/L313,"-")</f>
        <v>0.30572267532648512</v>
      </c>
      <c r="M531" s="13">
        <f t="shared" si="576"/>
        <v>0.244178759735527</v>
      </c>
      <c r="N531" s="13">
        <f t="shared" si="576"/>
        <v>0.54789420243580811</v>
      </c>
      <c r="O531" s="13">
        <f t="shared" si="576"/>
        <v>0.54464193797309213</v>
      </c>
      <c r="P531" s="13">
        <f t="shared" si="572"/>
        <v>0.54473203127071756</v>
      </c>
      <c r="Q531" s="13">
        <f t="shared" si="572"/>
        <v>0.5422914627393759</v>
      </c>
      <c r="S531" s="3"/>
    </row>
    <row r="532" spans="1:19" x14ac:dyDescent="0.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0.26278550001153417</v>
      </c>
      <c r="G532" s="13">
        <f t="shared" ref="G532:K532" si="577">IFERROR(G86/SUM(G314,G419),"-")</f>
        <v>0.1882647500267296</v>
      </c>
      <c r="H532" s="13">
        <f t="shared" si="577"/>
        <v>0.20602493816871967</v>
      </c>
      <c r="I532" s="13" t="str">
        <f t="shared" si="577"/>
        <v>-</v>
      </c>
      <c r="J532" s="13" t="str">
        <f t="shared" si="577"/>
        <v>-</v>
      </c>
      <c r="K532" s="13" t="str">
        <f t="shared" si="577"/>
        <v>-</v>
      </c>
      <c r="L532" s="13" t="str">
        <f t="shared" ref="L532:O532" si="578">IFERROR(L86/SUM(L314,L419),"-")</f>
        <v>-</v>
      </c>
      <c r="M532" s="13" t="str">
        <f t="shared" si="578"/>
        <v>-</v>
      </c>
      <c r="N532" s="13">
        <f t="shared" si="578"/>
        <v>0</v>
      </c>
      <c r="O532" s="13">
        <f t="shared" si="578"/>
        <v>0</v>
      </c>
      <c r="P532" s="13">
        <f>IFERROR(P86/SUM(P314,P419),"-")</f>
        <v>0</v>
      </c>
      <c r="Q532" s="13">
        <f>IFERROR(Q86/SUM(Q314,Q419),"-")</f>
        <v>0</v>
      </c>
      <c r="S532" s="3"/>
    </row>
    <row r="533" spans="1:19" x14ac:dyDescent="0.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79">IFERROR(G87/SUM(G315,G420),"-")</f>
        <v>-</v>
      </c>
      <c r="H533" s="13" t="str">
        <f t="shared" si="579"/>
        <v>-</v>
      </c>
      <c r="I533" s="13" t="str">
        <f t="shared" si="579"/>
        <v>-</v>
      </c>
      <c r="J533" s="13" t="str">
        <f t="shared" si="579"/>
        <v>-</v>
      </c>
      <c r="K533" s="13" t="str">
        <f t="shared" si="579"/>
        <v>-</v>
      </c>
      <c r="L533" s="13" t="str">
        <f t="shared" ref="L533:O533" si="580">IFERROR(L87/SUM(L315,L420),"-")</f>
        <v>-</v>
      </c>
      <c r="M533" s="13" t="str">
        <f t="shared" si="580"/>
        <v>-</v>
      </c>
      <c r="N533" s="13" t="str">
        <f t="shared" si="580"/>
        <v>-</v>
      </c>
      <c r="O533" s="13" t="str">
        <f t="shared" si="580"/>
        <v>-</v>
      </c>
      <c r="P533" s="13" t="str">
        <f>IFERROR(P87/SUM(P315,P420),"-")</f>
        <v>-</v>
      </c>
      <c r="Q533" s="13" t="str">
        <f>IFERROR(Q87/SUM(Q315,Q420),"-")</f>
        <v>-</v>
      </c>
      <c r="S533" s="3"/>
    </row>
    <row r="534" spans="1:19" x14ac:dyDescent="0.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0.34911579540795379</v>
      </c>
      <c r="G534" s="13">
        <f t="shared" ref="G534:K534" si="581">IFERROR(G88/SUM(G316,G471),"-'")</f>
        <v>0.35195711025121984</v>
      </c>
      <c r="H534" s="13">
        <f t="shared" si="581"/>
        <v>0.35143439039224278</v>
      </c>
      <c r="I534" s="13">
        <f t="shared" si="581"/>
        <v>0.35997565512743634</v>
      </c>
      <c r="J534" s="13">
        <f t="shared" si="581"/>
        <v>0.35552320998235404</v>
      </c>
      <c r="K534" s="13">
        <f t="shared" si="581"/>
        <v>0.3559567864077528</v>
      </c>
      <c r="L534" s="13">
        <f t="shared" ref="L534:O534" si="582">IFERROR(L88/SUM(L316,L471),"-'")</f>
        <v>0.21761514346465097</v>
      </c>
      <c r="M534" s="13">
        <f t="shared" si="582"/>
        <v>0.21807454170488511</v>
      </c>
      <c r="N534" s="13">
        <f t="shared" si="582"/>
        <v>0.21791765940375293</v>
      </c>
      <c r="O534" s="13">
        <f t="shared" si="582"/>
        <v>0.21791130566264025</v>
      </c>
      <c r="P534" s="13">
        <f>IFERROR(P88/SUM(P316,P471),"-'")</f>
        <v>0.21767116476193629</v>
      </c>
      <c r="Q534" s="13">
        <f>IFERROR(Q88/SUM(Q316,Q471),"-'")</f>
        <v>0.2173110040787396</v>
      </c>
      <c r="S534" s="3"/>
    </row>
    <row r="535" spans="1:19" x14ac:dyDescent="0.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83">IFERROR(F89/SUM(F317,F472),"-")</f>
        <v>-</v>
      </c>
      <c r="G535" s="13" t="str">
        <f t="shared" ref="G535:K535" si="584">IFERROR(G89/SUM(G317,G472),"-")</f>
        <v>-</v>
      </c>
      <c r="H535" s="13" t="str">
        <f t="shared" si="584"/>
        <v>-</v>
      </c>
      <c r="I535" s="13" t="str">
        <f t="shared" si="584"/>
        <v>-</v>
      </c>
      <c r="J535" s="13" t="str">
        <f t="shared" si="584"/>
        <v>-</v>
      </c>
      <c r="K535" s="13">
        <f t="shared" si="584"/>
        <v>0.30560708873373149</v>
      </c>
      <c r="L535" s="13">
        <f t="shared" ref="L535:O535" si="585">IFERROR(L89/SUM(L317,L472),"-")</f>
        <v>0.32341486439443284</v>
      </c>
      <c r="M535" s="13">
        <f t="shared" si="585"/>
        <v>0.32346708462426466</v>
      </c>
      <c r="N535" s="13">
        <f t="shared" si="585"/>
        <v>0.32266780606085105</v>
      </c>
      <c r="O535" s="13">
        <f t="shared" si="585"/>
        <v>0.32239252227646237</v>
      </c>
      <c r="P535" s="13">
        <f t="shared" ref="P535:Q543" si="586">IFERROR(P89/SUM(P317,P472),"-")</f>
        <v>0.32215188490108249</v>
      </c>
      <c r="Q535" s="13">
        <f t="shared" si="586"/>
        <v>0.32126361486668448</v>
      </c>
      <c r="S535" s="3"/>
    </row>
    <row r="536" spans="1:19" x14ac:dyDescent="0.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83"/>
        <v>-</v>
      </c>
      <c r="G536" s="13" t="str">
        <f t="shared" ref="G536:K536" si="587">IFERROR(G90/SUM(G318,G473),"-")</f>
        <v>-</v>
      </c>
      <c r="H536" s="13" t="str">
        <f t="shared" si="587"/>
        <v>-</v>
      </c>
      <c r="I536" s="13" t="str">
        <f t="shared" si="587"/>
        <v>-</v>
      </c>
      <c r="J536" s="13" t="str">
        <f t="shared" si="587"/>
        <v>-</v>
      </c>
      <c r="K536" s="13" t="str">
        <f t="shared" si="587"/>
        <v>-</v>
      </c>
      <c r="L536" s="13" t="str">
        <f t="shared" ref="L536:O536" si="588">IFERROR(L90/SUM(L318,L473),"-")</f>
        <v>-</v>
      </c>
      <c r="M536" s="13" t="str">
        <f t="shared" si="588"/>
        <v>-</v>
      </c>
      <c r="N536" s="13" t="str">
        <f t="shared" si="588"/>
        <v>-</v>
      </c>
      <c r="O536" s="13" t="str">
        <f t="shared" si="588"/>
        <v>-</v>
      </c>
      <c r="P536" s="13" t="str">
        <f t="shared" si="586"/>
        <v>-</v>
      </c>
      <c r="Q536" s="13" t="str">
        <f t="shared" si="586"/>
        <v>-</v>
      </c>
      <c r="S536" s="3"/>
    </row>
    <row r="537" spans="1:19" x14ac:dyDescent="0.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83"/>
        <v>0.22209792220008273</v>
      </c>
      <c r="G537" s="13">
        <f t="shared" ref="G537:K537" si="589">IFERROR(G91/SUM(G319,G474),"-")</f>
        <v>0.26867830026893152</v>
      </c>
      <c r="H537" s="13">
        <f t="shared" si="589"/>
        <v>0.24551713895924532</v>
      </c>
      <c r="I537" s="13">
        <f t="shared" si="589"/>
        <v>0.26327182816495814</v>
      </c>
      <c r="J537" s="13">
        <f t="shared" si="589"/>
        <v>0.26469494556014095</v>
      </c>
      <c r="K537" s="13">
        <f t="shared" si="589"/>
        <v>0.2467500397896982</v>
      </c>
      <c r="L537" s="13" t="str">
        <f t="shared" ref="L537:O537" si="590">IFERROR(L91/SUM(L319,L474),"-")</f>
        <v>-</v>
      </c>
      <c r="M537" s="13" t="str">
        <f t="shared" si="590"/>
        <v>-</v>
      </c>
      <c r="N537" s="13">
        <f t="shared" si="590"/>
        <v>0.27625798387903999</v>
      </c>
      <c r="O537" s="13">
        <f t="shared" si="590"/>
        <v>0.26853877769676132</v>
      </c>
      <c r="P537" s="13">
        <f t="shared" si="586"/>
        <v>0.27729532908847404</v>
      </c>
      <c r="Q537" s="13">
        <f t="shared" si="586"/>
        <v>0.26724545034473207</v>
      </c>
      <c r="S537" s="3"/>
    </row>
    <row r="538" spans="1:19" x14ac:dyDescent="0.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83"/>
        <v>-</v>
      </c>
      <c r="G538" s="13" t="str">
        <f t="shared" ref="G538:K538" si="591">IFERROR(G92/SUM(G320,G475),"-")</f>
        <v>-</v>
      </c>
      <c r="H538" s="13" t="str">
        <f t="shared" si="591"/>
        <v>-</v>
      </c>
      <c r="I538" s="13" t="str">
        <f t="shared" si="591"/>
        <v>-</v>
      </c>
      <c r="J538" s="13" t="str">
        <f t="shared" si="591"/>
        <v>-</v>
      </c>
      <c r="K538" s="13" t="str">
        <f t="shared" si="591"/>
        <v>-</v>
      </c>
      <c r="L538" s="13" t="str">
        <f t="shared" ref="L538:O538" si="592">IFERROR(L92/SUM(L320,L475),"-")</f>
        <v>-</v>
      </c>
      <c r="M538" s="13" t="str">
        <f t="shared" si="592"/>
        <v>-</v>
      </c>
      <c r="N538" s="13">
        <f t="shared" si="592"/>
        <v>0.44999999999999996</v>
      </c>
      <c r="O538" s="13">
        <f t="shared" si="592"/>
        <v>0.45000000000000012</v>
      </c>
      <c r="P538" s="13">
        <f t="shared" si="586"/>
        <v>0.4499999999999999</v>
      </c>
      <c r="Q538" s="13">
        <f t="shared" si="586"/>
        <v>0.45</v>
      </c>
      <c r="S538" s="3"/>
    </row>
    <row r="539" spans="1:19" x14ac:dyDescent="0.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83"/>
        <v>0.25666236913390461</v>
      </c>
      <c r="G539" s="13">
        <f t="shared" ref="G539:K539" si="593">IFERROR(G93/SUM(G321,G476),"-")</f>
        <v>0.29175378588642342</v>
      </c>
      <c r="H539" s="13">
        <f t="shared" si="593"/>
        <v>0.29256596564364667</v>
      </c>
      <c r="I539" s="13">
        <f t="shared" si="593"/>
        <v>0.29838811138503868</v>
      </c>
      <c r="J539" s="13">
        <f t="shared" si="593"/>
        <v>0.30017005429166421</v>
      </c>
      <c r="K539" s="13">
        <f t="shared" si="593"/>
        <v>0.30152068483234307</v>
      </c>
      <c r="L539" s="13" t="str">
        <f t="shared" ref="L539:O539" si="594">IFERROR(L93/SUM(L321,L476),"-")</f>
        <v>-</v>
      </c>
      <c r="M539" s="13" t="str">
        <f t="shared" si="594"/>
        <v>-</v>
      </c>
      <c r="N539" s="13">
        <f t="shared" si="594"/>
        <v>0.28796246400018694</v>
      </c>
      <c r="O539" s="13">
        <f t="shared" si="594"/>
        <v>0.29307832824608276</v>
      </c>
      <c r="P539" s="13">
        <f t="shared" si="586"/>
        <v>0.29150873647732306</v>
      </c>
      <c r="Q539" s="13">
        <f t="shared" si="586"/>
        <v>0.29406344434144938</v>
      </c>
      <c r="S539" s="3"/>
    </row>
    <row r="540" spans="1:19" x14ac:dyDescent="0.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83"/>
        <v>-</v>
      </c>
      <c r="G540" s="13" t="str">
        <f t="shared" ref="G540:K540" si="595">IFERROR(G94/SUM(G322,G477),"-")</f>
        <v>-</v>
      </c>
      <c r="H540" s="13" t="str">
        <f t="shared" si="595"/>
        <v>-</v>
      </c>
      <c r="I540" s="13" t="str">
        <f t="shared" si="595"/>
        <v>-</v>
      </c>
      <c r="J540" s="13" t="str">
        <f t="shared" si="595"/>
        <v>-</v>
      </c>
      <c r="K540" s="13" t="str">
        <f t="shared" si="595"/>
        <v>-</v>
      </c>
      <c r="L540" s="13" t="str">
        <f t="shared" ref="L540:O540" si="596">IFERROR(L94/SUM(L322,L477),"-")</f>
        <v>-</v>
      </c>
      <c r="M540" s="13" t="str">
        <f t="shared" si="596"/>
        <v>-</v>
      </c>
      <c r="N540" s="13">
        <f t="shared" si="596"/>
        <v>0.45000000000000007</v>
      </c>
      <c r="O540" s="13">
        <f t="shared" si="596"/>
        <v>0.45000000000000012</v>
      </c>
      <c r="P540" s="13">
        <f t="shared" si="586"/>
        <v>0.44999999999999973</v>
      </c>
      <c r="Q540" s="13">
        <f t="shared" si="586"/>
        <v>0.45000000000000007</v>
      </c>
      <c r="S540" s="3"/>
    </row>
    <row r="541" spans="1:19" x14ac:dyDescent="0.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83"/>
        <v>0.36265486557945364</v>
      </c>
      <c r="G541" s="13">
        <f t="shared" ref="G541:K541" si="597">IFERROR(G95/SUM(G323,G478),"-")</f>
        <v>0.36306731893495464</v>
      </c>
      <c r="H541" s="13">
        <f t="shared" si="597"/>
        <v>0.36358387964912453</v>
      </c>
      <c r="I541" s="13">
        <f t="shared" si="597"/>
        <v>0.36466147600031235</v>
      </c>
      <c r="J541" s="13">
        <f t="shared" si="597"/>
        <v>0.36900279213024811</v>
      </c>
      <c r="K541" s="13">
        <f t="shared" si="597"/>
        <v>0.37386675351323473</v>
      </c>
      <c r="L541" s="13">
        <f t="shared" ref="L541:O541" si="598">IFERROR(L95/SUM(L323,L478),"-")</f>
        <v>0.37958003569184445</v>
      </c>
      <c r="M541" s="13">
        <f t="shared" si="598"/>
        <v>0.38512451741637393</v>
      </c>
      <c r="N541" s="13">
        <f t="shared" si="598"/>
        <v>0.38422373513773589</v>
      </c>
      <c r="O541" s="13">
        <f t="shared" si="598"/>
        <v>0.38349931015070243</v>
      </c>
      <c r="P541" s="13">
        <f t="shared" si="586"/>
        <v>0.38356963746722067</v>
      </c>
      <c r="Q541" s="13">
        <f t="shared" si="586"/>
        <v>0.38359994088397098</v>
      </c>
      <c r="S541" s="3"/>
    </row>
    <row r="542" spans="1:19" x14ac:dyDescent="0.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83"/>
        <v>0.35788257587704014</v>
      </c>
      <c r="G542" s="13">
        <f t="shared" ref="G542:K542" si="599">IFERROR(G96/SUM(G324,G479),"-")</f>
        <v>0.35999301719567672</v>
      </c>
      <c r="H542" s="13">
        <f t="shared" si="599"/>
        <v>0.35984678971502093</v>
      </c>
      <c r="I542" s="13">
        <f t="shared" si="599"/>
        <v>0.35961772020586785</v>
      </c>
      <c r="J542" s="13">
        <f t="shared" si="599"/>
        <v>0.35864087199239636</v>
      </c>
      <c r="K542" s="13">
        <f t="shared" si="599"/>
        <v>0.35860042503621947</v>
      </c>
      <c r="L542" s="13" t="str">
        <f t="shared" ref="L542:O542" si="600">IFERROR(L96/SUM(L324,L479),"-")</f>
        <v>-</v>
      </c>
      <c r="M542" s="13" t="str">
        <f t="shared" si="600"/>
        <v>-</v>
      </c>
      <c r="N542" s="13">
        <f t="shared" si="600"/>
        <v>0.34567790756697481</v>
      </c>
      <c r="O542" s="13">
        <f t="shared" si="600"/>
        <v>0.3309236839902126</v>
      </c>
      <c r="P542" s="13">
        <f t="shared" si="586"/>
        <v>0.32935625122363377</v>
      </c>
      <c r="Q542" s="13">
        <f t="shared" si="586"/>
        <v>0.33111966237901813</v>
      </c>
      <c r="S542" s="3"/>
    </row>
    <row r="543" spans="1:19" x14ac:dyDescent="0.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83"/>
        <v>-</v>
      </c>
      <c r="G543" s="13" t="str">
        <f t="shared" ref="G543:K543" si="601">IFERROR(G97/SUM(G325,G480),"-")</f>
        <v>-</v>
      </c>
      <c r="H543" s="13" t="str">
        <f t="shared" si="601"/>
        <v>-</v>
      </c>
      <c r="I543" s="13" t="str">
        <f t="shared" si="601"/>
        <v>-</v>
      </c>
      <c r="J543" s="13" t="str">
        <f t="shared" si="601"/>
        <v>-</v>
      </c>
      <c r="K543" s="13" t="str">
        <f t="shared" si="601"/>
        <v>-</v>
      </c>
      <c r="L543" s="13" t="str">
        <f t="shared" ref="L543:O543" si="602">IFERROR(L97/SUM(L325,L480),"-")</f>
        <v>-</v>
      </c>
      <c r="M543" s="13" t="str">
        <f t="shared" si="602"/>
        <v>-</v>
      </c>
      <c r="N543" s="13">
        <f t="shared" si="602"/>
        <v>0.61999999999999966</v>
      </c>
      <c r="O543" s="13">
        <f t="shared" si="602"/>
        <v>0.62000000000000055</v>
      </c>
      <c r="P543" s="13">
        <f t="shared" si="586"/>
        <v>0.61999999999999988</v>
      </c>
      <c r="Q543" s="13">
        <f t="shared" si="586"/>
        <v>0.62000000000000033</v>
      </c>
      <c r="S543" s="3"/>
    </row>
    <row r="544" spans="1:19" x14ac:dyDescent="0.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0.35745695376016634</v>
      </c>
      <c r="G544" s="13">
        <f t="shared" ref="G544:K544" si="603">IFERROR(G131/G359,"-")</f>
        <v>0.35745695376016634</v>
      </c>
      <c r="H544" s="13">
        <f t="shared" si="603"/>
        <v>0.3574569537601659</v>
      </c>
      <c r="I544" s="13">
        <f t="shared" si="603"/>
        <v>0.35745695376016628</v>
      </c>
      <c r="J544" s="13">
        <f t="shared" si="603"/>
        <v>0.35745695376016562</v>
      </c>
      <c r="K544" s="13">
        <f t="shared" si="603"/>
        <v>0.35745695376016595</v>
      </c>
      <c r="L544" s="13">
        <f t="shared" ref="L544:O544" si="604">IFERROR(L131/L359,"-")</f>
        <v>0.35745695376016601</v>
      </c>
      <c r="M544" s="13">
        <f t="shared" si="604"/>
        <v>0.35745695376016584</v>
      </c>
      <c r="N544" s="13">
        <f t="shared" si="604"/>
        <v>0.35745695376016634</v>
      </c>
      <c r="O544" s="13">
        <f t="shared" si="604"/>
        <v>0.35745695376016595</v>
      </c>
      <c r="P544" s="13">
        <f>IFERROR(P131/P359,"-")</f>
        <v>0.35745695376016567</v>
      </c>
      <c r="Q544" s="13">
        <f>IFERROR(Q131/Q359,"-")</f>
        <v>0.35745695376016612</v>
      </c>
      <c r="S544" s="3"/>
    </row>
    <row r="545" spans="2:19" x14ac:dyDescent="0.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605">IFERROR(G132/G360,"-")</f>
        <v>-</v>
      </c>
      <c r="H545" s="13" t="str">
        <f t="shared" si="605"/>
        <v>-</v>
      </c>
      <c r="I545" s="13" t="str">
        <f t="shared" si="605"/>
        <v>-</v>
      </c>
      <c r="J545" s="13" t="str">
        <f t="shared" si="605"/>
        <v>-</v>
      </c>
      <c r="K545" s="13">
        <f t="shared" si="605"/>
        <v>0.33470839322286905</v>
      </c>
      <c r="L545" s="13">
        <f t="shared" ref="L545:O545" si="606">IFERROR(L132/L360,"-")</f>
        <v>0.33805547715509743</v>
      </c>
      <c r="M545" s="13">
        <f t="shared" si="606"/>
        <v>0.34140256108732586</v>
      </c>
      <c r="N545" s="13">
        <f t="shared" si="606"/>
        <v>0.34140256108732631</v>
      </c>
      <c r="O545" s="13">
        <f t="shared" si="606"/>
        <v>0.34140256108732581</v>
      </c>
      <c r="P545" s="13">
        <f>IFERROR(P132/P360,"-")</f>
        <v>0.34140256108732625</v>
      </c>
      <c r="Q545" s="13">
        <f>IFERROR(Q132/Q360,"-")</f>
        <v>0.34140256108732597</v>
      </c>
      <c r="S545" s="3"/>
    </row>
    <row r="546" spans="2:19" x14ac:dyDescent="0.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3.8383652820608065E-2</v>
      </c>
      <c r="G546" s="13">
        <f t="shared" ref="G546:K546" si="607">IFERROR(G133/SUM(G361,G428),"-")</f>
        <v>3.7101136678914556E-2</v>
      </c>
      <c r="H546" s="13">
        <f t="shared" si="607"/>
        <v>3.7444622043984764E-2</v>
      </c>
      <c r="I546" s="13">
        <f t="shared" si="607"/>
        <v>3.707247527662412E-2</v>
      </c>
      <c r="J546" s="13">
        <f t="shared" si="607"/>
        <v>3.7029737513909179E-2</v>
      </c>
      <c r="K546" s="13">
        <f t="shared" si="607"/>
        <v>3.5386586408412635E-2</v>
      </c>
      <c r="L546" s="13">
        <f t="shared" ref="L546:O546" si="608">IFERROR(L133/SUM(L361,L428),"-")</f>
        <v>2.5786515650133013E-2</v>
      </c>
      <c r="M546" s="13">
        <f t="shared" si="608"/>
        <v>2.5370922748786554E-2</v>
      </c>
      <c r="N546" s="13">
        <f t="shared" si="608"/>
        <v>2.4907450610583463E-2</v>
      </c>
      <c r="O546" s="13">
        <f t="shared" si="608"/>
        <v>2.4906599787519718E-2</v>
      </c>
      <c r="P546" s="13">
        <f>IFERROR(P133/SUM(P361,P428),"-")</f>
        <v>2.4906304745581417E-2</v>
      </c>
      <c r="Q546" s="13">
        <f>IFERROR(Q133/SUM(Q361,Q428),"-")</f>
        <v>2.4906166688876626E-2</v>
      </c>
      <c r="S546" s="3"/>
    </row>
    <row r="547" spans="2:19" x14ac:dyDescent="0.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609">IFERROR(G134/SUM(G362,G429),"-")</f>
        <v>-</v>
      </c>
      <c r="H547" s="13" t="str">
        <f t="shared" si="609"/>
        <v>-</v>
      </c>
      <c r="I547" s="13" t="str">
        <f t="shared" si="609"/>
        <v>-</v>
      </c>
      <c r="J547" s="13" t="str">
        <f t="shared" si="609"/>
        <v>-</v>
      </c>
      <c r="K547" s="13">
        <f t="shared" si="609"/>
        <v>4.8242849883234844E-2</v>
      </c>
      <c r="L547" s="13">
        <f t="shared" ref="L547:O547" si="610">IFERROR(L134/SUM(L362,L429),"-")</f>
        <v>5.112142494161738E-2</v>
      </c>
      <c r="M547" s="13">
        <f t="shared" si="610"/>
        <v>5.4000000000000048E-2</v>
      </c>
      <c r="N547" s="13">
        <f t="shared" si="610"/>
        <v>5.4000000000000069E-2</v>
      </c>
      <c r="O547" s="13">
        <f t="shared" si="610"/>
        <v>5.3999999999999951E-2</v>
      </c>
      <c r="P547" s="13">
        <f>IFERROR(P134/SUM(P362,P429),"-")</f>
        <v>5.3999999999999986E-2</v>
      </c>
      <c r="Q547" s="13">
        <f>IFERROR(Q134/SUM(Q362,Q429),"-")</f>
        <v>5.3999999999999951E-2</v>
      </c>
      <c r="S547" s="3"/>
    </row>
    <row r="548" spans="2:19" x14ac:dyDescent="0.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6.1973039286949506E-2</v>
      </c>
      <c r="G548" s="13">
        <f t="shared" ref="G548:K548" si="611">IFERROR(G135/SUM(G363,G504),"-")</f>
        <v>6.1972761450263321E-2</v>
      </c>
      <c r="H548" s="13">
        <f t="shared" si="611"/>
        <v>6.1972650567355257E-2</v>
      </c>
      <c r="I548" s="13">
        <f t="shared" si="611"/>
        <v>6.1972650567355347E-2</v>
      </c>
      <c r="J548" s="13">
        <f t="shared" si="611"/>
        <v>6.1972650567355243E-2</v>
      </c>
      <c r="K548" s="13">
        <f t="shared" si="611"/>
        <v>6.1972650567355292E-2</v>
      </c>
      <c r="L548" s="13">
        <f t="shared" ref="L548:O548" si="612">IFERROR(L135/SUM(L363,L504),"-")</f>
        <v>6.1972650567355313E-2</v>
      </c>
      <c r="M548" s="13">
        <f t="shared" si="612"/>
        <v>6.1972650567355347E-2</v>
      </c>
      <c r="N548" s="13">
        <f t="shared" si="612"/>
        <v>6.1972650567355264E-2</v>
      </c>
      <c r="O548" s="13">
        <f t="shared" si="612"/>
        <v>6.197265056735534E-2</v>
      </c>
      <c r="P548" s="13">
        <f>IFERROR(P135/SUM(P363,P504),"-")</f>
        <v>6.1972650567355334E-2</v>
      </c>
      <c r="Q548" s="13">
        <f>IFERROR(Q135/SUM(Q363,Q504),"-")</f>
        <v>6.197265056735532E-2</v>
      </c>
      <c r="S548" s="3"/>
    </row>
    <row r="549" spans="2:19" x14ac:dyDescent="0.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613">IFERROR(G136/SUM(G364,G505),"-")</f>
        <v>-</v>
      </c>
      <c r="H549" s="13" t="str">
        <f t="shared" si="613"/>
        <v>-</v>
      </c>
      <c r="I549" s="13" t="str">
        <f t="shared" si="613"/>
        <v>-</v>
      </c>
      <c r="J549" s="13" t="str">
        <f t="shared" si="613"/>
        <v>-</v>
      </c>
      <c r="K549" s="13">
        <f t="shared" si="613"/>
        <v>4.7880823847050509E-2</v>
      </c>
      <c r="L549" s="13">
        <f t="shared" ref="L549:O549" si="614">IFERROR(L136/SUM(L364,L505),"-")</f>
        <v>4.6820724841429628E-2</v>
      </c>
      <c r="M549" s="13">
        <f t="shared" si="614"/>
        <v>4.5431760215214265E-2</v>
      </c>
      <c r="N549" s="13">
        <f t="shared" si="614"/>
        <v>4.543176021521432E-2</v>
      </c>
      <c r="O549" s="13">
        <f t="shared" si="614"/>
        <v>4.543176021521423E-2</v>
      </c>
      <c r="P549" s="13">
        <f>IFERROR(P136/SUM(P364,P505),"-")</f>
        <v>4.5431760215214327E-2</v>
      </c>
      <c r="Q549" s="13">
        <f>IFERROR(Q136/SUM(Q364,Q505),"-")</f>
        <v>4.5431760215214216E-2</v>
      </c>
      <c r="S549" s="3"/>
    </row>
    <row r="550" spans="2:19" x14ac:dyDescent="0.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0.24371484442310978</v>
      </c>
      <c r="G550" s="13">
        <f t="shared" ref="G550:K550" si="615">IFERROR(G152/SUM(G380,G437),"-")</f>
        <v>0.21933287088725881</v>
      </c>
      <c r="H550" s="13">
        <f t="shared" si="615"/>
        <v>0.25510367544021745</v>
      </c>
      <c r="I550" s="13">
        <f t="shared" si="615"/>
        <v>0.24433329083703403</v>
      </c>
      <c r="J550" s="13">
        <f t="shared" si="615"/>
        <v>0.26505021882809432</v>
      </c>
      <c r="K550" s="13">
        <f t="shared" si="615"/>
        <v>0.30613102006771703</v>
      </c>
      <c r="L550" s="13">
        <f t="shared" ref="L550:O550" si="616">IFERROR(L152/SUM(L380,L437),"-")</f>
        <v>0.30582594384434092</v>
      </c>
      <c r="M550" s="13">
        <f t="shared" si="616"/>
        <v>0.3061197652598236</v>
      </c>
      <c r="N550" s="13">
        <f t="shared" si="616"/>
        <v>0.30607499323905596</v>
      </c>
      <c r="O550" s="13">
        <f t="shared" si="616"/>
        <v>0.30552680372479363</v>
      </c>
      <c r="P550" s="13">
        <f>IFERROR(P152/SUM(P380,P437),"-")</f>
        <v>0.30594602671154519</v>
      </c>
      <c r="Q550" s="13">
        <f>IFERROR(Q152/SUM(Q380,Q437),"-")</f>
        <v>0.30547572108346471</v>
      </c>
      <c r="S550" s="3"/>
    </row>
    <row r="551" spans="2:19" x14ac:dyDescent="0.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617">IFERROR(G153/G381,"-")</f>
        <v>-</v>
      </c>
      <c r="H551" s="13" t="str">
        <f t="shared" si="617"/>
        <v>-</v>
      </c>
      <c r="I551" s="13" t="str">
        <f t="shared" si="617"/>
        <v>-</v>
      </c>
      <c r="J551" s="13" t="str">
        <f t="shared" si="617"/>
        <v>-</v>
      </c>
      <c r="K551" s="13">
        <f t="shared" si="617"/>
        <v>0.13915816743863202</v>
      </c>
      <c r="L551" s="13">
        <f t="shared" ref="L551:O551" si="618">IFERROR(L153/L381,"-")</f>
        <v>0.23788479292592743</v>
      </c>
      <c r="M551" s="13">
        <f t="shared" si="618"/>
        <v>0.26401824707618304</v>
      </c>
      <c r="N551" s="13">
        <f t="shared" si="618"/>
        <v>0.26395057801142779</v>
      </c>
      <c r="O551" s="13">
        <f t="shared" si="618"/>
        <v>0.26380737974234464</v>
      </c>
      <c r="P551" s="13">
        <f>IFERROR(P153/P381,"-")</f>
        <v>0.26227084254916927</v>
      </c>
      <c r="Q551" s="13">
        <f>IFERROR(Q153/Q381,"-")</f>
        <v>0.26242133798186734</v>
      </c>
      <c r="S551" s="3"/>
    </row>
    <row r="552" spans="2:19" x14ac:dyDescent="0.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0.19758824033187081</v>
      </c>
      <c r="G552" s="13">
        <f t="shared" ref="G552:K552" si="619">IFERROR(G154/SUM(G382,G513),"-")</f>
        <v>0.22581089344023866</v>
      </c>
      <c r="H552" s="13">
        <f t="shared" si="619"/>
        <v>0.2494974386494368</v>
      </c>
      <c r="I552" s="13">
        <f t="shared" si="619"/>
        <v>0.29383794332393676</v>
      </c>
      <c r="J552" s="13">
        <f t="shared" si="619"/>
        <v>0.27559937395553186</v>
      </c>
      <c r="K552" s="13">
        <f t="shared" si="619"/>
        <v>0.35153767327359664</v>
      </c>
      <c r="L552" s="13">
        <f t="shared" ref="L552:O552" si="620">IFERROR(L154/SUM(L382,L513),"-")</f>
        <v>0.35957416961273581</v>
      </c>
      <c r="M552" s="13">
        <f t="shared" si="620"/>
        <v>0.3385525103454069</v>
      </c>
      <c r="N552" s="13">
        <f t="shared" si="620"/>
        <v>0.33657721100661375</v>
      </c>
      <c r="O552" s="13">
        <f t="shared" si="620"/>
        <v>0.27135365394935057</v>
      </c>
      <c r="P552" s="13">
        <f t="shared" ref="P552:Q556" si="621">IFERROR(P154/SUM(P382,P513),"-")</f>
        <v>0.32644855500395792</v>
      </c>
      <c r="Q552" s="13">
        <f t="shared" si="621"/>
        <v>0.25513249408478772</v>
      </c>
      <c r="S552" s="3"/>
    </row>
    <row r="553" spans="2:19" x14ac:dyDescent="0.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622">IFERROR(G155/SUM(G383,G514),"-")</f>
        <v>-</v>
      </c>
      <c r="H553" s="13" t="str">
        <f t="shared" si="622"/>
        <v>-</v>
      </c>
      <c r="I553" s="13" t="str">
        <f t="shared" si="622"/>
        <v>-</v>
      </c>
      <c r="J553" s="13" t="str">
        <f t="shared" si="622"/>
        <v>-</v>
      </c>
      <c r="K553" s="13">
        <f t="shared" si="622"/>
        <v>0.33536262543511813</v>
      </c>
      <c r="L553" s="13">
        <f t="shared" ref="L553:O553" si="623">IFERROR(L155/SUM(L383,L514),"-")</f>
        <v>0.34207529915351959</v>
      </c>
      <c r="M553" s="13">
        <f t="shared" si="623"/>
        <v>0.34909872157856187</v>
      </c>
      <c r="N553" s="13">
        <f t="shared" si="623"/>
        <v>0.3490237258128826</v>
      </c>
      <c r="O553" s="13">
        <f t="shared" si="623"/>
        <v>0.34889892579579673</v>
      </c>
      <c r="P553" s="13">
        <f t="shared" si="621"/>
        <v>0.34902984021967065</v>
      </c>
      <c r="Q553" s="13">
        <f t="shared" si="621"/>
        <v>0.34889433185899238</v>
      </c>
      <c r="S553" s="3"/>
    </row>
    <row r="554" spans="2:19" x14ac:dyDescent="0.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24">IFERROR(G156/SUM(G384,G515),"-")</f>
        <v>-</v>
      </c>
      <c r="H554" s="13" t="str">
        <f t="shared" si="624"/>
        <v>-</v>
      </c>
      <c r="I554" s="13">
        <f t="shared" si="624"/>
        <v>0.17474231836265797</v>
      </c>
      <c r="J554" s="13">
        <f t="shared" si="624"/>
        <v>0.18700215771428921</v>
      </c>
      <c r="K554" s="13">
        <f t="shared" si="624"/>
        <v>0.23334402508286339</v>
      </c>
      <c r="L554" s="13">
        <f t="shared" ref="L554:O554" si="625">IFERROR(L156/SUM(L384,L515),"-")</f>
        <v>0.2506746119816215</v>
      </c>
      <c r="M554" s="13">
        <f t="shared" si="625"/>
        <v>0.25999434308792319</v>
      </c>
      <c r="N554" s="13">
        <f t="shared" si="625"/>
        <v>0.25616940948427208</v>
      </c>
      <c r="O554" s="13">
        <f t="shared" si="625"/>
        <v>0.22642619842693595</v>
      </c>
      <c r="P554" s="13">
        <f t="shared" si="621"/>
        <v>0.25250404138088711</v>
      </c>
      <c r="Q554" s="13">
        <f t="shared" si="621"/>
        <v>0.22376129218666213</v>
      </c>
      <c r="S554" s="3"/>
    </row>
    <row r="555" spans="2:19" x14ac:dyDescent="0.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26">IFERROR(G157/SUM(G385,G516),"-")</f>
        <v>-</v>
      </c>
      <c r="H555" s="13" t="str">
        <f t="shared" si="626"/>
        <v>-</v>
      </c>
      <c r="I555" s="13">
        <f t="shared" si="626"/>
        <v>0.20452233043667256</v>
      </c>
      <c r="J555" s="13">
        <f t="shared" si="626"/>
        <v>0.21329866653422172</v>
      </c>
      <c r="K555" s="13">
        <f t="shared" si="626"/>
        <v>0.27282544392398161</v>
      </c>
      <c r="L555" s="13">
        <f t="shared" ref="L555:O555" si="627">IFERROR(L157/SUM(L385,L516),"-")</f>
        <v>0.27930272540108841</v>
      </c>
      <c r="M555" s="13">
        <f t="shared" si="627"/>
        <v>0.28516317840929883</v>
      </c>
      <c r="N555" s="13">
        <f t="shared" si="627"/>
        <v>0.28516082040532376</v>
      </c>
      <c r="O555" s="13">
        <f t="shared" si="627"/>
        <v>0.28399786099915636</v>
      </c>
      <c r="P555" s="13">
        <f t="shared" si="621"/>
        <v>0.2850882636401354</v>
      </c>
      <c r="Q555" s="13">
        <f t="shared" si="621"/>
        <v>0.2837618963693635</v>
      </c>
      <c r="S555" s="3"/>
    </row>
    <row r="556" spans="2:19" x14ac:dyDescent="0.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28">IFERROR(G158/SUM(G386,G517),"-")</f>
        <v>-</v>
      </c>
      <c r="H556" s="13" t="str">
        <f t="shared" si="628"/>
        <v>-</v>
      </c>
      <c r="I556" s="13">
        <f t="shared" si="628"/>
        <v>0.26168772878220709</v>
      </c>
      <c r="J556" s="13">
        <f t="shared" si="628"/>
        <v>0.24239869648141421</v>
      </c>
      <c r="K556" s="13">
        <f t="shared" si="628"/>
        <v>0.3389006433487543</v>
      </c>
      <c r="L556" s="13">
        <f t="shared" ref="L556:O556" si="629">IFERROR(L158/SUM(L386,L517),"-")</f>
        <v>0.35176945901035911</v>
      </c>
      <c r="M556" s="13">
        <f t="shared" si="629"/>
        <v>0.35205338521319191</v>
      </c>
      <c r="N556" s="13">
        <f t="shared" si="629"/>
        <v>0.35729922572898742</v>
      </c>
      <c r="O556" s="13">
        <f t="shared" si="629"/>
        <v>0.30776976221841645</v>
      </c>
      <c r="P556" s="13">
        <f t="shared" si="621"/>
        <v>0.34411772124582246</v>
      </c>
      <c r="Q556" s="13">
        <f t="shared" si="621"/>
        <v>0.31077078901017618</v>
      </c>
      <c r="S556" s="3"/>
    </row>
    <row r="557" spans="2:19" x14ac:dyDescent="0.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S557" s="3"/>
    </row>
    <row r="558" spans="2:19" x14ac:dyDescent="0.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S558" s="3"/>
    </row>
    <row r="559" spans="2:19" x14ac:dyDescent="0.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S559" s="3"/>
    </row>
    <row r="560" spans="2:19" x14ac:dyDescent="0.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S560" s="3"/>
    </row>
    <row r="561" spans="2:19" x14ac:dyDescent="0.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S561" s="3"/>
    </row>
    <row r="562" spans="2:19" x14ac:dyDescent="0.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M562" s="13">
        <v>1</v>
      </c>
      <c r="N562" s="13">
        <v>1</v>
      </c>
      <c r="O562" s="13">
        <v>1</v>
      </c>
      <c r="P562" s="13">
        <v>1</v>
      </c>
      <c r="Q562" s="13">
        <v>1</v>
      </c>
      <c r="S562" s="3"/>
    </row>
    <row r="563" spans="2:19" x14ac:dyDescent="0.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30">IFERROR(G168/G396,"-")</f>
        <v>-</v>
      </c>
      <c r="H563" s="13" t="str">
        <f t="shared" si="630"/>
        <v>-</v>
      </c>
      <c r="I563" s="13" t="str">
        <f t="shared" si="630"/>
        <v>-</v>
      </c>
      <c r="J563" s="13" t="str">
        <f t="shared" si="630"/>
        <v>-</v>
      </c>
      <c r="K563" s="13" t="str">
        <f t="shared" si="630"/>
        <v>-</v>
      </c>
      <c r="L563" s="13">
        <f t="shared" ref="L563:O563" si="631">IFERROR(L168/L396,"-")</f>
        <v>0.15000000000000016</v>
      </c>
      <c r="M563" s="13">
        <f t="shared" si="631"/>
        <v>0.14999999999999994</v>
      </c>
      <c r="N563" s="13">
        <f t="shared" si="631"/>
        <v>0.14999999999999983</v>
      </c>
      <c r="O563" s="13">
        <f t="shared" si="631"/>
        <v>0.15000000000000008</v>
      </c>
      <c r="P563" s="13">
        <f>IFERROR(P168/P396,"-")</f>
        <v>0.15000000000000005</v>
      </c>
      <c r="Q563" s="13">
        <f>IFERROR(Q168/Q396,"-")</f>
        <v>0.14999999999999991</v>
      </c>
      <c r="S563" s="3"/>
    </row>
    <row r="564" spans="2:19" x14ac:dyDescent="0.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32">IFERROR(G170/SUM(G398,G439),"-")</f>
        <v>-</v>
      </c>
      <c r="H564" s="13" t="str">
        <f t="shared" si="632"/>
        <v>-</v>
      </c>
      <c r="I564" s="13" t="str">
        <f t="shared" si="632"/>
        <v>-</v>
      </c>
      <c r="J564" s="13" t="str">
        <f t="shared" si="632"/>
        <v>-</v>
      </c>
      <c r="K564" s="13">
        <f t="shared" si="632"/>
        <v>0.42000000000000004</v>
      </c>
      <c r="L564" s="13">
        <f t="shared" ref="L564:O564" si="633">IFERROR(L170/SUM(L398,L439),"-")</f>
        <v>0.42000000000000021</v>
      </c>
      <c r="M564" s="13">
        <f t="shared" si="633"/>
        <v>0.41999999999999954</v>
      </c>
      <c r="N564" s="13">
        <f t="shared" si="633"/>
        <v>0.42000000000000026</v>
      </c>
      <c r="O564" s="13">
        <f t="shared" si="633"/>
        <v>0.41999999999999993</v>
      </c>
      <c r="P564" s="13">
        <f>IFERROR(P170/SUM(P398,P439),"-")</f>
        <v>0.42000000000000048</v>
      </c>
      <c r="Q564" s="13">
        <f>IFERROR(Q170/SUM(Q398,Q439),"-")</f>
        <v>0.42</v>
      </c>
      <c r="S564" s="3"/>
    </row>
    <row r="565" spans="2:19" x14ac:dyDescent="0.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34">IFERROR(G171/SUM(G399,G519),"-")</f>
        <v>-</v>
      </c>
      <c r="H565" s="13" t="str">
        <f t="shared" si="634"/>
        <v>-</v>
      </c>
      <c r="I565" s="13">
        <f t="shared" si="634"/>
        <v>0.49499999999999972</v>
      </c>
      <c r="J565" s="13">
        <f t="shared" si="634"/>
        <v>0.52249999999999974</v>
      </c>
      <c r="K565" s="13">
        <f t="shared" si="634"/>
        <v>0.55000000000000049</v>
      </c>
      <c r="L565" s="13">
        <f t="shared" ref="L565:O565" si="635">IFERROR(L171/SUM(L399,L519),"-")</f>
        <v>0.57499999999999951</v>
      </c>
      <c r="M565" s="13">
        <f t="shared" si="635"/>
        <v>0.6000000000000002</v>
      </c>
      <c r="N565" s="13">
        <f t="shared" si="635"/>
        <v>0.6000000000000002</v>
      </c>
      <c r="O565" s="13">
        <f t="shared" si="635"/>
        <v>0.60000000000000042</v>
      </c>
      <c r="P565" s="13">
        <f>IFERROR(P171/SUM(P399,P519),"-")</f>
        <v>0.59999999999999953</v>
      </c>
      <c r="Q565" s="13">
        <f>IFERROR(Q171/SUM(Q399,Q519),"-")</f>
        <v>0.59999999999999909</v>
      </c>
      <c r="S565" s="3"/>
    </row>
    <row r="566" spans="2:19" x14ac:dyDescent="0.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36">IFERROR(G172/SUM(G400,G520),"-")</f>
        <v>-</v>
      </c>
      <c r="H566" s="13" t="str">
        <f t="shared" si="636"/>
        <v>-</v>
      </c>
      <c r="I566" s="13">
        <f t="shared" si="636"/>
        <v>0.47499999999999964</v>
      </c>
      <c r="J566" s="13">
        <f t="shared" si="636"/>
        <v>0.50750000000000006</v>
      </c>
      <c r="K566" s="13">
        <f t="shared" si="636"/>
        <v>0.53999999999999937</v>
      </c>
      <c r="L566" s="13">
        <f t="shared" ref="L566:O566" si="637">IFERROR(L172/SUM(L400,L520),"-")</f>
        <v>0.55749999999999966</v>
      </c>
      <c r="M566" s="13">
        <f t="shared" si="637"/>
        <v>0.57500000000000007</v>
      </c>
      <c r="N566" s="13">
        <f t="shared" si="637"/>
        <v>0.57500000000000029</v>
      </c>
      <c r="O566" s="13">
        <f t="shared" si="637"/>
        <v>0.57499999999999984</v>
      </c>
      <c r="P566" s="13">
        <f>IFERROR(P172/SUM(P400,P520),"-")</f>
        <v>0.57500000000000018</v>
      </c>
      <c r="Q566" s="13">
        <f>IFERROR(Q172/SUM(Q400,Q520),"-")</f>
        <v>0.57499999999999973</v>
      </c>
      <c r="S566" s="3"/>
    </row>
    <row r="567" spans="2:19" x14ac:dyDescent="0.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38">IFERROR(F174/F402,"-")</f>
        <v>0.69997829073292972</v>
      </c>
      <c r="G567" s="13">
        <f t="shared" si="638"/>
        <v>0.69998590741800126</v>
      </c>
      <c r="H567" s="13">
        <f t="shared" si="638"/>
        <v>0.69999893367674448</v>
      </c>
      <c r="I567" s="13">
        <f t="shared" si="638"/>
        <v>0.69999753333583814</v>
      </c>
      <c r="J567" s="13">
        <f t="shared" si="638"/>
        <v>0.69999457457997494</v>
      </c>
      <c r="K567" s="13">
        <f t="shared" si="638"/>
        <v>0.69999693824347797</v>
      </c>
      <c r="L567" s="13">
        <f t="shared" ref="L567:O567" si="639">IFERROR(L174/L402,"-")</f>
        <v>0.69999645711540692</v>
      </c>
      <c r="M567" s="13">
        <f t="shared" si="639"/>
        <v>0.69999772945940919</v>
      </c>
      <c r="N567" s="13">
        <f t="shared" si="639"/>
        <v>0.69999789860828421</v>
      </c>
      <c r="O567" s="13">
        <f t="shared" si="639"/>
        <v>0.69999772534300819</v>
      </c>
      <c r="P567" s="13">
        <f t="shared" ref="P567:Q573" si="640">IFERROR(P174/P402,"-")</f>
        <v>0.69999807717566576</v>
      </c>
      <c r="Q567" s="13">
        <f t="shared" si="640"/>
        <v>0.69999755934286356</v>
      </c>
      <c r="S567" s="3"/>
    </row>
    <row r="568" spans="2:19" x14ac:dyDescent="0.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38"/>
        <v>0.86691795337146205</v>
      </c>
      <c r="G568" s="13">
        <f t="shared" si="638"/>
        <v>0.86680839821624078</v>
      </c>
      <c r="H568" s="13">
        <f t="shared" si="638"/>
        <v>0.8670020363636286</v>
      </c>
      <c r="I568" s="13">
        <f t="shared" si="638"/>
        <v>0.86698650953898704</v>
      </c>
      <c r="J568" s="13">
        <f t="shared" si="638"/>
        <v>0.86703909135967783</v>
      </c>
      <c r="K568" s="13">
        <f t="shared" si="638"/>
        <v>0.86703930121773953</v>
      </c>
      <c r="L568" s="13">
        <f t="shared" ref="L568:O568" si="641">IFERROR(L175/L403,"-")</f>
        <v>0.86703931227077269</v>
      </c>
      <c r="M568" s="13">
        <f t="shared" si="641"/>
        <v>0.86703920358953923</v>
      </c>
      <c r="N568" s="13">
        <f t="shared" si="641"/>
        <v>0.86703930773915661</v>
      </c>
      <c r="O568" s="13">
        <f t="shared" si="641"/>
        <v>0.86703914326647347</v>
      </c>
      <c r="P568" s="13">
        <f t="shared" si="640"/>
        <v>0.86703926953458532</v>
      </c>
      <c r="Q568" s="13">
        <f t="shared" si="640"/>
        <v>0.86703910504094428</v>
      </c>
      <c r="S568" s="3"/>
    </row>
    <row r="569" spans="2:19" x14ac:dyDescent="0.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38"/>
        <v>0.89416317706109172</v>
      </c>
      <c r="G569" s="13">
        <f t="shared" si="638"/>
        <v>0.89423405583530347</v>
      </c>
      <c r="H569" s="13">
        <f t="shared" si="638"/>
        <v>0.89421800644179561</v>
      </c>
      <c r="I569" s="13">
        <f t="shared" si="638"/>
        <v>0.89420688110711866</v>
      </c>
      <c r="J569" s="13">
        <f t="shared" si="638"/>
        <v>0.89426203045332708</v>
      </c>
      <c r="K569" s="13">
        <f t="shared" si="638"/>
        <v>0.89426908648364256</v>
      </c>
      <c r="L569" s="13">
        <f t="shared" ref="L569:O569" si="642">IFERROR(L176/L404,"-")</f>
        <v>0.89426963139132831</v>
      </c>
      <c r="M569" s="13">
        <f t="shared" si="642"/>
        <v>0.89426953328849557</v>
      </c>
      <c r="N569" s="13">
        <f t="shared" si="642"/>
        <v>0.89426961820505713</v>
      </c>
      <c r="O569" s="13">
        <f t="shared" si="642"/>
        <v>0.89426956382372791</v>
      </c>
      <c r="P569" s="13">
        <f t="shared" si="640"/>
        <v>0.89426957425963904</v>
      </c>
      <c r="Q569" s="13">
        <f t="shared" si="640"/>
        <v>0.89426954083604249</v>
      </c>
      <c r="S569" s="3"/>
    </row>
    <row r="570" spans="2:19" x14ac:dyDescent="0.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38"/>
        <v>0.90404461237439382</v>
      </c>
      <c r="G570" s="13">
        <f t="shared" si="638"/>
        <v>0.90398648579764918</v>
      </c>
      <c r="H570" s="13">
        <f t="shared" si="638"/>
        <v>0.90410318511249155</v>
      </c>
      <c r="I570" s="13">
        <f t="shared" si="638"/>
        <v>0.90426757288951354</v>
      </c>
      <c r="J570" s="13">
        <f t="shared" si="638"/>
        <v>0.90426896911438714</v>
      </c>
      <c r="K570" s="13">
        <f t="shared" si="638"/>
        <v>0.90426954083195765</v>
      </c>
      <c r="L570" s="13">
        <f t="shared" ref="L570:O570" si="643">IFERROR(L177/L405,"-")</f>
        <v>0.9042694767210876</v>
      </c>
      <c r="M570" s="13">
        <f t="shared" si="643"/>
        <v>0.90426877084296187</v>
      </c>
      <c r="N570" s="13">
        <f t="shared" si="643"/>
        <v>0.90426929035966663</v>
      </c>
      <c r="O570" s="13">
        <f t="shared" si="643"/>
        <v>0.90426846843529618</v>
      </c>
      <c r="P570" s="13">
        <f t="shared" si="640"/>
        <v>0.90426916381353895</v>
      </c>
      <c r="Q570" s="13">
        <f t="shared" si="640"/>
        <v>0.90426850143048243</v>
      </c>
      <c r="S570" s="3"/>
    </row>
    <row r="571" spans="2:19" x14ac:dyDescent="0.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38"/>
        <v>0.90404556999865149</v>
      </c>
      <c r="G571" s="13">
        <f t="shared" si="638"/>
        <v>0.90398767915487144</v>
      </c>
      <c r="H571" s="13">
        <f t="shared" si="638"/>
        <v>0.90410392807840523</v>
      </c>
      <c r="I571" s="13">
        <f t="shared" si="638"/>
        <v>0.90426581098828707</v>
      </c>
      <c r="J571" s="13">
        <f t="shared" si="638"/>
        <v>0.90426725163846955</v>
      </c>
      <c r="K571" s="13">
        <f t="shared" si="638"/>
        <v>0.90426876807714995</v>
      </c>
      <c r="L571" s="13">
        <f t="shared" ref="L571:O571" si="644">IFERROR(L178/L406,"-")</f>
        <v>0.90426845849021364</v>
      </c>
      <c r="M571" s="13">
        <f t="shared" si="644"/>
        <v>0.90426486798437367</v>
      </c>
      <c r="N571" s="13">
        <f t="shared" si="644"/>
        <v>0.9042670542745519</v>
      </c>
      <c r="O571" s="13">
        <f t="shared" si="644"/>
        <v>0.90426436638646113</v>
      </c>
      <c r="P571" s="13">
        <f t="shared" si="640"/>
        <v>0.90426646672204092</v>
      </c>
      <c r="Q571" s="13">
        <f t="shared" si="640"/>
        <v>0.90426489085614215</v>
      </c>
      <c r="S571" s="3"/>
    </row>
    <row r="572" spans="2:19" x14ac:dyDescent="0.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38"/>
        <v>0.90404540510000564</v>
      </c>
      <c r="G572" s="13">
        <f t="shared" si="638"/>
        <v>0.90398747039408034</v>
      </c>
      <c r="H572" s="13">
        <f t="shared" si="638"/>
        <v>0.90410377814107346</v>
      </c>
      <c r="I572" s="13">
        <f t="shared" si="638"/>
        <v>0.90426648797745557</v>
      </c>
      <c r="J572" s="13">
        <f t="shared" si="638"/>
        <v>0.90426823961009051</v>
      </c>
      <c r="K572" s="13">
        <f t="shared" si="638"/>
        <v>0.90426910864043353</v>
      </c>
      <c r="L572" s="13">
        <f t="shared" ref="L572:O572" si="645">IFERROR(L179/L407,"-")</f>
        <v>0.90426848324127374</v>
      </c>
      <c r="M572" s="13">
        <f t="shared" si="645"/>
        <v>0.90426586957767752</v>
      </c>
      <c r="N572" s="13">
        <f t="shared" si="645"/>
        <v>0.90426811714130984</v>
      </c>
      <c r="O572" s="13">
        <f t="shared" si="645"/>
        <v>0.90426446636898439</v>
      </c>
      <c r="P572" s="13">
        <f t="shared" si="640"/>
        <v>0.90426645497266245</v>
      </c>
      <c r="Q572" s="13">
        <f t="shared" si="640"/>
        <v>0.90426490010987859</v>
      </c>
      <c r="S572" s="3"/>
    </row>
    <row r="573" spans="2:19" x14ac:dyDescent="0.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38"/>
        <v>0.90404546686873843</v>
      </c>
      <c r="G573" s="13">
        <f t="shared" si="638"/>
        <v>0.90398756260796376</v>
      </c>
      <c r="H573" s="13">
        <f t="shared" si="638"/>
        <v>0.90410378947140435</v>
      </c>
      <c r="I573" s="13">
        <f t="shared" si="638"/>
        <v>0.90426723002357334</v>
      </c>
      <c r="J573" s="13">
        <f t="shared" si="638"/>
        <v>0.9042687957695571</v>
      </c>
      <c r="K573" s="13">
        <f t="shared" si="638"/>
        <v>0.90426929884039009</v>
      </c>
      <c r="L573" s="13">
        <f t="shared" ref="L573:O573" si="646">IFERROR(L180/L408,"-")</f>
        <v>0.9042687734342213</v>
      </c>
      <c r="M573" s="13">
        <f t="shared" si="646"/>
        <v>0.90426687369783754</v>
      </c>
      <c r="N573" s="13">
        <f t="shared" si="646"/>
        <v>0.90426859064523113</v>
      </c>
      <c r="O573" s="13">
        <f t="shared" si="646"/>
        <v>0.90426577327191759</v>
      </c>
      <c r="P573" s="13">
        <f t="shared" si="640"/>
        <v>0.90426728123866473</v>
      </c>
      <c r="Q573" s="13">
        <f t="shared" si="640"/>
        <v>0.90426610272943075</v>
      </c>
      <c r="S573" s="3"/>
    </row>
    <row r="574" spans="2:19" x14ac:dyDescent="0.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M574" t="s">
        <v>292</v>
      </c>
      <c r="N574" t="s">
        <v>292</v>
      </c>
      <c r="O574" t="s">
        <v>292</v>
      </c>
      <c r="P574" t="s">
        <v>292</v>
      </c>
      <c r="Q574" t="s">
        <v>292</v>
      </c>
      <c r="S574" s="3"/>
    </row>
    <row r="575" spans="2:19" x14ac:dyDescent="0.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0.5993375356496371</v>
      </c>
      <c r="G575" s="4">
        <f t="shared" ref="G575:K575" si="647">IFERROR(G212/G442,"-")</f>
        <v>0.58903304908468135</v>
      </c>
      <c r="H575" s="4">
        <f t="shared" si="647"/>
        <v>0.58858916418197382</v>
      </c>
      <c r="I575" s="4">
        <f t="shared" si="647"/>
        <v>0.38083293048419881</v>
      </c>
      <c r="J575" s="4">
        <f t="shared" si="647"/>
        <v>0.38083293048419919</v>
      </c>
      <c r="K575" s="4">
        <f t="shared" si="647"/>
        <v>0.3808329304841987</v>
      </c>
      <c r="L575" s="4">
        <f t="shared" ref="L575:O575" si="648">IFERROR(L212/L442,"-")</f>
        <v>0.38083293048419908</v>
      </c>
      <c r="M575" s="4">
        <f t="shared" si="648"/>
        <v>0.38083293048419914</v>
      </c>
      <c r="N575" s="4">
        <f t="shared" si="648"/>
        <v>0.38083293048419925</v>
      </c>
      <c r="O575" s="4">
        <f t="shared" si="648"/>
        <v>0.38083293048419881</v>
      </c>
      <c r="P575" s="4">
        <f>IFERROR(P212/P442,"-")</f>
        <v>0.38083293048419892</v>
      </c>
      <c r="Q575" s="4">
        <f>IFERROR(Q212/Q442,"-")</f>
        <v>0.38083293048419886</v>
      </c>
      <c r="S575" s="3"/>
    </row>
    <row r="576" spans="2:19" x14ac:dyDescent="0.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49">IFERROR(G218/G448,"-")</f>
        <v>2</v>
      </c>
      <c r="H576" s="4">
        <f t="shared" si="649"/>
        <v>2</v>
      </c>
      <c r="I576" s="4">
        <f t="shared" si="649"/>
        <v>2</v>
      </c>
      <c r="J576" s="4">
        <f t="shared" si="649"/>
        <v>2</v>
      </c>
      <c r="K576" s="4" t="str">
        <f t="shared" si="649"/>
        <v>-</v>
      </c>
      <c r="L576" s="4" t="str">
        <f t="shared" ref="L576:O576" si="650">IFERROR(L218/L448,"-")</f>
        <v>-</v>
      </c>
      <c r="M576" s="4" t="str">
        <f t="shared" si="650"/>
        <v>-</v>
      </c>
      <c r="N576" s="4" t="str">
        <f t="shared" si="650"/>
        <v>-</v>
      </c>
      <c r="O576" s="4" t="str">
        <f t="shared" si="650"/>
        <v>-</v>
      </c>
      <c r="P576" s="4" t="str">
        <f>IFERROR(P218/P448,"-")</f>
        <v>-</v>
      </c>
      <c r="Q576" s="4" t="str">
        <f>IFERROR(Q218/Q448,"-")</f>
        <v>-</v>
      </c>
      <c r="S576" s="3"/>
    </row>
    <row r="577" spans="2:19" x14ac:dyDescent="0.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0.8544550111113246</v>
      </c>
      <c r="G577" s="4">
        <f t="shared" ref="G577:K577" si="651">IFERROR(G220/G450,"-")</f>
        <v>0.85445501111132571</v>
      </c>
      <c r="H577" s="4">
        <f t="shared" si="651"/>
        <v>0.8544550111113256</v>
      </c>
      <c r="I577" s="4">
        <f t="shared" si="651"/>
        <v>0.85445501111132516</v>
      </c>
      <c r="J577" s="4">
        <f t="shared" si="651"/>
        <v>0.85445501111132593</v>
      </c>
      <c r="K577" s="4">
        <f t="shared" si="651"/>
        <v>0.85445501111132538</v>
      </c>
      <c r="L577" s="4">
        <f t="shared" ref="L577:O577" si="652">IFERROR(L220/L450,"-")</f>
        <v>0.8544550111113246</v>
      </c>
      <c r="M577" s="4">
        <f t="shared" si="652"/>
        <v>0.85445501111132538</v>
      </c>
      <c r="N577" s="4">
        <f t="shared" si="652"/>
        <v>0.85445501111132494</v>
      </c>
      <c r="O577" s="4">
        <f t="shared" si="652"/>
        <v>0.85445501111132516</v>
      </c>
      <c r="P577" s="4">
        <f>IFERROR(P220/P450,"-")</f>
        <v>0.8544550111113256</v>
      </c>
      <c r="Q577" s="4">
        <f>IFERROR(Q220/Q450,"-")</f>
        <v>0.85445501111132505</v>
      </c>
      <c r="S577" s="3"/>
    </row>
    <row r="578" spans="2:19" x14ac:dyDescent="0.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0.69999999999999951</v>
      </c>
      <c r="G578" s="4">
        <f t="shared" ref="G578:K578" si="653">IFERROR(G226/G456,"-")</f>
        <v>0.70000000000000084</v>
      </c>
      <c r="H578" s="4">
        <f t="shared" si="653"/>
        <v>0.7000000000000004</v>
      </c>
      <c r="I578" s="4">
        <f t="shared" si="653"/>
        <v>0.69999999999999962</v>
      </c>
      <c r="J578" s="4">
        <f t="shared" si="653"/>
        <v>0.69999999999999885</v>
      </c>
      <c r="K578" s="4">
        <f t="shared" si="653"/>
        <v>0.6999999999999994</v>
      </c>
      <c r="L578" s="4">
        <f t="shared" ref="L578:O578" si="654">IFERROR(L226/L456,"-")</f>
        <v>0.69999999999999984</v>
      </c>
      <c r="M578" s="4">
        <f t="shared" si="654"/>
        <v>0.7</v>
      </c>
      <c r="N578" s="4">
        <f t="shared" si="654"/>
        <v>0.69999999999999973</v>
      </c>
      <c r="O578" s="4">
        <f t="shared" si="654"/>
        <v>0.70000000000000007</v>
      </c>
      <c r="P578" s="4">
        <f>IFERROR(P226/P456,"-")</f>
        <v>0.70000000000000007</v>
      </c>
      <c r="Q578" s="4">
        <f>IFERROR(Q226/Q456,"-")</f>
        <v>0.70000000000000051</v>
      </c>
      <c r="S578" s="3"/>
    </row>
    <row r="579" spans="2:19" x14ac:dyDescent="0.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55">IFERROR(G228/G458,"-")</f>
        <v>-</v>
      </c>
      <c r="H579" t="str">
        <f t="shared" si="655"/>
        <v>-</v>
      </c>
      <c r="I579">
        <f t="shared" si="655"/>
        <v>0.50000000000000044</v>
      </c>
      <c r="J579">
        <f t="shared" si="655"/>
        <v>0.49999999999999983</v>
      </c>
      <c r="K579">
        <f t="shared" si="655"/>
        <v>0.49999999999999994</v>
      </c>
      <c r="L579">
        <f t="shared" ref="L579:O579" si="656">IFERROR(L228/L458,"-")</f>
        <v>0.50000000000000022</v>
      </c>
      <c r="M579">
        <f t="shared" si="656"/>
        <v>0.5</v>
      </c>
      <c r="N579">
        <f t="shared" si="656"/>
        <v>0.50000000000000022</v>
      </c>
      <c r="O579">
        <f t="shared" si="656"/>
        <v>0.49999999999999989</v>
      </c>
      <c r="P579">
        <f>IFERROR(P228/P458,"-")</f>
        <v>0.50000000000000033</v>
      </c>
      <c r="Q579">
        <f>IFERROR(Q228/Q458,"-")</f>
        <v>0.50000000000000044</v>
      </c>
      <c r="S579" s="3"/>
    </row>
    <row r="580" spans="2:19" x14ac:dyDescent="0.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57">IFERROR(G230/G460,"-")</f>
        <v>-</v>
      </c>
      <c r="H580" t="str">
        <f t="shared" si="657"/>
        <v>-</v>
      </c>
      <c r="I580" t="str">
        <f t="shared" si="657"/>
        <v>-</v>
      </c>
      <c r="J580" t="str">
        <f t="shared" si="657"/>
        <v>-</v>
      </c>
      <c r="K580">
        <f t="shared" si="657"/>
        <v>0.85</v>
      </c>
      <c r="L580">
        <f t="shared" ref="L580:O580" si="658">IFERROR(L230/L460,"-")</f>
        <v>0.85000000000000031</v>
      </c>
      <c r="M580">
        <f t="shared" si="658"/>
        <v>0.84999999999999931</v>
      </c>
      <c r="N580">
        <f t="shared" si="658"/>
        <v>0.84999999999999876</v>
      </c>
      <c r="O580">
        <f t="shared" si="658"/>
        <v>0.84999999999999964</v>
      </c>
      <c r="P580">
        <f>IFERROR(P230/P460,"-")</f>
        <v>0.84999999999999865</v>
      </c>
      <c r="Q580">
        <f>IFERROR(Q230/Q460,"-")</f>
        <v>0.85000000000000087</v>
      </c>
      <c r="S580" s="3"/>
    </row>
    <row r="581" spans="2:19" x14ac:dyDescent="0.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59">IFERROR(G232/G462,"-")</f>
        <v>2.9999999999999982</v>
      </c>
      <c r="H581" s="4">
        <f t="shared" si="659"/>
        <v>2.9999999999999987</v>
      </c>
      <c r="I581" s="4">
        <f t="shared" si="659"/>
        <v>2.9999999999999996</v>
      </c>
      <c r="J581" s="4">
        <f t="shared" si="659"/>
        <v>3.0000000000000009</v>
      </c>
      <c r="K581" s="4">
        <f t="shared" si="659"/>
        <v>3.0000000000000009</v>
      </c>
      <c r="L581" s="4">
        <f t="shared" ref="L581:O581" si="660">IFERROR(L232/L462,"-")</f>
        <v>3.0000000000000013</v>
      </c>
      <c r="M581" s="4">
        <f t="shared" si="660"/>
        <v>3.0000000000000009</v>
      </c>
      <c r="N581" s="4">
        <f t="shared" si="660"/>
        <v>3.0000000000000009</v>
      </c>
      <c r="O581" s="4">
        <f t="shared" si="660"/>
        <v>3.0000000000000018</v>
      </c>
      <c r="P581" s="4">
        <f>IFERROR(P232/P462,"-")</f>
        <v>2.9999999999999996</v>
      </c>
      <c r="Q581" s="4">
        <f>IFERROR(Q232/Q462,"-")</f>
        <v>3</v>
      </c>
      <c r="S581" s="3"/>
    </row>
    <row r="582" spans="2:19" x14ac:dyDescent="0.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0.73065900851462517</v>
      </c>
      <c r="G582" s="3">
        <f>[1]Other_transformation!C$5</f>
        <v>0.6372593897881712</v>
      </c>
      <c r="H582" s="3">
        <f>[1]Other_transformation!D$5</f>
        <v>0.47838955303427022</v>
      </c>
      <c r="I582" s="3">
        <f>[1]Other_transformation!E$5</f>
        <v>1.7457827820223056E-4</v>
      </c>
      <c r="J582" s="3">
        <f>[1]Other_transformation!F$5</f>
        <v>3.5814279291313715E-4</v>
      </c>
      <c r="K582" s="3">
        <f>[1]Other_transformation!G$5</f>
        <v>2.9774699136136029E-4</v>
      </c>
      <c r="L582" s="3">
        <f>[1]Other_transformation!H$5</f>
        <v>2.3620969687954084E-4</v>
      </c>
      <c r="M582" s="3">
        <f>[1]Other_transformation!I$5</f>
        <v>3.3816825262591053</v>
      </c>
      <c r="N582" s="3">
        <f>[1]Other_transformation!J$5</f>
        <v>3.8503988497028745</v>
      </c>
      <c r="O582" s="3">
        <f>[1]Other_transformation!K$5</f>
        <v>3.3824774147748156</v>
      </c>
      <c r="P582" s="3">
        <f>[1]Other_transformation!L$5</f>
        <v>3.867586559199987</v>
      </c>
      <c r="Q582" s="3">
        <f>[1]Other_transformation!M$5</f>
        <v>3.9511503077307588</v>
      </c>
      <c r="S582" s="3"/>
    </row>
    <row r="583" spans="2:19" x14ac:dyDescent="0.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0.73065900851462517</v>
      </c>
      <c r="G583" s="1">
        <f t="shared" ref="G583:K583" si="661">G582</f>
        <v>0.6372593897881712</v>
      </c>
      <c r="H583" s="1">
        <f t="shared" si="661"/>
        <v>0.47838955303427022</v>
      </c>
      <c r="I583" s="1">
        <f t="shared" si="661"/>
        <v>1.7457827820223056E-4</v>
      </c>
      <c r="J583" s="1">
        <f t="shared" si="661"/>
        <v>3.5814279291313715E-4</v>
      </c>
      <c r="K583" s="1">
        <f t="shared" si="661"/>
        <v>2.9774699136136029E-4</v>
      </c>
      <c r="L583" s="1">
        <f t="shared" ref="L583:O583" si="662">L582</f>
        <v>2.3620969687954084E-4</v>
      </c>
      <c r="M583" s="1">
        <f t="shared" si="662"/>
        <v>3.3816825262591053</v>
      </c>
      <c r="N583" s="1">
        <f t="shared" si="662"/>
        <v>3.8503988497028745</v>
      </c>
      <c r="O583" s="1">
        <f t="shared" si="662"/>
        <v>3.3824774147748156</v>
      </c>
      <c r="P583" s="1">
        <f>P582</f>
        <v>3.867586559199987</v>
      </c>
      <c r="Q583" s="1">
        <f>Q582</f>
        <v>3.9511503077307588</v>
      </c>
      <c r="S583" s="3"/>
    </row>
    <row r="584" spans="2:19" x14ac:dyDescent="0.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0.73065900851462517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0.6372593897881712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0.47838955303427022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1.7457827820223056E-4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3.5814279291313715E-4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2.0863707227833204E-4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1.0174426652314434E-4</v>
      </c>
      <c r="M584" s="1" cm="1">
        <f t="array" ref="M584">SUMPRODUCT(("CT_CWODBDS"=[1]OUT_SyntheticFuels!$C$4:$C$1000)*1,("BDS"=[1]OUT_SyntheticFuels!$A$4:$A$1000)*1,("Var_Fout"=[1]OUT_SyntheticFuels!$B$4:$B$1000)*1,[1]OUT_SyntheticFuels!L$4:L$1000)</f>
        <v>5.8509835280570593E-5</v>
      </c>
      <c r="N584" s="1" cm="1">
        <f t="array" ref="N584">SUMPRODUCT(("CT_CWODBDS"=[1]OUT_SyntheticFuels!$C$4:$C$1000)*1,("BDS"=[1]OUT_SyntheticFuels!$A$4:$A$1000)*1,("Var_Fout"=[1]OUT_SyntheticFuels!$B$4:$B$1000)*1,[1]OUT_SyntheticFuels!M$4:M$1000)</f>
        <v>4.9934350072052869E-5</v>
      </c>
      <c r="O584" s="1" cm="1">
        <f t="array" ref="O584">SUMPRODUCT(("CT_CWODBDS"=[1]OUT_SyntheticFuels!$C$4:$C$1000)*1,("BDS"=[1]OUT_SyntheticFuels!$A$4:$A$1000)*1,("Var_Fout"=[1]OUT_SyntheticFuels!$B$4:$B$1000)*1,[1]OUT_SyntheticFuels!N$4:N$1000)</f>
        <v>8.5405454735156894E-4</v>
      </c>
      <c r="P584" s="1" cm="1">
        <f t="array" ref="P584">SUMPRODUCT(("CT_CWODBDS"=[1]OUT_SyntheticFuels!$C$4:$C$1000)*1,("BDS"=[1]OUT_SyntheticFuels!$A$4:$A$1000)*1,("Var_Fout"=[1]OUT_SyntheticFuels!$B$4:$B$1000)*1,[1]OUT_SyntheticFuels!O$4:O$1000)</f>
        <v>7.4607300442019447E-5</v>
      </c>
      <c r="Q584" s="1" cm="1">
        <f t="array" ref="Q584">SUMPRODUCT(("CT_CWODBDS"=[1]OUT_SyntheticFuels!$C$4:$C$1000)*1,("BDS"=[1]OUT_SyntheticFuels!$A$4:$A$1000)*1,("Var_Fout"=[1]OUT_SyntheticFuels!$B$4:$B$1000)*1,[1]OUT_SyntheticFuels!P$4:P$1000)</f>
        <v>3.211421631545945E-4</v>
      </c>
      <c r="S584" s="3"/>
    </row>
    <row r="585" spans="2:19" x14ac:dyDescent="0.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8.9109919083028247E-5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1.344654303563965E-4</v>
      </c>
      <c r="M585" s="1" cm="1">
        <f t="array" ref="M585">SUMPRODUCT(("CT_CWODBDSCCS"=[1]OUT_SyntheticFuels!$C$4:$C$1000)*1,("BDS"=[1]OUT_SyntheticFuels!$A$4:$A$1000)*1,("Var_Fout"=[1]OUT_SyntheticFuels!$B$4:$B$1000)*1,[1]OUT_SyntheticFuels!L$4:L$1000)</f>
        <v>3.3816240164238245</v>
      </c>
      <c r="N585" s="1" cm="1">
        <f t="array" ref="N585">SUMPRODUCT(("CT_CWODBDSCCS"=[1]OUT_SyntheticFuels!$C$4:$C$1000)*1,("BDS"=[1]OUT_SyntheticFuels!$A$4:$A$1000)*1,("Var_Fout"=[1]OUT_SyntheticFuels!$B$4:$B$1000)*1,[1]OUT_SyntheticFuels!M$4:M$1000)</f>
        <v>3.8503489153528023</v>
      </c>
      <c r="O585" s="1" cm="1">
        <f t="array" ref="O585">SUMPRODUCT(("CT_CWODBDSCCS"=[1]OUT_SyntheticFuels!$C$4:$C$1000)*1,("BDS"=[1]OUT_SyntheticFuels!$A$4:$A$1000)*1,("Var_Fout"=[1]OUT_SyntheticFuels!$B$4:$B$1000)*1,[1]OUT_SyntheticFuels!N$4:N$1000)</f>
        <v>3.3816233602274641</v>
      </c>
      <c r="P585" s="1" cm="1">
        <f t="array" ref="P585">SUMPRODUCT(("CT_CWODBDSCCS"=[1]OUT_SyntheticFuels!$C$4:$C$1000)*1,("BDS"=[1]OUT_SyntheticFuels!$A$4:$A$1000)*1,("Var_Fout"=[1]OUT_SyntheticFuels!$B$4:$B$1000)*1,[1]OUT_SyntheticFuels!O$4:O$1000)</f>
        <v>3.8675119518995449</v>
      </c>
      <c r="Q585" s="1" cm="1">
        <f t="array" ref="Q585">SUMPRODUCT(("CT_CWODBDSCCS"=[1]OUT_SyntheticFuels!$C$4:$C$1000)*1,("BDS"=[1]OUT_SyntheticFuels!$A$4:$A$1000)*1,("Var_Fout"=[1]OUT_SyntheticFuels!$B$4:$B$1000)*1,[1]OUT_SyntheticFuels!P$4:P$1000)</f>
        <v>3.9508291655676042</v>
      </c>
      <c r="S585" s="3"/>
    </row>
    <row r="586" spans="2:19" x14ac:dyDescent="0.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0.28495701332070361</v>
      </c>
      <c r="G586" s="3">
        <f t="shared" ref="G586:O586" si="663">G587</f>
        <v>0.24853116201738595</v>
      </c>
      <c r="H586" s="3">
        <f t="shared" si="663"/>
        <v>0.18657192568336531</v>
      </c>
      <c r="I586" s="3">
        <f t="shared" si="663"/>
        <v>6.808552849886988E-5</v>
      </c>
      <c r="J586" s="3">
        <f t="shared" si="663"/>
        <v>1.3967568923612333E-4</v>
      </c>
      <c r="K586" s="3">
        <f t="shared" si="663"/>
        <v>1.161213266309304E-4</v>
      </c>
      <c r="L586" s="3">
        <f t="shared" si="663"/>
        <v>9.2121781783020815E-5</v>
      </c>
      <c r="M586" s="3">
        <f t="shared" si="663"/>
        <v>1.3188561852410496</v>
      </c>
      <c r="N586" s="3">
        <f t="shared" si="663"/>
        <v>1.5016555513841174</v>
      </c>
      <c r="O586" s="3">
        <f t="shared" si="663"/>
        <v>1.3191661917621771</v>
      </c>
      <c r="P586" s="3">
        <f>P587</f>
        <v>1.5083587580879905</v>
      </c>
      <c r="Q586" s="3">
        <f>Q587</f>
        <v>1.5409486200149929</v>
      </c>
      <c r="S586" s="3"/>
    </row>
    <row r="587" spans="2:19" x14ac:dyDescent="0.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0.28495701332070361</v>
      </c>
      <c r="G587" s="1">
        <f t="shared" ref="G587:K587" si="664">SUM(G588:G589)</f>
        <v>0.24853116201738595</v>
      </c>
      <c r="H587" s="1">
        <f t="shared" si="664"/>
        <v>0.18657192568336531</v>
      </c>
      <c r="I587" s="1">
        <f t="shared" si="664"/>
        <v>6.808552849886988E-5</v>
      </c>
      <c r="J587" s="1">
        <f t="shared" si="664"/>
        <v>1.3967568923612333E-4</v>
      </c>
      <c r="K587" s="1">
        <f t="shared" si="664"/>
        <v>1.161213266309304E-4</v>
      </c>
      <c r="L587" s="1">
        <f t="shared" ref="L587:O587" si="665">SUM(L588:L589)</f>
        <v>9.2121781783020815E-5</v>
      </c>
      <c r="M587" s="1">
        <f t="shared" si="665"/>
        <v>1.3188561852410496</v>
      </c>
      <c r="N587" s="1">
        <f t="shared" si="665"/>
        <v>1.5016555513841174</v>
      </c>
      <c r="O587" s="1">
        <f t="shared" si="665"/>
        <v>1.3191661917621771</v>
      </c>
      <c r="P587" s="1">
        <f>SUM(P588:P589)</f>
        <v>1.5083587580879905</v>
      </c>
      <c r="Q587" s="1">
        <f>SUM(Q588:Q589)</f>
        <v>1.5409486200149929</v>
      </c>
      <c r="S587" s="3"/>
    </row>
    <row r="588" spans="2:19" x14ac:dyDescent="0.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0.28495701332070361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0.24853116201738595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0.18657192568336531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6.808552849886988E-5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1.3967568923612333E-4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8.1368458188549436E-5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3.9680263944026296E-5</v>
      </c>
      <c r="M588" s="1" cm="1">
        <f t="array" ref="M588">SUMPRODUCT(("CT_CWODBDS"=[1]OUT_SyntheticFuels!$C$4:$C$1000)*1,("LTH"=[1]OUT_SyntheticFuels!$A$4:$A$1000)*1,("Var_Fout"=[1]OUT_SyntheticFuels!$B$4:$B$1000)*1,[1]OUT_SyntheticFuels!L$4:L$1000)</f>
        <v>2.2818835759422512E-5</v>
      </c>
      <c r="N588" s="1" cm="1">
        <f t="array" ref="N588">SUMPRODUCT(("CT_CWODBDS"=[1]OUT_SyntheticFuels!$C$4:$C$1000)*1,("LTH"=[1]OUT_SyntheticFuels!$A$4:$A$1000)*1,("Var_Fout"=[1]OUT_SyntheticFuels!$B$4:$B$1000)*1,[1]OUT_SyntheticFuels!M$4:M$1000)</f>
        <v>1.9474396528100591E-5</v>
      </c>
      <c r="O588" s="1" cm="1">
        <f t="array" ref="O588">SUMPRODUCT(("CT_CWODBDS"=[1]OUT_SyntheticFuels!$C$4:$C$1000)*1,("LTH"=[1]OUT_SyntheticFuels!$A$4:$A$1000)*1,("Var_Fout"=[1]OUT_SyntheticFuels!$B$4:$B$1000)*1,[1]OUT_SyntheticFuels!N$4:N$1000)</f>
        <v>3.3308127346711114E-4</v>
      </c>
      <c r="P588" s="1" cm="1">
        <f t="array" ref="P588">SUMPRODUCT(("CT_CWODBDS"=[1]OUT_SyntheticFuels!$C$4:$C$1000)*1,("LTH"=[1]OUT_SyntheticFuels!$A$4:$A$1000)*1,("Var_Fout"=[1]OUT_SyntheticFuels!$B$4:$B$1000)*1,[1]OUT_SyntheticFuels!O$4:O$1000)</f>
        <v>2.9096847172387577E-5</v>
      </c>
      <c r="Q588" s="1" cm="1">
        <f t="array" ref="Q588">SUMPRODUCT(("CT_CWODBDS"=[1]OUT_SyntheticFuels!$C$4:$C$1000)*1,("LTH"=[1]OUT_SyntheticFuels!$A$4:$A$1000)*1,("Var_Fout"=[1]OUT_SyntheticFuels!$B$4:$B$1000)*1,[1]OUT_SyntheticFuels!P$4:P$1000)</f>
        <v>1.2524544363029164E-4</v>
      </c>
      <c r="S588" s="3"/>
    </row>
    <row r="589" spans="2:19" x14ac:dyDescent="0.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3.4752868442380971E-5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5.2441517838994519E-5</v>
      </c>
      <c r="M589" s="1" cm="1">
        <f t="array" ref="M589">SUMPRODUCT(("CT_CWODBDSCCS"=[1]OUT_SyntheticFuels!$C$4:$C$1000)*1,("LTH"=[1]OUT_SyntheticFuels!$A$4:$A$1000)*1,("Var_Fout"=[1]OUT_SyntheticFuels!$B$4:$B$1000)*1,[1]OUT_SyntheticFuels!L$4:L$1000)</f>
        <v>1.3188333664052903</v>
      </c>
      <c r="N589" s="1" cm="1">
        <f t="array" ref="N589">SUMPRODUCT(("CT_CWODBDSCCS"=[1]OUT_SyntheticFuels!$C$4:$C$1000)*1,("LTH"=[1]OUT_SyntheticFuels!$A$4:$A$1000)*1,("Var_Fout"=[1]OUT_SyntheticFuels!$B$4:$B$1000)*1,[1]OUT_SyntheticFuels!M$4:M$1000)</f>
        <v>1.5016360769875894</v>
      </c>
      <c r="O589" s="1" cm="1">
        <f t="array" ref="O589">SUMPRODUCT(("CT_CWODBDSCCS"=[1]OUT_SyntheticFuels!$C$4:$C$1000)*1,("LTH"=[1]OUT_SyntheticFuels!$A$4:$A$1000)*1,("Var_Fout"=[1]OUT_SyntheticFuels!$B$4:$B$1000)*1,[1]OUT_SyntheticFuels!N$4:N$1000)</f>
        <v>1.3188331104887099</v>
      </c>
      <c r="P589" s="1" cm="1">
        <f t="array" ref="P589">SUMPRODUCT(("CT_CWODBDSCCS"=[1]OUT_SyntheticFuels!$C$4:$C$1000)*1,("LTH"=[1]OUT_SyntheticFuels!$A$4:$A$1000)*1,("Var_Fout"=[1]OUT_SyntheticFuels!$B$4:$B$1000)*1,[1]OUT_SyntheticFuels!O$4:O$1000)</f>
        <v>1.5083296612408181</v>
      </c>
      <c r="Q589" s="1" cm="1">
        <f t="array" ref="Q589">SUMPRODUCT(("CT_CWODBDSCCS"=[1]OUT_SyntheticFuels!$C$4:$C$1000)*1,("LTH"=[1]OUT_SyntheticFuels!$A$4:$A$1000)*1,("Var_Fout"=[1]OUT_SyntheticFuels!$B$4:$B$1000)*1,[1]OUT_SyntheticFuels!P$4:P$1000)</f>
        <v>1.5408233745713626</v>
      </c>
      <c r="S589" s="3"/>
    </row>
    <row r="590" spans="2:19" x14ac:dyDescent="0.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2.1327936458541887</v>
      </c>
      <c r="G590" s="3">
        <f t="shared" ref="G590:K590" si="666">G591+G594</f>
        <v>1.8601601587916701</v>
      </c>
      <c r="H590" s="3">
        <f t="shared" si="666"/>
        <v>1.3964191053070358</v>
      </c>
      <c r="I590" s="3">
        <f t="shared" si="666"/>
        <v>5.0959399407231082E-4</v>
      </c>
      <c r="J590" s="3">
        <f t="shared" si="666"/>
        <v>1.0454188125134463E-3</v>
      </c>
      <c r="K590" s="3">
        <f t="shared" si="666"/>
        <v>8.7443187296347056E-4</v>
      </c>
      <c r="L590" s="3">
        <f t="shared" ref="L590:O590" si="667">L591+L594</f>
        <v>6.9750640297118211E-4</v>
      </c>
      <c r="M590" s="3">
        <f t="shared" si="667"/>
        <v>10.072579467700152</v>
      </c>
      <c r="N590" s="3">
        <f t="shared" si="667"/>
        <v>11.468685027668691</v>
      </c>
      <c r="O590" s="3">
        <f t="shared" si="667"/>
        <v>10.074899708186942</v>
      </c>
      <c r="P590" s="3">
        <f>P591+P594</f>
        <v>11.51987837829649</v>
      </c>
      <c r="Q590" s="3">
        <f>Q591+Q594</f>
        <v>11.7687642857006</v>
      </c>
      <c r="S590" s="3"/>
    </row>
    <row r="591" spans="2:19" x14ac:dyDescent="0.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2.0820128447624224</v>
      </c>
      <c r="G591" s="1">
        <f t="shared" ref="G591:K591" si="668">SUM(G592:G593)</f>
        <v>1.8158706312013921</v>
      </c>
      <c r="H591" s="1">
        <f t="shared" si="668"/>
        <v>1.363171031371154</v>
      </c>
      <c r="I591" s="1">
        <f t="shared" si="668"/>
        <v>4.9746080373725581E-4</v>
      </c>
      <c r="J591" s="1">
        <f t="shared" si="668"/>
        <v>1.0205278884059834E-3</v>
      </c>
      <c r="K591" s="1">
        <f t="shared" si="668"/>
        <v>8.4843005188419568E-4</v>
      </c>
      <c r="L591" s="1">
        <f t="shared" ref="L591:O591" si="669">SUM(L592:L593)</f>
        <v>6.7307953125825151E-4</v>
      </c>
      <c r="M591" s="1">
        <f t="shared" si="669"/>
        <v>9.6361043585753237</v>
      </c>
      <c r="N591" s="1">
        <f t="shared" si="669"/>
        <v>10.971711522228325</v>
      </c>
      <c r="O591" s="1">
        <f t="shared" si="669"/>
        <v>9.6383693934008274</v>
      </c>
      <c r="P591" s="1">
        <f>SUM(P592:P593)</f>
        <v>11.020687900440361</v>
      </c>
      <c r="Q591" s="1">
        <f>SUM(Q592:Q593)</f>
        <v>11.258802801878785</v>
      </c>
      <c r="S591" s="3"/>
    </row>
    <row r="592" spans="2:19" x14ac:dyDescent="0.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2.0820128447624224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1.8158706312013921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1.363171031371154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4.9746080373725581E-4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1.0205278884059834E-3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5.9451133745710679E-4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2.8992028745769978E-4</v>
      </c>
      <c r="M592" s="1" cm="1">
        <f t="array" ref="M592">SUMPRODUCT(("CT_CWODBDS"=[1]OUT_SyntheticFuels!$C$4:$C$1000)*1,("CWOD"=[1]OUT_SyntheticFuels!$A$4:$A$1000)*1,("Var_Fin"=[1]OUT_SyntheticFuels!$B$4:$B$1000)*1,[1]OUT_SyntheticFuels!L$4:L$1000)</f>
        <v>1.6672377563198572E-4</v>
      </c>
      <c r="N592" s="1" cm="1">
        <f t="array" ref="N592">SUMPRODUCT(("CT_CWODBDS"=[1]OUT_SyntheticFuels!$C$4:$C$1000)*1,("CWOD"=[1]OUT_SyntheticFuels!$A$4:$A$1000)*1,("Var_Fin"=[1]OUT_SyntheticFuels!$B$4:$B$1000)*1,[1]OUT_SyntheticFuels!M$4:M$1000)</f>
        <v>1.422879305303147E-4</v>
      </c>
      <c r="O592" s="1" cm="1">
        <f t="array" ref="O592">SUMPRODUCT(("CT_CWODBDS"=[1]OUT_SyntheticFuels!$C$4:$C$1000)*1,("CWOD"=[1]OUT_SyntheticFuels!$A$4:$A$1000)*1,("Var_Fin"=[1]OUT_SyntheticFuels!$B$4:$B$1000)*1,[1]OUT_SyntheticFuels!N$4:N$1000)</f>
        <v>2.4336284326782922E-3</v>
      </c>
      <c r="P592" s="1" cm="1">
        <f t="array" ref="P592">SUMPRODUCT(("CT_CWODBDS"=[1]OUT_SyntheticFuels!$C$4:$C$1000)*1,("CWOD"=[1]OUT_SyntheticFuels!$A$4:$A$1000)*1,("Var_Fin"=[1]OUT_SyntheticFuels!$B$4:$B$1000)*1,[1]OUT_SyntheticFuels!O$4:O$1000)</f>
        <v>2.1259350260953441E-4</v>
      </c>
      <c r="Q592" s="1" cm="1">
        <f t="array" ref="Q592">SUMPRODUCT(("CT_CWODBDS"=[1]OUT_SyntheticFuels!$C$4:$C$1000)*1,("CWOD"=[1]OUT_SyntheticFuels!$A$4:$A$1000)*1,("Var_Fin"=[1]OUT_SyntheticFuels!$B$4:$B$1000)*1,[1]OUT_SyntheticFuels!P$4:P$1000)</f>
        <v>9.1509459390901613E-4</v>
      </c>
      <c r="S592" s="3"/>
    </row>
    <row r="593" spans="2:19" x14ac:dyDescent="0.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2.5391871442708889E-4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3.8315924380055174E-4</v>
      </c>
      <c r="M593" s="1" cm="1">
        <f t="array" ref="M593">SUMPRODUCT(("CT_CWODBDSCCS"=[1]OUT_SyntheticFuels!$C$4:$C$1000)*1,("CWOD"=[1]OUT_SyntheticFuels!$A$4:$A$1000)*1,("Var_Fin"=[1]OUT_SyntheticFuels!$B$4:$B$1000)*1,[1]OUT_SyntheticFuels!L$4:L$1000)</f>
        <v>9.6359376347996921</v>
      </c>
      <c r="N593" s="1" cm="1">
        <f t="array" ref="N593">SUMPRODUCT(("CT_CWODBDSCCS"=[1]OUT_SyntheticFuels!$C$4:$C$1000)*1,("CWOD"=[1]OUT_SyntheticFuels!$A$4:$A$1000)*1,("Var_Fin"=[1]OUT_SyntheticFuels!$B$4:$B$1000)*1,[1]OUT_SyntheticFuels!M$4:M$1000)</f>
        <v>10.971569234297796</v>
      </c>
      <c r="O593" s="1" cm="1">
        <f t="array" ref="O593">SUMPRODUCT(("CT_CWODBDSCCS"=[1]OUT_SyntheticFuels!$C$4:$C$1000)*1,("CWOD"=[1]OUT_SyntheticFuels!$A$4:$A$1000)*1,("Var_Fin"=[1]OUT_SyntheticFuels!$B$4:$B$1000)*1,[1]OUT_SyntheticFuels!N$4:N$1000)</f>
        <v>9.6359357649681492</v>
      </c>
      <c r="P593" s="1" cm="1">
        <f t="array" ref="P593">SUMPRODUCT(("CT_CWODBDSCCS"=[1]OUT_SyntheticFuels!$C$4:$C$1000)*1,("CWOD"=[1]OUT_SyntheticFuels!$A$4:$A$1000)*1,("Var_Fin"=[1]OUT_SyntheticFuels!$B$4:$B$1000)*1,[1]OUT_SyntheticFuels!O$4:O$1000)</f>
        <v>11.020475306937751</v>
      </c>
      <c r="Q593" s="1" cm="1">
        <f t="array" ref="Q593">SUMPRODUCT(("CT_CWODBDSCCS"=[1]OUT_SyntheticFuels!$C$4:$C$1000)*1,("CWOD"=[1]OUT_SyntheticFuels!$A$4:$A$1000)*1,("Var_Fin"=[1]OUT_SyntheticFuels!$B$4:$B$1000)*1,[1]OUT_SyntheticFuels!P$4:P$1000)</f>
        <v>11.257887707284876</v>
      </c>
      <c r="S593" s="3"/>
    </row>
    <row r="594" spans="2:19" x14ac:dyDescent="0.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5.0780801091766428E-2</v>
      </c>
      <c r="G594" s="1">
        <f t="shared" ref="G594:K594" si="670">SUM(G595:G596)</f>
        <v>4.4289527590277843E-2</v>
      </c>
      <c r="H594" s="1">
        <f t="shared" si="670"/>
        <v>3.3248073935881806E-2</v>
      </c>
      <c r="I594" s="1">
        <f t="shared" si="670"/>
        <v>1.213319033505503E-5</v>
      </c>
      <c r="J594" s="1">
        <f t="shared" si="670"/>
        <v>2.4890924107463027E-5</v>
      </c>
      <c r="K594" s="1">
        <f t="shared" si="670"/>
        <v>2.6001821079274935E-5</v>
      </c>
      <c r="L594" s="1">
        <f t="shared" ref="L594:O594" si="671">SUM(L595:L596)</f>
        <v>2.4426871712930558E-5</v>
      </c>
      <c r="M594" s="1">
        <f t="shared" si="671"/>
        <v>0.43647510912482729</v>
      </c>
      <c r="N594" s="1">
        <f t="shared" si="671"/>
        <v>0.49697350544036639</v>
      </c>
      <c r="O594" s="1">
        <f t="shared" si="671"/>
        <v>0.43653031478611437</v>
      </c>
      <c r="P594" s="1">
        <f>SUM(P595:P596)</f>
        <v>0.49919047785612852</v>
      </c>
      <c r="Q594" s="1">
        <f>SUM(Q595:Q596)</f>
        <v>0.50996148382181472</v>
      </c>
      <c r="S594" s="3"/>
    </row>
    <row r="595" spans="2:19" x14ac:dyDescent="0.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5.0780801091766428E-2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4.4289527590277843E-2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3.3248073935881806E-2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1.213319033505503E-5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2.4890924107463027E-5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1.4500276523344069E-5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7.0712265233585329E-6</v>
      </c>
      <c r="M595" s="1" cm="1">
        <f t="array" ref="M595">SUMPRODUCT(("CT_CWODBDS"=[1]OUT_SyntheticFuels!$C$4:$C$1000)*1,("Celc"=[1]OUT_SyntheticFuels!$A$4:$A$1000)*1,("Var_Fin"=[1]OUT_SyntheticFuels!$B$4:$B$1000)*1,[1]OUT_SyntheticFuels!L$4:L$1000)</f>
        <v>4.0664335519996573E-6</v>
      </c>
      <c r="N595" s="1" cm="1">
        <f t="array" ref="N595">SUMPRODUCT(("CT_CWODBDS"=[1]OUT_SyntheticFuels!$C$4:$C$1000)*1,("Celc"=[1]OUT_SyntheticFuels!$A$4:$A$1000)*1,("Var_Fin"=[1]OUT_SyntheticFuels!$B$4:$B$1000)*1,[1]OUT_SyntheticFuels!M$4:M$1000)</f>
        <v>3.4704373300076749E-6</v>
      </c>
      <c r="O595" s="1" cm="1">
        <f t="array" ref="O595">SUMPRODUCT(("CT_CWODBDS"=[1]OUT_SyntheticFuels!$C$4:$C$1000)*1,("Celc"=[1]OUT_SyntheticFuels!$A$4:$A$1000)*1,("Var_Fin"=[1]OUT_SyntheticFuels!$B$4:$B$1000)*1,[1]OUT_SyntheticFuels!N$4:N$1000)</f>
        <v>5.9356791040934029E-5</v>
      </c>
      <c r="P595" s="1" cm="1">
        <f t="array" ref="P595">SUMPRODUCT(("CT_CWODBDS"=[1]OUT_SyntheticFuels!$C$4:$C$1000)*1,("Celc"=[1]OUT_SyntheticFuels!$A$4:$A$1000)*1,("Var_Fin"=[1]OUT_SyntheticFuels!$B$4:$B$1000)*1,[1]OUT_SyntheticFuels!O$4:O$1000)</f>
        <v>5.1852073807203558E-6</v>
      </c>
      <c r="Q595" s="1" cm="1">
        <f t="array" ref="Q595">SUMPRODUCT(("CT_CWODBDS"=[1]OUT_SyntheticFuels!$C$4:$C$1000)*1,("Celc"=[1]OUT_SyntheticFuels!$A$4:$A$1000)*1,("Var_Fin"=[1]OUT_SyntheticFuels!$B$4:$B$1000)*1,[1]OUT_SyntheticFuels!P$4:P$1000)</f>
        <v>2.2319380339244295E-5</v>
      </c>
      <c r="S595" s="3"/>
    </row>
    <row r="596" spans="2:19" x14ac:dyDescent="0.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1.1501544555930865E-5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1.7355645189572025E-5</v>
      </c>
      <c r="M596" s="1" cm="1">
        <f t="array" ref="M596">SUMPRODUCT(("CT_CWODBDSCCS"=[1]OUT_SyntheticFuels!$C$4:$C$1000)*1,("Celc"=[1]OUT_SyntheticFuels!$A$4:$A$1000)*1,("Var_Fin"=[1]OUT_SyntheticFuels!$B$4:$B$1000)*1,[1]OUT_SyntheticFuels!L$4:L$1000)</f>
        <v>0.43647104269127529</v>
      </c>
      <c r="N596" s="1" cm="1">
        <f t="array" ref="N596">SUMPRODUCT(("CT_CWODBDSCCS"=[1]OUT_SyntheticFuels!$C$4:$C$1000)*1,("Celc"=[1]OUT_SyntheticFuels!$A$4:$A$1000)*1,("Var_Fin"=[1]OUT_SyntheticFuels!$B$4:$B$1000)*1,[1]OUT_SyntheticFuels!M$4:M$1000)</f>
        <v>0.49697003500303638</v>
      </c>
      <c r="O596" s="1" cm="1">
        <f t="array" ref="O596">SUMPRODUCT(("CT_CWODBDSCCS"=[1]OUT_SyntheticFuels!$C$4:$C$1000)*1,("Celc"=[1]OUT_SyntheticFuels!$A$4:$A$1000)*1,("Var_Fin"=[1]OUT_SyntheticFuels!$B$4:$B$1000)*1,[1]OUT_SyntheticFuels!N$4:N$1000)</f>
        <v>0.43647095799507346</v>
      </c>
      <c r="P596" s="1" cm="1">
        <f t="array" ref="P596">SUMPRODUCT(("CT_CWODBDSCCS"=[1]OUT_SyntheticFuels!$C$4:$C$1000)*1,("Celc"=[1]OUT_SyntheticFuels!$A$4:$A$1000)*1,("Var_Fin"=[1]OUT_SyntheticFuels!$B$4:$B$1000)*1,[1]OUT_SyntheticFuels!O$4:O$1000)</f>
        <v>0.49918529264874778</v>
      </c>
      <c r="Q596" s="1" cm="1">
        <f t="array" ref="Q596">SUMPRODUCT(("CT_CWODBDSCCS"=[1]OUT_SyntheticFuels!$C$4:$C$1000)*1,("Celc"=[1]OUT_SyntheticFuels!$A$4:$A$1000)*1,("Var_Fin"=[1]OUT_SyntheticFuels!$B$4:$B$1000)*1,[1]OUT_SyntheticFuels!P$4:P$1000)</f>
        <v>0.50993916444147547</v>
      </c>
      <c r="S596" s="3"/>
    </row>
    <row r="597" spans="2:19" x14ac:dyDescent="0.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M597" t="s">
        <v>292</v>
      </c>
      <c r="N597" t="s">
        <v>292</v>
      </c>
      <c r="O597" t="s">
        <v>292</v>
      </c>
      <c r="P597" t="s">
        <v>292</v>
      </c>
      <c r="Q597" t="s">
        <v>292</v>
      </c>
      <c r="S597" s="3"/>
    </row>
    <row r="598" spans="2:19" x14ac:dyDescent="0.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0.47619047619047655</v>
      </c>
      <c r="G598" s="4">
        <f t="shared" ref="G598:K599" si="672">IFERROR(SUM(G584,G588)/SUM(G592,G595),"-")</f>
        <v>0.47619047619047616</v>
      </c>
      <c r="H598" s="4">
        <f t="shared" si="672"/>
        <v>0.47619047619047578</v>
      </c>
      <c r="I598" s="4">
        <f t="shared" si="672"/>
        <v>0.47619047619047633</v>
      </c>
      <c r="J598" s="4">
        <f t="shared" si="672"/>
        <v>0.47619047619047655</v>
      </c>
      <c r="K598" s="4">
        <f t="shared" si="672"/>
        <v>0.47619047619047644</v>
      </c>
      <c r="L598" s="4">
        <f t="shared" ref="L598:O598" si="673">IFERROR(SUM(L584,L588)/SUM(L592,L595),"-")</f>
        <v>0.47619047619047622</v>
      </c>
      <c r="M598" s="4">
        <f t="shared" si="673"/>
        <v>0.47619047619047661</v>
      </c>
      <c r="N598" s="4">
        <f t="shared" si="673"/>
        <v>0.47619047619047583</v>
      </c>
      <c r="O598" s="4">
        <f t="shared" si="673"/>
        <v>0.47619047619047655</v>
      </c>
      <c r="P598" s="4">
        <f>IFERROR(SUM(P584,P588)/SUM(P592,P595),"-")</f>
        <v>0.47619047619047616</v>
      </c>
      <c r="Q598" s="4">
        <f>IFERROR(SUM(Q584,Q588)/SUM(Q592,Q595),"-")</f>
        <v>0.47619047619047644</v>
      </c>
      <c r="S598" s="3"/>
    </row>
    <row r="599" spans="2:19" x14ac:dyDescent="0.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72"/>
        <v>-</v>
      </c>
      <c r="H599" s="4" t="str">
        <f t="shared" si="672"/>
        <v>-</v>
      </c>
      <c r="I599" s="4" t="str">
        <f t="shared" si="672"/>
        <v>-</v>
      </c>
      <c r="J599" s="4" t="str">
        <f t="shared" si="672"/>
        <v>-</v>
      </c>
      <c r="K599" s="4">
        <f t="shared" si="672"/>
        <v>0.46666666666666667</v>
      </c>
      <c r="L599" s="4">
        <f t="shared" ref="L599:O599" si="674">IFERROR(SUM(L585,L589)/SUM(L593,L596),"-")</f>
        <v>0.46666666666666651</v>
      </c>
      <c r="M599" s="4">
        <f t="shared" si="674"/>
        <v>0.46666666666666629</v>
      </c>
      <c r="N599" s="4">
        <f t="shared" si="674"/>
        <v>0.46666666666666701</v>
      </c>
      <c r="O599" s="4">
        <f t="shared" si="674"/>
        <v>0.46666666666666706</v>
      </c>
      <c r="P599" s="4">
        <f>IFERROR(SUM(P585,P589)/SUM(P593,P596),"-")</f>
        <v>0.46666666666666634</v>
      </c>
      <c r="Q599" s="4">
        <f>IFERROR(SUM(Q585,Q589)/SUM(Q593,Q596),"-")</f>
        <v>0.4666666666666669</v>
      </c>
      <c r="S599" s="3"/>
    </row>
    <row r="600" spans="2:19" x14ac:dyDescent="0.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0.18493621871160124</v>
      </c>
      <c r="G600" s="1">
        <f>[1]Other_transformation!C$12</f>
        <v>4.3678010492048783E-5</v>
      </c>
      <c r="H600" s="1">
        <f>[1]Other_transformation!D$12</f>
        <v>0.18491693710423157</v>
      </c>
      <c r="I600" s="1">
        <f>[1]Other_transformation!E$12</f>
        <v>6.3938889707867299E-5</v>
      </c>
      <c r="J600" s="1">
        <f>[1]Other_transformation!F$12</f>
        <v>9.108826986515608E-5</v>
      </c>
      <c r="K600" s="1">
        <f>[1]Other_transformation!G$12</f>
        <v>1.4056132615971993E-4</v>
      </c>
      <c r="L600" s="1">
        <f>[1]Other_transformation!H$12</f>
        <v>1.0530995792089827E-4</v>
      </c>
      <c r="M600" s="1">
        <f>[1]Other_transformation!I$12</f>
        <v>1.1013075193642354E-4</v>
      </c>
      <c r="N600" s="1">
        <f>[1]Other_transformation!J$12</f>
        <v>1.0927019733401622E-4</v>
      </c>
      <c r="O600" s="1">
        <f>[1]Other_transformation!K$12</f>
        <v>8.5667496318308828E-4</v>
      </c>
      <c r="P600" s="1">
        <f>[1]Other_transformation!L$12</f>
        <v>1.6853360074089259E-4</v>
      </c>
      <c r="Q600" s="1">
        <f>[1]Other_transformation!M$12</f>
        <v>6.7898289447880056E-4</v>
      </c>
      <c r="S600" s="3"/>
    </row>
    <row r="601" spans="2:19" x14ac:dyDescent="0.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0.18493621871160124</v>
      </c>
      <c r="G601" s="1">
        <f t="shared" ref="G601:K601" si="675">SUM(G602:G603)</f>
        <v>4.3678010492048783E-5</v>
      </c>
      <c r="H601" s="1">
        <f t="shared" si="675"/>
        <v>0.18491693710423157</v>
      </c>
      <c r="I601" s="1">
        <f t="shared" si="675"/>
        <v>6.3938889707867299E-5</v>
      </c>
      <c r="J601" s="1">
        <f t="shared" si="675"/>
        <v>9.108826986515608E-5</v>
      </c>
      <c r="K601" s="1">
        <f t="shared" si="675"/>
        <v>1.4056132615971993E-4</v>
      </c>
      <c r="L601" s="1">
        <f t="shared" ref="L601:O601" si="676">SUM(L602:L603)</f>
        <v>1.0530995792089827E-4</v>
      </c>
      <c r="M601" s="1">
        <f t="shared" si="676"/>
        <v>1.1013075193642354E-4</v>
      </c>
      <c r="N601" s="1">
        <f t="shared" si="676"/>
        <v>1.0927019733401622E-4</v>
      </c>
      <c r="O601" s="1">
        <f t="shared" si="676"/>
        <v>8.5667496318308828E-4</v>
      </c>
      <c r="P601" s="1">
        <f>SUM(P602:P603)</f>
        <v>1.6853360074089259E-4</v>
      </c>
      <c r="Q601" s="1">
        <f>SUM(Q602:Q603)</f>
        <v>6.7898289447880056E-4</v>
      </c>
      <c r="S601" s="3"/>
    </row>
    <row r="602" spans="2:19" x14ac:dyDescent="0.5">
      <c r="B602" s="5" t="s">
        <v>6</v>
      </c>
      <c r="C602" s="5" t="s">
        <v>7</v>
      </c>
      <c r="D602" t="s">
        <v>2165</v>
      </c>
      <c r="E602" t="str">
        <f t="shared" ref="E602:E603" si="677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0.18493621871160124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4.3678010492048783E-5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0.18491693710423157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6.3938889707867299E-5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9.108826986515608E-5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8.1604356297404192E-5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5.4504354119805899E-5</v>
      </c>
      <c r="M602" s="1" cm="1">
        <f t="array" ref="M602">SUMPRODUCT(("CT_CWODETH"=[1]OUT_SyntheticFuels!$C$4:$C$1000)*1,("ETH"=[1]OUT_SyntheticFuels!$A$4:$A$1000)*1,("Var_Fout"=[1]OUT_SyntheticFuels!$B$4:$B$1000)*1,[1]OUT_SyntheticFuels!L$4:L$1000)</f>
        <v>5.0927119339314041E-5</v>
      </c>
      <c r="N602" s="1" cm="1">
        <f t="array" ref="N602">SUMPRODUCT(("CT_CWODETH"=[1]OUT_SyntheticFuels!$C$4:$C$1000)*1,("ETH"=[1]OUT_SyntheticFuels!$A$4:$A$1000)*1,("Var_Fout"=[1]OUT_SyntheticFuels!$B$4:$B$1000)*1,[1]OUT_SyntheticFuels!M$4:M$1000)</f>
        <v>4.9178623878172853E-5</v>
      </c>
      <c r="O602" s="1" cm="1">
        <f t="array" ref="O602">SUMPRODUCT(("CT_CWODETH"=[1]OUT_SyntheticFuels!$C$4:$C$1000)*1,("ETH"=[1]OUT_SyntheticFuels!$A$4:$A$1000)*1,("Var_Fout"=[1]OUT_SyntheticFuels!$B$4:$B$1000)*1,[1]OUT_SyntheticFuels!N$4:N$1000)</f>
        <v>4.2139863403304218E-4</v>
      </c>
      <c r="P602" s="1" cm="1">
        <f t="array" ref="P602">SUMPRODUCT(("CT_CWODETH"=[1]OUT_SyntheticFuels!$C$4:$C$1000)*1,("ETH"=[1]OUT_SyntheticFuels!$A$4:$A$1000)*1,("Var_Fout"=[1]OUT_SyntheticFuels!$B$4:$B$1000)*1,[1]OUT_SyntheticFuels!O$4:O$1000)</f>
        <v>7.3970715951610184E-5</v>
      </c>
      <c r="Q602" s="1" cm="1">
        <f t="array" ref="Q602">SUMPRODUCT(("CT_CWODETH"=[1]OUT_SyntheticFuels!$C$4:$C$1000)*1,("ETH"=[1]OUT_SyntheticFuels!$A$4:$A$1000)*1,("Var_Fout"=[1]OUT_SyntheticFuels!$B$4:$B$1000)*1,[1]OUT_SyntheticFuels!P$4:P$1000)</f>
        <v>2.9092560601713831E-4</v>
      </c>
      <c r="S602" s="3"/>
    </row>
    <row r="603" spans="2:19" x14ac:dyDescent="0.5">
      <c r="B603" s="5" t="s">
        <v>6</v>
      </c>
      <c r="C603" s="5" t="s">
        <v>7</v>
      </c>
      <c r="D603" t="s">
        <v>2166</v>
      </c>
      <c r="E603" t="str">
        <f t="shared" si="677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5.8956969862315726E-5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5.0805603801092376E-5</v>
      </c>
      <c r="M603" s="1" cm="1">
        <f t="array" ref="M603">SUMPRODUCT(("CT_CWODETHCCS"=[1]OUT_SyntheticFuels!$C$4:$C$1000)*1,("ETH"=[1]OUT_SyntheticFuels!$A$4:$A$1000)*1,("Var_Fout"=[1]OUT_SyntheticFuels!$B$4:$B$1000)*1,[1]OUT_SyntheticFuels!L$4:L$1000)</f>
        <v>5.9203632597109504E-5</v>
      </c>
      <c r="N603" s="1" cm="1">
        <f t="array" ref="N603">SUMPRODUCT(("CT_CWODETHCCS"=[1]OUT_SyntheticFuels!$C$4:$C$1000)*1,("ETH"=[1]OUT_SyntheticFuels!$A$4:$A$1000)*1,("Var_Fout"=[1]OUT_SyntheticFuels!$B$4:$B$1000)*1,[1]OUT_SyntheticFuels!M$4:M$1000)</f>
        <v>6.0091573455843369E-5</v>
      </c>
      <c r="O603" s="1" cm="1">
        <f t="array" ref="O603">SUMPRODUCT(("CT_CWODETHCCS"=[1]OUT_SyntheticFuels!$C$4:$C$1000)*1,("ETH"=[1]OUT_SyntheticFuels!$A$4:$A$1000)*1,("Var_Fout"=[1]OUT_SyntheticFuels!$B$4:$B$1000)*1,[1]OUT_SyntheticFuels!N$4:N$1000)</f>
        <v>4.352763291500461E-4</v>
      </c>
      <c r="P603" s="1" cm="1">
        <f t="array" ref="P603">SUMPRODUCT(("CT_CWODETHCCS"=[1]OUT_SyntheticFuels!$C$4:$C$1000)*1,("ETH"=[1]OUT_SyntheticFuels!$A$4:$A$1000)*1,("Var_Fout"=[1]OUT_SyntheticFuels!$B$4:$B$1000)*1,[1]OUT_SyntheticFuels!O$4:O$1000)</f>
        <v>9.4562884789282388E-5</v>
      </c>
      <c r="Q603" s="1" cm="1">
        <f t="array" ref="Q603">SUMPRODUCT(("CT_CWODETHCCS"=[1]OUT_SyntheticFuels!$C$4:$C$1000)*1,("ETH"=[1]OUT_SyntheticFuels!$A$4:$A$1000)*1,("Var_Fout"=[1]OUT_SyntheticFuels!$B$4:$B$1000)*1,[1]OUT_SyntheticFuels!P$4:P$1000)</f>
        <v>3.8805728846166225E-4</v>
      </c>
      <c r="S603" s="3"/>
    </row>
    <row r="604" spans="2:19" x14ac:dyDescent="0.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0.68981209579427305</v>
      </c>
      <c r="G604" s="3">
        <f t="shared" ref="G604:K604" si="678">G605+G608</f>
        <v>1.6291897913534188E-4</v>
      </c>
      <c r="H604" s="3">
        <f t="shared" si="678"/>
        <v>0.68974017539878307</v>
      </c>
      <c r="I604" s="3">
        <f t="shared" si="678"/>
        <v>2.3849205861034507E-4</v>
      </c>
      <c r="J604" s="3">
        <f t="shared" si="678"/>
        <v>3.3975924659703221E-4</v>
      </c>
      <c r="K604" s="3">
        <f t="shared" si="678"/>
        <v>5.5141395271242084E-4</v>
      </c>
      <c r="L604" s="3">
        <f t="shared" ref="L604:O604" si="679">L605+L608</f>
        <v>4.1617672079345295E-4</v>
      </c>
      <c r="M604" s="3">
        <f t="shared" si="679"/>
        <v>4.380213757175303E-4</v>
      </c>
      <c r="N604" s="3">
        <f t="shared" si="679"/>
        <v>4.352199598455683E-4</v>
      </c>
      <c r="O604" s="3">
        <f t="shared" si="679"/>
        <v>3.3956247240819392E-3</v>
      </c>
      <c r="P604" s="3">
        <f>P605+P608</f>
        <v>6.7212925776659934E-4</v>
      </c>
      <c r="Q604" s="3">
        <f>Q605+Q608</f>
        <v>2.7111125490982897E-3</v>
      </c>
      <c r="S604" s="3"/>
    </row>
    <row r="605" spans="2:19" x14ac:dyDescent="0.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0.38651669710724662</v>
      </c>
      <c r="G605" s="1">
        <f t="shared" ref="G605:K605" si="680">SUM(G606:G607)</f>
        <v>9.128704192838185E-5</v>
      </c>
      <c r="H605" s="1">
        <f t="shared" si="680"/>
        <v>0.38647639854784355</v>
      </c>
      <c r="I605" s="1">
        <f t="shared" si="680"/>
        <v>1.336322794894427E-4</v>
      </c>
      <c r="J605" s="1">
        <f t="shared" si="680"/>
        <v>1.9037448401817625E-4</v>
      </c>
      <c r="K605" s="1">
        <f t="shared" si="680"/>
        <v>2.9377317167381475E-4</v>
      </c>
      <c r="L605" s="1">
        <f t="shared" ref="L605:O605" si="681">SUM(L606:L607)</f>
        <v>2.2009781205467734E-4</v>
      </c>
      <c r="M605" s="1">
        <f t="shared" si="681"/>
        <v>2.3017327154712525E-4</v>
      </c>
      <c r="N605" s="1">
        <f t="shared" si="681"/>
        <v>2.2837471242809381E-4</v>
      </c>
      <c r="O605" s="1">
        <f t="shared" si="681"/>
        <v>1.790450673052654E-3</v>
      </c>
      <c r="P605" s="1">
        <f>SUM(P606:P607)</f>
        <v>3.5223522554846554E-4</v>
      </c>
      <c r="Q605" s="1">
        <f>SUM(Q606:Q607)</f>
        <v>1.4190742494606923E-3</v>
      </c>
      <c r="S605" s="3"/>
    </row>
    <row r="606" spans="2:19" x14ac:dyDescent="0.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0.38651669710724662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9.128704192838185E-5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0.38647639854784355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1.336322794894427E-4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1.9037448401817625E-4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1.7055310466157481E-4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1.1391410011039427E-4</v>
      </c>
      <c r="M606" s="1" cm="1">
        <f t="array" ref="M606">SUMPRODUCT(("CT_CWODETH"=[1]OUT_SyntheticFuels!$C$4:$C$1000)*1,("cwod"=[1]OUT_SyntheticFuels!$A$4:$A$1000)*1,("Var_Fin"=[1]OUT_SyntheticFuels!$B$4:$B$1000)*1,[1]OUT_SyntheticFuels!L$4:L$1000)</f>
        <v>1.0643767941916636E-4</v>
      </c>
      <c r="N606" s="1" cm="1">
        <f t="array" ref="N606">SUMPRODUCT(("CT_CWODETH"=[1]OUT_SyntheticFuels!$C$4:$C$1000)*1,("cwod"=[1]OUT_SyntheticFuels!$A$4:$A$1000)*1,("Var_Fin"=[1]OUT_SyntheticFuels!$B$4:$B$1000)*1,[1]OUT_SyntheticFuels!M$4:M$1000)</f>
        <v>1.0278332390538123E-4</v>
      </c>
      <c r="O606" s="1" cm="1">
        <f t="array" ref="O606">SUMPRODUCT(("CT_CWODETH"=[1]OUT_SyntheticFuels!$C$4:$C$1000)*1,("cwod"=[1]OUT_SyntheticFuels!$A$4:$A$1000)*1,("Var_Fin"=[1]OUT_SyntheticFuels!$B$4:$B$1000)*1,[1]OUT_SyntheticFuels!N$4:N$1000)</f>
        <v>8.8072314512905843E-4</v>
      </c>
      <c r="P606" s="1" cm="1">
        <f t="array" ref="P606">SUMPRODUCT(("CT_CWODETH"=[1]OUT_SyntheticFuels!$C$4:$C$1000)*1,("cwod"=[1]OUT_SyntheticFuels!$A$4:$A$1000)*1,("Var_Fin"=[1]OUT_SyntheticFuels!$B$4:$B$1000)*1,[1]OUT_SyntheticFuels!O$4:O$1000)</f>
        <v>1.5459879633886522E-4</v>
      </c>
      <c r="Q606" s="1" cm="1">
        <f t="array" ref="Q606">SUMPRODUCT(("CT_CWODETH"=[1]OUT_SyntheticFuels!$C$4:$C$1000)*1,("cwod"=[1]OUT_SyntheticFuels!$A$4:$A$1000)*1,("Var_Fin"=[1]OUT_SyntheticFuels!$B$4:$B$1000)*1,[1]OUT_SyntheticFuels!P$4:P$1000)</f>
        <v>6.0803451657581839E-4</v>
      </c>
      <c r="S606" s="3"/>
    </row>
    <row r="607" spans="2:19" x14ac:dyDescent="0.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1.2322006701223994E-4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1.0618371194428309E-4</v>
      </c>
      <c r="M607" s="1" cm="1">
        <f t="array" ref="M607">SUMPRODUCT(("CT_CWODETHCCS"=[1]OUT_SyntheticFuels!$C$4:$C$1000)*1,("cwod"=[1]OUT_SyntheticFuels!$A$4:$A$1000)*1,("Var_Fin"=[1]OUT_SyntheticFuels!$B$4:$B$1000)*1,[1]OUT_SyntheticFuels!L$4:L$1000)</f>
        <v>1.2373559212795887E-4</v>
      </c>
      <c r="N607" s="1" cm="1">
        <f t="array" ref="N607">SUMPRODUCT(("CT_CWODETHCCS"=[1]OUT_SyntheticFuels!$C$4:$C$1000)*1,("cwod"=[1]OUT_SyntheticFuels!$A$4:$A$1000)*1,("Var_Fin"=[1]OUT_SyntheticFuels!$B$4:$B$1000)*1,[1]OUT_SyntheticFuels!M$4:M$1000)</f>
        <v>1.2559138852271258E-4</v>
      </c>
      <c r="O607" s="1" cm="1">
        <f t="array" ref="O607">SUMPRODUCT(("CT_CWODETHCCS"=[1]OUT_SyntheticFuels!$C$4:$C$1000)*1,("cwod"=[1]OUT_SyntheticFuels!$A$4:$A$1000)*1,("Var_Fin"=[1]OUT_SyntheticFuels!$B$4:$B$1000)*1,[1]OUT_SyntheticFuels!N$4:N$1000)</f>
        <v>9.0972752792359561E-4</v>
      </c>
      <c r="P607" s="1" cm="1">
        <f t="array" ref="P607">SUMPRODUCT(("CT_CWODETHCCS"=[1]OUT_SyntheticFuels!$C$4:$C$1000)*1,("cwod"=[1]OUT_SyntheticFuels!$A$4:$A$1000)*1,("Var_Fin"=[1]OUT_SyntheticFuels!$B$4:$B$1000)*1,[1]OUT_SyntheticFuels!O$4:O$1000)</f>
        <v>1.9763642920960035E-4</v>
      </c>
      <c r="Q607" s="1" cm="1">
        <f t="array" ref="Q607">SUMPRODUCT(("CT_CWODETHCCS"=[1]OUT_SyntheticFuels!$C$4:$C$1000)*1,("cwod"=[1]OUT_SyntheticFuels!$A$4:$A$1000)*1,("Var_Fin"=[1]OUT_SyntheticFuels!$B$4:$B$1000)*1,[1]OUT_SyntheticFuels!P$4:P$1000)</f>
        <v>8.1103973288487393E-4</v>
      </c>
      <c r="S607" s="3"/>
    </row>
    <row r="608" spans="2:19" x14ac:dyDescent="0.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0.30329539868702637</v>
      </c>
      <c r="G608" s="1">
        <f t="shared" ref="G608:K608" si="682">SUM(G609:G610)</f>
        <v>7.1631937206960021E-5</v>
      </c>
      <c r="H608" s="1">
        <f t="shared" si="682"/>
        <v>0.30326377685093953</v>
      </c>
      <c r="I608" s="1">
        <f t="shared" si="682"/>
        <v>1.0485977912090236E-4</v>
      </c>
      <c r="J608" s="1">
        <f t="shared" si="682"/>
        <v>1.4938476257885598E-4</v>
      </c>
      <c r="K608" s="1">
        <f t="shared" si="682"/>
        <v>2.5764078103860608E-4</v>
      </c>
      <c r="L608" s="1">
        <f t="shared" ref="L608:O608" si="683">SUM(L609:L610)</f>
        <v>1.9607890873877561E-4</v>
      </c>
      <c r="M608" s="1">
        <f t="shared" si="683"/>
        <v>2.0784810417040506E-4</v>
      </c>
      <c r="N608" s="1">
        <f t="shared" si="683"/>
        <v>2.0684524741747449E-4</v>
      </c>
      <c r="O608" s="1">
        <f t="shared" si="683"/>
        <v>1.6051740510292854E-3</v>
      </c>
      <c r="P608" s="1">
        <f>SUM(P609:P610)</f>
        <v>3.198940322181338E-4</v>
      </c>
      <c r="Q608" s="1">
        <f>SUM(Q609:Q610)</f>
        <v>1.2920382996375974E-3</v>
      </c>
      <c r="S608" s="3"/>
    </row>
    <row r="609" spans="2:19" x14ac:dyDescent="0.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0.30329539868702637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7.1631937206960021E-5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0.30326377685093953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1.0485977912090236E-4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1.4938476257885598E-4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1.3383114432774306E-4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8.9387140756481628E-5</v>
      </c>
      <c r="M609" s="1" cm="1">
        <f t="array" ref="M609">SUMPRODUCT(("CT_CWODETH"=[1]OUT_SyntheticFuels!$C$4:$C$1000)*1,("celc"=[1]OUT_SyntheticFuels!$A$4:$A$1000)*1,("Var_Fin"=[1]OUT_SyntheticFuels!$B$4:$B$1000)*1,[1]OUT_SyntheticFuels!L$4:L$1000)</f>
        <v>8.3520475716475069E-5</v>
      </c>
      <c r="N609" s="1" cm="1">
        <f t="array" ref="N609">SUMPRODUCT(("CT_CWODETH"=[1]OUT_SyntheticFuels!$C$4:$C$1000)*1,("celc"=[1]OUT_SyntheticFuels!$A$4:$A$1000)*1,("Var_Fin"=[1]OUT_SyntheticFuels!$B$4:$B$1000)*1,[1]OUT_SyntheticFuels!M$4:M$1000)</f>
        <v>8.0652943160203433E-5</v>
      </c>
      <c r="O609" s="1" cm="1">
        <f t="array" ref="O609">SUMPRODUCT(("CT_CWODETH"=[1]OUT_SyntheticFuels!$C$4:$C$1000)*1,("celc"=[1]OUT_SyntheticFuels!$A$4:$A$1000)*1,("Var_Fin"=[1]OUT_SyntheticFuels!$B$4:$B$1000)*1,[1]OUT_SyntheticFuels!N$4:N$1000)</f>
        <v>6.9109375981418926E-4</v>
      </c>
      <c r="P609" s="1" cm="1">
        <f t="array" ref="P609">SUMPRODUCT(("CT_CWODETH"=[1]OUT_SyntheticFuels!$C$4:$C$1000)*1,("celc"=[1]OUT_SyntheticFuels!$A$4:$A$1000)*1,("Var_Fin"=[1]OUT_SyntheticFuels!$B$4:$B$1000)*1,[1]OUT_SyntheticFuels!O$4:O$1000)</f>
        <v>1.2131197416064064E-4</v>
      </c>
      <c r="Q609" s="1" cm="1">
        <f t="array" ref="Q609">SUMPRODUCT(("CT_CWODETH"=[1]OUT_SyntheticFuels!$C$4:$C$1000)*1,("celc"=[1]OUT_SyntheticFuels!$A$4:$A$1000)*1,("Var_Fin"=[1]OUT_SyntheticFuels!$B$4:$B$1000)*1,[1]OUT_SyntheticFuels!P$4:P$1000)</f>
        <v>4.7711799386810657E-4</v>
      </c>
      <c r="S609" s="3"/>
    </row>
    <row r="610" spans="2:19" x14ac:dyDescent="0.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1.2380963671086302E-4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1.0669176798229397E-4</v>
      </c>
      <c r="M610" s="1" cm="1">
        <f t="array" ref="M610">SUMPRODUCT(("CT_CWODETHCCS"=[1]OUT_SyntheticFuels!$C$4:$C$1000)*1,("celc"=[1]OUT_SyntheticFuels!$A$4:$A$1000)*1,("Var_Fin"=[1]OUT_SyntheticFuels!$B$4:$B$1000)*1,[1]OUT_SyntheticFuels!L$4:L$1000)</f>
        <v>1.2432762845392999E-4</v>
      </c>
      <c r="N610" s="1" cm="1">
        <f t="array" ref="N610">SUMPRODUCT(("CT_CWODETHCCS"=[1]OUT_SyntheticFuels!$C$4:$C$1000)*1,("celc"=[1]OUT_SyntheticFuels!$A$4:$A$1000)*1,("Var_Fin"=[1]OUT_SyntheticFuels!$B$4:$B$1000)*1,[1]OUT_SyntheticFuels!M$4:M$1000)</f>
        <v>1.2619230425727106E-4</v>
      </c>
      <c r="O610" s="1" cm="1">
        <f t="array" ref="O610">SUMPRODUCT(("CT_CWODETHCCS"=[1]OUT_SyntheticFuels!$C$4:$C$1000)*1,("celc"=[1]OUT_SyntheticFuels!$A$4:$A$1000)*1,("Var_Fin"=[1]OUT_SyntheticFuels!$B$4:$B$1000)*1,[1]OUT_SyntheticFuels!N$4:N$1000)</f>
        <v>9.1408029121509626E-4</v>
      </c>
      <c r="P610" s="1" cm="1">
        <f t="array" ref="P610">SUMPRODUCT(("CT_CWODETHCCS"=[1]OUT_SyntheticFuels!$C$4:$C$1000)*1,("celc"=[1]OUT_SyntheticFuels!$A$4:$A$1000)*1,("Var_Fin"=[1]OUT_SyntheticFuels!$B$4:$B$1000)*1,[1]OUT_SyntheticFuels!O$4:O$1000)</f>
        <v>1.9858205805749316E-4</v>
      </c>
      <c r="Q610" s="1" cm="1">
        <f t="array" ref="Q610">SUMPRODUCT(("CT_CWODETHCCS"=[1]OUT_SyntheticFuels!$C$4:$C$1000)*1,("celc"=[1]OUT_SyntheticFuels!$A$4:$A$1000)*1,("Var_Fin"=[1]OUT_SyntheticFuels!$B$4:$B$1000)*1,[1]OUT_SyntheticFuels!P$4:P$1000)</f>
        <v>8.1492030576949079E-4</v>
      </c>
      <c r="S610" s="3"/>
    </row>
    <row r="611" spans="2:19" x14ac:dyDescent="0.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M611" t="s">
        <v>292</v>
      </c>
      <c r="N611" t="s">
        <v>292</v>
      </c>
      <c r="O611" t="s">
        <v>292</v>
      </c>
      <c r="P611" t="s">
        <v>292</v>
      </c>
      <c r="Q611" t="s">
        <v>292</v>
      </c>
      <c r="S611" s="3"/>
    </row>
    <row r="612" spans="2:19" x14ac:dyDescent="0.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0.26809651474530816</v>
      </c>
      <c r="G612">
        <f t="shared" ref="G612:K613" si="684">IFERROR(G602/SUM(G606,G609),"-")</f>
        <v>0.26809651474530843</v>
      </c>
      <c r="H612">
        <f t="shared" si="684"/>
        <v>0.2680965147453086</v>
      </c>
      <c r="I612">
        <f t="shared" si="684"/>
        <v>0.26809651474530827</v>
      </c>
      <c r="J612">
        <f t="shared" si="684"/>
        <v>0.26809651474530827</v>
      </c>
      <c r="K612">
        <f t="shared" si="684"/>
        <v>0.2680965147453081</v>
      </c>
      <c r="L612">
        <f t="shared" ref="L612:O612" si="685">IFERROR(L602/SUM(L606,L609),"-")</f>
        <v>0.26809651474530843</v>
      </c>
      <c r="M612">
        <f t="shared" si="685"/>
        <v>0.26809651474530827</v>
      </c>
      <c r="N612">
        <f t="shared" si="685"/>
        <v>0.26809651474530843</v>
      </c>
      <c r="O612">
        <f t="shared" si="685"/>
        <v>0.26809651474530827</v>
      </c>
      <c r="P612">
        <f>IFERROR(P602/SUM(P606,P609),"-")</f>
        <v>0.26809651474530843</v>
      </c>
      <c r="Q612">
        <f>IFERROR(Q602/SUM(Q606,Q609),"-")</f>
        <v>0.26809651474530855</v>
      </c>
      <c r="S612" s="3"/>
    </row>
    <row r="613" spans="2:19" x14ac:dyDescent="0.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84"/>
        <v>-</v>
      </c>
      <c r="H613" t="str">
        <f t="shared" si="684"/>
        <v>-</v>
      </c>
      <c r="I613" t="str">
        <f t="shared" si="684"/>
        <v>-</v>
      </c>
      <c r="J613" t="str">
        <f t="shared" si="684"/>
        <v>-</v>
      </c>
      <c r="K613">
        <f t="shared" si="684"/>
        <v>0.23866348448687344</v>
      </c>
      <c r="L613">
        <f t="shared" ref="L613:O613" si="686">IFERROR(L603/SUM(L607,L610),"-")</f>
        <v>0.2386634844868735</v>
      </c>
      <c r="M613">
        <f t="shared" si="686"/>
        <v>0.23866348448687344</v>
      </c>
      <c r="N613">
        <f t="shared" si="686"/>
        <v>0.23866348448687355</v>
      </c>
      <c r="O613">
        <f t="shared" si="686"/>
        <v>0.23866348448687366</v>
      </c>
      <c r="P613">
        <f>IFERROR(P603/SUM(P607,P610),"-")</f>
        <v>0.23866348448687336</v>
      </c>
      <c r="Q613">
        <f>IFERROR(Q603/SUM(Q607,Q610),"-")</f>
        <v>0.23866348448687352</v>
      </c>
      <c r="S613" s="3"/>
    </row>
    <row r="614" spans="2:19" x14ac:dyDescent="0.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6.9574127231769962</v>
      </c>
      <c r="G614" s="3">
        <f t="shared" ref="G614" si="687">G615+G616+G621</f>
        <v>9.637480683044565</v>
      </c>
      <c r="H614" s="3">
        <f t="shared" ref="H614" si="688">H615+H616+H621</f>
        <v>10.342809716966471</v>
      </c>
      <c r="I614" s="3">
        <f t="shared" ref="I614" si="689">I615+I616+I621</f>
        <v>10.533951257795707</v>
      </c>
      <c r="J614" s="3">
        <f t="shared" ref="J614" si="690">J615+J616+J621</f>
        <v>10.521791191486493</v>
      </c>
      <c r="K614" s="3">
        <f t="shared" ref="K614" si="691">K615+K616+K621</f>
        <v>10.220066303370961</v>
      </c>
      <c r="L614" s="3">
        <f t="shared" ref="L614:O614" si="692">L615+L616+L621</f>
        <v>13.624390303520538</v>
      </c>
      <c r="M614" s="3">
        <f t="shared" si="692"/>
        <v>16.427168365395275</v>
      </c>
      <c r="N614" s="3">
        <f t="shared" si="692"/>
        <v>16.887631794506898</v>
      </c>
      <c r="O614" s="3">
        <f t="shared" si="692"/>
        <v>16.887728469456398</v>
      </c>
      <c r="P614" s="3">
        <f>P615+P616+P621</f>
        <v>16.888139691537145</v>
      </c>
      <c r="Q614" s="3">
        <f>Q615+Q616+Q621</f>
        <v>16.890549588735084</v>
      </c>
      <c r="S614" s="3"/>
    </row>
    <row r="615" spans="2:19" x14ac:dyDescent="0.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1.3280005973506992</v>
      </c>
      <c r="G615" s="1">
        <f>[1]Other_transformation!C$19</f>
        <v>3.469984017133751</v>
      </c>
      <c r="H615" s="1">
        <f>[1]Other_transformation!D$19</f>
        <v>4.3844484850327863</v>
      </c>
      <c r="I615" s="1">
        <f>[1]Other_transformation!E$19</f>
        <v>4.3847642249329288</v>
      </c>
      <c r="J615" s="1">
        <f>[1]Other_transformation!F$19</f>
        <v>4.3847647061384656</v>
      </c>
      <c r="K615" s="1">
        <f>[1]Other_transformation!G$19</f>
        <v>4.3856598106089875</v>
      </c>
      <c r="L615" s="1">
        <f>[1]Other_transformation!H$19</f>
        <v>4.4053874736422545</v>
      </c>
      <c r="M615" s="1">
        <f>[1]Other_transformation!I$19</f>
        <v>6.5779434603686022</v>
      </c>
      <c r="N615" s="1">
        <f>[1]Other_transformation!J$19</f>
        <v>6.5779437120087678</v>
      </c>
      <c r="O615" s="1">
        <f>[1]Other_transformation!K$19</f>
        <v>6.5779490714342721</v>
      </c>
      <c r="P615" s="1">
        <f>[1]Other_transformation!L$19</f>
        <v>6.5779527405519458</v>
      </c>
      <c r="Q615" s="1">
        <f>[1]Other_transformation!M$19</f>
        <v>6.5784624117467132</v>
      </c>
      <c r="S615" s="3"/>
    </row>
    <row r="616" spans="2:19" x14ac:dyDescent="0.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5.6294121258262972</v>
      </c>
      <c r="G616" s="1">
        <f>[1]Other_transformation!C$20</f>
        <v>6.1674525147375281</v>
      </c>
      <c r="H616" s="1">
        <f>[1]Other_transformation!D$20</f>
        <v>5.9582789104812717</v>
      </c>
      <c r="I616" s="1">
        <f>[1]Other_transformation!E$20</f>
        <v>6.1479828859888528</v>
      </c>
      <c r="J616" s="1">
        <f>[1]Other_transformation!F$20</f>
        <v>6.1358150876731514</v>
      </c>
      <c r="K616" s="1">
        <f>[1]Other_transformation!G$20</f>
        <v>5.8331907730746035</v>
      </c>
      <c r="L616" s="1">
        <f>[1]Other_transformation!H$20</f>
        <v>9.2177845370372964</v>
      </c>
      <c r="M616" s="1">
        <f>[1]Other_transformation!I$20</f>
        <v>9.8480021312057033</v>
      </c>
      <c r="N616" s="1">
        <f>[1]Other_transformation!J$20</f>
        <v>10.308464493421891</v>
      </c>
      <c r="O616" s="1">
        <f>[1]Other_transformation!K$20</f>
        <v>10.308505937632082</v>
      </c>
      <c r="P616" s="1">
        <f>[1]Other_transformation!L$20</f>
        <v>10.308911611217578</v>
      </c>
      <c r="Q616" s="1">
        <f>[1]Other_transformation!M$20</f>
        <v>10.309633184685715</v>
      </c>
      <c r="S616" s="3"/>
    </row>
    <row r="617" spans="2:19" x14ac:dyDescent="0.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5.6294121258262972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6.1674525147375281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5.9582789104812717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6.1479828859888528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6.1358150876731514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5.8325717353754145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9.216992622239184</v>
      </c>
      <c r="M617" s="1" cm="1">
        <f t="array" ref="M617">SUMPRODUCT(("SUP_WSTBIO"=[1]OUT_SyntheticFuels!$C$4:$C$1000)*1,("BIO"=[1]OUT_SyntheticFuels!$A$4:$A$1000)*1,("Var_Fout"=[1]OUT_SyntheticFuels!$B$4:$B$1000)*1,[1]OUT_SyntheticFuels!L$4:L$1000)</f>
        <v>9.8446946331781486</v>
      </c>
      <c r="N617" s="1" cm="1">
        <f t="array" ref="N617">SUMPRODUCT(("SUP_WSTBIO"=[1]OUT_SyntheticFuels!$C$4:$C$1000)*1,("BIO"=[1]OUT_SyntheticFuels!$A$4:$A$1000)*1,("Var_Fout"=[1]OUT_SyntheticFuels!$B$4:$B$1000)*1,[1]OUT_SyntheticFuels!M$4:M$1000)</f>
        <v>10.305331212770925</v>
      </c>
      <c r="O617" s="1" cm="1">
        <f t="array" ref="O617">SUMPRODUCT(("SUP_WSTBIO"=[1]OUT_SyntheticFuels!$C$4:$C$1000)*1,("BIO"=[1]OUT_SyntheticFuels!$A$4:$A$1000)*1,("Var_Fout"=[1]OUT_SyntheticFuels!$B$4:$B$1000)*1,[1]OUT_SyntheticFuels!N$4:N$1000)</f>
        <v>10.306389452859994</v>
      </c>
      <c r="P617" s="1" cm="1">
        <f t="array" ref="P617">SUMPRODUCT(("SUP_WSTBIO"=[1]OUT_SyntheticFuels!$C$4:$C$1000)*1,("BIO"=[1]OUT_SyntheticFuels!$A$4:$A$1000)*1,("Var_Fout"=[1]OUT_SyntheticFuels!$B$4:$B$1000)*1,[1]OUT_SyntheticFuels!O$4:O$1000)</f>
        <v>10.306757045499156</v>
      </c>
      <c r="Q617" s="1" cm="1">
        <f t="array" ref="Q617">SUMPRODUCT(("SUP_WSTBIO"=[1]OUT_SyntheticFuels!$C$4:$C$1000)*1,("BIO"=[1]OUT_SyntheticFuels!$A$4:$A$1000)*1,("Var_Fout"=[1]OUT_SyntheticFuels!$B$4:$B$1000)*1,[1]OUT_SyntheticFuels!P$4:P$1000)</f>
        <v>10.306932736067346</v>
      </c>
      <c r="S617" s="3"/>
    </row>
    <row r="618" spans="2:19" x14ac:dyDescent="0.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M618" s="1" cm="1">
        <f t="array" ref="M618">SUMPRODUCT(("SUP_WSTBIOCCS"=[1]OUT_SyntheticFuels!$C$4:$C$1000)*1,("BIO"=[1]OUT_SyntheticFuels!$A$4:$A$1000)*1,("Var_Fout"=[1]OUT_SyntheticFuels!$B$4:$B$1000)*1,[1]OUT_SyntheticFuels!L$4:L$1000)</f>
        <v>0</v>
      </c>
      <c r="N618" s="1" cm="1">
        <f t="array" ref="N618">SUMPRODUCT(("SUP_WSTBIOCCS"=[1]OUT_SyntheticFuels!$C$4:$C$1000)*1,("BIO"=[1]OUT_SyntheticFuels!$A$4:$A$1000)*1,("Var_Fout"=[1]OUT_SyntheticFuels!$B$4:$B$1000)*1,[1]OUT_SyntheticFuels!M$4:M$1000)</f>
        <v>0</v>
      </c>
      <c r="O618" s="1" cm="1">
        <f t="array" ref="O618">SUMPRODUCT(("SUP_WSTBIOCCS"=[1]OUT_SyntheticFuels!$C$4:$C$1000)*1,("BIO"=[1]OUT_SyntheticFuels!$A$4:$A$1000)*1,("Var_Fout"=[1]OUT_SyntheticFuels!$B$4:$B$1000)*1,[1]OUT_SyntheticFuels!N$4:N$1000)</f>
        <v>0</v>
      </c>
      <c r="P618" s="1" cm="1">
        <f t="array" ref="P618">SUMPRODUCT(("SUP_WSTBIOCCS"=[1]OUT_SyntheticFuels!$C$4:$C$1000)*1,("BIO"=[1]OUT_SyntheticFuels!$A$4:$A$1000)*1,("Var_Fout"=[1]OUT_SyntheticFuels!$B$4:$B$1000)*1,[1]OUT_SyntheticFuels!O$4:O$1000)</f>
        <v>0</v>
      </c>
      <c r="Q618" s="1" cm="1">
        <f t="array" ref="Q618">SUMPRODUCT(("SUP_WSTBIOCCS"=[1]OUT_SyntheticFuels!$C$4:$C$1000)*1,("BIO"=[1]OUT_SyntheticFuels!$A$4:$A$1000)*1,("Var_Fout"=[1]OUT_SyntheticFuels!$B$4:$B$1000)*1,[1]OUT_SyntheticFuels!P$4:P$1000)</f>
        <v>0</v>
      </c>
      <c r="S618" s="3"/>
    </row>
    <row r="619" spans="2:19" x14ac:dyDescent="0.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5.1736181700933782E-4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6.5308686889827407E-4</v>
      </c>
      <c r="M619" s="1" cm="1">
        <f t="array" ref="M619">SUMPRODUCT(("SUP_WSTHTGBIO"=[1]OUT_SyntheticFuels!$C$4:$C$1000)*1,("BIO"=[1]OUT_SyntheticFuels!$A$4:$A$1000)*1,("Var_Fout"=[1]OUT_SyntheticFuels!$B$4:$B$1000)*1,[1]OUT_SyntheticFuels!L$4:L$1000)</f>
        <v>2.3042291975056751E-3</v>
      </c>
      <c r="N619" s="1" cm="1">
        <f t="array" ref="N619">SUMPRODUCT(("SUP_WSTHTGBIO"=[1]OUT_SyntheticFuels!$C$4:$C$1000)*1,("BIO"=[1]OUT_SyntheticFuels!$A$4:$A$1000)*1,("Var_Fout"=[1]OUT_SyntheticFuels!$B$4:$B$1000)*1,[1]OUT_SyntheticFuels!M$4:M$1000)</f>
        <v>2.1790881836577626E-3</v>
      </c>
      <c r="O619" s="1" cm="1">
        <f t="array" ref="O619">SUMPRODUCT(("SUP_WSTHTGBIO"=[1]OUT_SyntheticFuels!$C$4:$C$1000)*1,("BIO"=[1]OUT_SyntheticFuels!$A$4:$A$1000)*1,("Var_Fout"=[1]OUT_SyntheticFuels!$B$4:$B$1000)*1,[1]OUT_SyntheticFuels!N$4:N$1000)</f>
        <v>1.4788013083723581E-3</v>
      </c>
      <c r="P619" s="1" cm="1">
        <f t="array" ref="P619">SUMPRODUCT(("SUP_WSTHTGBIO"=[1]OUT_SyntheticFuels!$C$4:$C$1000)*1,("BIO"=[1]OUT_SyntheticFuels!$A$4:$A$1000)*1,("Var_Fout"=[1]OUT_SyntheticFuels!$B$4:$B$1000)*1,[1]OUT_SyntheticFuels!O$4:O$1000)</f>
        <v>1.4313224401999141E-3</v>
      </c>
      <c r="Q619" s="1" cm="1">
        <f t="array" ref="Q619">SUMPRODUCT(("SUP_WSTHTGBIO"=[1]OUT_SyntheticFuels!$C$4:$C$1000)*1,("BIO"=[1]OUT_SyntheticFuels!$A$4:$A$1000)*1,("Var_Fout"=[1]OUT_SyntheticFuels!$B$4:$B$1000)*1,[1]OUT_SyntheticFuels!P$4:P$1000)</f>
        <v>2.019659840036209E-3</v>
      </c>
      <c r="S619" s="3"/>
    </row>
    <row r="620" spans="2:19" x14ac:dyDescent="0.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1.0167588217960659E-4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1.3882792921492371E-4</v>
      </c>
      <c r="M620" s="1" cm="1">
        <f t="array" ref="M620">SUMPRODUCT(("SUP_WSTHTGBIOCCS"=[1]OUT_SyntheticFuels!$C$4:$C$1000)*1,("BIO"=[1]OUT_SyntheticFuels!$A$4:$A$1000)*1,("Var_Fout"=[1]OUT_SyntheticFuels!$B$4:$B$1000)*1,[1]OUT_SyntheticFuels!L$4:L$1000)</f>
        <v>1.0032688300481397E-3</v>
      </c>
      <c r="N620" s="1" cm="1">
        <f t="array" ref="N620">SUMPRODUCT(("SUP_WSTHTGBIOCCS"=[1]OUT_SyntheticFuels!$C$4:$C$1000)*1,("BIO"=[1]OUT_SyntheticFuels!$A$4:$A$1000)*1,("Var_Fout"=[1]OUT_SyntheticFuels!$B$4:$B$1000)*1,[1]OUT_SyntheticFuels!M$4:M$1000)</f>
        <v>9.5419246730756653E-4</v>
      </c>
      <c r="O620" s="1" cm="1">
        <f t="array" ref="O620">SUMPRODUCT(("SUP_WSTHTGBIOCCS"=[1]OUT_SyntheticFuels!$C$4:$C$1000)*1,("BIO"=[1]OUT_SyntheticFuels!$A$4:$A$1000)*1,("Var_Fout"=[1]OUT_SyntheticFuels!$B$4:$B$1000)*1,[1]OUT_SyntheticFuels!N$4:N$1000)</f>
        <v>6.3768346371532883E-4</v>
      </c>
      <c r="P620" s="1" cm="1">
        <f t="array" ref="P620">SUMPRODUCT(("SUP_WSTHTGBIOCCS"=[1]OUT_SyntheticFuels!$C$4:$C$1000)*1,("BIO"=[1]OUT_SyntheticFuels!$A$4:$A$1000)*1,("Var_Fout"=[1]OUT_SyntheticFuels!$B$4:$B$1000)*1,[1]OUT_SyntheticFuels!O$4:O$1000)</f>
        <v>7.2324327822372611E-4</v>
      </c>
      <c r="Q620" s="1" cm="1">
        <f t="array" ref="Q620">SUMPRODUCT(("SUP_WSTHTGBIOCCS"=[1]OUT_SyntheticFuels!$C$4:$C$1000)*1,("BIO"=[1]OUT_SyntheticFuels!$A$4:$A$1000)*1,("Var_Fout"=[1]OUT_SyntheticFuels!$B$4:$B$1000)*1,[1]OUT_SyntheticFuels!P$4:P$1000)</f>
        <v>6.8078877833425066E-4</v>
      </c>
      <c r="S620" s="3"/>
    </row>
    <row r="621" spans="2:19" x14ac:dyDescent="0.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4.4151173286083397E-5</v>
      </c>
      <c r="H621" s="1">
        <f>[1]Other_transformation!D$21</f>
        <v>8.2321452414604748E-5</v>
      </c>
      <c r="I621" s="1">
        <f>[1]Other_transformation!E$21</f>
        <v>1.2041468739238681E-3</v>
      </c>
      <c r="J621" s="1">
        <f>[1]Other_transformation!F$21</f>
        <v>1.2113976748755328E-3</v>
      </c>
      <c r="K621" s="1">
        <f>[1]Other_transformation!G$21</f>
        <v>1.2157196873720407E-3</v>
      </c>
      <c r="L621" s="1">
        <f>[1]Other_transformation!H$21</f>
        <v>1.2182928409891168E-3</v>
      </c>
      <c r="M621" s="1">
        <f>[1]Other_transformation!I$21</f>
        <v>1.222773820968782E-3</v>
      </c>
      <c r="N621" s="1">
        <f>[1]Other_transformation!J$21</f>
        <v>1.2235890762390344E-3</v>
      </c>
      <c r="O621" s="1">
        <f>[1]Other_transformation!K$21</f>
        <v>1.2734603900439367E-3</v>
      </c>
      <c r="P621" s="1">
        <f>[1]Other_transformation!L$21</f>
        <v>1.2753397676198688E-3</v>
      </c>
      <c r="Q621" s="1">
        <f>[1]Other_transformation!M$21</f>
        <v>2.4539923026564367E-3</v>
      </c>
      <c r="S621" s="3"/>
    </row>
    <row r="622" spans="2:19" x14ac:dyDescent="0.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4.4151173286083397E-5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8.2321452414604748E-5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1.2041468739238681E-3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1.2113976748755328E-3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8.7054344678900899E-4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7.3210183720666833E-4</v>
      </c>
      <c r="M622" s="1" cm="1">
        <f t="array" ref="M622">SUMPRODUCT(("SUP_WODBIO"=[1]OUT_SyntheticFuels!$C$4:$C$1000)*1,("BIO"=[1]OUT_SyntheticFuels!$A$4:$A$1000)*1,("Var_Fout"=[1]OUT_SyntheticFuels!$B$4:$B$1000)*1,[1]OUT_SyntheticFuels!L$4:L$1000)</f>
        <v>1.7806039310993302E-4</v>
      </c>
      <c r="N622" s="1" cm="1">
        <f t="array" ref="N622">SUMPRODUCT(("SUP_WODBIO"=[1]OUT_SyntheticFuels!$C$4:$C$1000)*1,("BIO"=[1]OUT_SyntheticFuels!$A$4:$A$1000)*1,("Var_Fout"=[1]OUT_SyntheticFuels!$B$4:$B$1000)*1,[1]OUT_SyntheticFuels!M$4:M$1000)</f>
        <v>2.0208353115791985E-4</v>
      </c>
      <c r="O622" s="1" cm="1">
        <f t="array" ref="O622">SUMPRODUCT(("SUP_WODBIO"=[1]OUT_SyntheticFuels!$C$4:$C$1000)*1,("BIO"=[1]OUT_SyntheticFuels!$A$4:$A$1000)*1,("Var_Fout"=[1]OUT_SyntheticFuels!$B$4:$B$1000)*1,[1]OUT_SyntheticFuels!N$4:N$1000)</f>
        <v>3.1702098892618963E-4</v>
      </c>
      <c r="P622" s="1" cm="1">
        <f t="array" ref="P622">SUMPRODUCT(("SUP_WODBIO"=[1]OUT_SyntheticFuels!$C$4:$C$1000)*1,("BIO"=[1]OUT_SyntheticFuels!$A$4:$A$1000)*1,("Var_Fout"=[1]OUT_SyntheticFuels!$B$4:$B$1000)*1,[1]OUT_SyntheticFuels!O$4:O$1000)</f>
        <v>2.9918004706153644E-4</v>
      </c>
      <c r="Q622" s="1" cm="1">
        <f t="array" ref="Q622">SUMPRODUCT(("SUP_WODBIO"=[1]OUT_SyntheticFuels!$C$4:$C$1000)*1,("BIO"=[1]OUT_SyntheticFuels!$A$4:$A$1000)*1,("Var_Fout"=[1]OUT_SyntheticFuels!$B$4:$B$1000)*1,[1]OUT_SyntheticFuels!P$4:P$1000)</f>
        <v>9.1846668875686366E-4</v>
      </c>
      <c r="S622" s="3"/>
    </row>
    <row r="623" spans="2:19" x14ac:dyDescent="0.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3.4517624058303173E-4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4.861910037824485E-4</v>
      </c>
      <c r="M623" s="1" cm="1">
        <f t="array" ref="M623">SUMPRODUCT(("SUP_WODBIOCCS"=[1]OUT_SyntheticFuels!$C$4:$C$1000)*1,("BIO"=[1]OUT_SyntheticFuels!$A$4:$A$1000)*1,("Var_Fout"=[1]OUT_SyntheticFuels!$B$4:$B$1000)*1,[1]OUT_SyntheticFuels!L$4:L$1000)</f>
        <v>1.0447134278588491E-3</v>
      </c>
      <c r="N623" s="1" cm="1">
        <f t="array" ref="N623">SUMPRODUCT(("SUP_WODBIOCCS"=[1]OUT_SyntheticFuels!$C$4:$C$1000)*1,("BIO"=[1]OUT_SyntheticFuels!$A$4:$A$1000)*1,("Var_Fout"=[1]OUT_SyntheticFuels!$B$4:$B$1000)*1,[1]OUT_SyntheticFuels!M$4:M$1000)</f>
        <v>1.0215055450811146E-3</v>
      </c>
      <c r="O623" s="1" cm="1">
        <f t="array" ref="O623">SUMPRODUCT(("SUP_WODBIOCCS"=[1]OUT_SyntheticFuels!$C$4:$C$1000)*1,("BIO"=[1]OUT_SyntheticFuels!$A$4:$A$1000)*1,("Var_Fout"=[1]OUT_SyntheticFuels!$B$4:$B$1000)*1,[1]OUT_SyntheticFuels!N$4:N$1000)</f>
        <v>9.564394011177471E-4</v>
      </c>
      <c r="P623" s="1" cm="1">
        <f t="array" ref="P623">SUMPRODUCT(("SUP_WODBIOCCS"=[1]OUT_SyntheticFuels!$C$4:$C$1000)*1,("BIO"=[1]OUT_SyntheticFuels!$A$4:$A$1000)*1,("Var_Fout"=[1]OUT_SyntheticFuels!$B$4:$B$1000)*1,[1]OUT_SyntheticFuels!O$4:O$1000)</f>
        <v>9.7615972055833239E-4</v>
      </c>
      <c r="Q623" s="1" cm="1">
        <f t="array" ref="Q623">SUMPRODUCT(("SUP_WODBIOCCS"=[1]OUT_SyntheticFuels!$C$4:$C$1000)*1,("BIO"=[1]OUT_SyntheticFuels!$A$4:$A$1000)*1,("Var_Fout"=[1]OUT_SyntheticFuels!$B$4:$B$1000)*1,[1]OUT_SyntheticFuels!P$4:P$1000)</f>
        <v>1.5355256138995729E-3</v>
      </c>
      <c r="S623" s="3"/>
    </row>
    <row r="624" spans="2:19" x14ac:dyDescent="0.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0.11258824251652581</v>
      </c>
      <c r="G624" s="3">
        <f t="shared" ref="G624" si="693">G625+G626+G631</f>
        <v>0.12334905029475071</v>
      </c>
      <c r="H624" s="3">
        <f t="shared" ref="H624" si="694">H625+H626+H631</f>
        <v>0.11916750636729508</v>
      </c>
      <c r="I624" s="3">
        <f t="shared" ref="I624" si="695">I625+I626+I631</f>
        <v>0.12300782359473413</v>
      </c>
      <c r="J624" s="3">
        <f t="shared" ref="J624" si="696">J625+J626+J631</f>
        <v>0.12276475766045802</v>
      </c>
      <c r="K624" s="3">
        <f t="shared" ref="K624" si="697">K625+K626+K631</f>
        <v>0.11670032098271661</v>
      </c>
      <c r="L624" s="3">
        <f t="shared" ref="L624:O624" si="698">L625+L626+L631</f>
        <v>0.18438882955650854</v>
      </c>
      <c r="M624" s="3">
        <f t="shared" si="698"/>
        <v>0.19694306954535656</v>
      </c>
      <c r="N624" s="3">
        <f t="shared" si="698"/>
        <v>0.20615584372033693</v>
      </c>
      <c r="O624" s="3">
        <f t="shared" si="698"/>
        <v>0.20617899337773787</v>
      </c>
      <c r="P624" s="3">
        <f>P625+P626+P631</f>
        <v>0.2061866034632151</v>
      </c>
      <c r="Q624" s="3">
        <f>Q625+Q626+Q631</f>
        <v>0.20623763159307687</v>
      </c>
      <c r="S624" s="3"/>
    </row>
    <row r="625" spans="2:19" x14ac:dyDescent="0.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M625" s="1" cm="1">
        <f t="array" ref="M625">SUMPRODUCT(("SUP_MNRBIO"=[1]OUT_SyntheticFuels!$C$4:$C$1000)*1,("Var_Fout"=[1]OUT_SyntheticFuels!$B$4:$B$1000)*1,("ELC35"=[1]OUT_SyntheticFuels!$A$4:$A$1000)*1,[1]OUT_SyntheticFuels!L$4:L$1000)</f>
        <v>0</v>
      </c>
      <c r="N625" s="1" cm="1">
        <f t="array" ref="N625">SUMPRODUCT(("SUP_MNRBIO"=[1]OUT_SyntheticFuels!$C$4:$C$1000)*1,("Var_Fout"=[1]OUT_SyntheticFuels!$B$4:$B$1000)*1,("ELC35"=[1]OUT_SyntheticFuels!$A$4:$A$1000)*1,[1]OUT_SyntheticFuels!M$4:M$1000)</f>
        <v>0</v>
      </c>
      <c r="O625" s="1" cm="1">
        <f t="array" ref="O625">SUMPRODUCT(("SUP_MNRBIO"=[1]OUT_SyntheticFuels!$C$4:$C$1000)*1,("Var_Fout"=[1]OUT_SyntheticFuels!$B$4:$B$1000)*1,("ELC35"=[1]OUT_SyntheticFuels!$A$4:$A$1000)*1,[1]OUT_SyntheticFuels!N$4:N$1000)</f>
        <v>0</v>
      </c>
      <c r="P625" s="1" cm="1">
        <f t="array" ref="P625">SUMPRODUCT(("SUP_MNRBIO"=[1]OUT_SyntheticFuels!$C$4:$C$1000)*1,("Var_Fout"=[1]OUT_SyntheticFuels!$B$4:$B$1000)*1,("ELC35"=[1]OUT_SyntheticFuels!$A$4:$A$1000)*1,[1]OUT_SyntheticFuels!O$4:O$1000)</f>
        <v>0</v>
      </c>
      <c r="Q625" s="1" cm="1">
        <f t="array" ref="Q625">SUMPRODUCT(("SUP_MNRBIO"=[1]OUT_SyntheticFuels!$C$4:$C$1000)*1,("Var_Fout"=[1]OUT_SyntheticFuels!$B$4:$B$1000)*1,("ELC35"=[1]OUT_SyntheticFuels!$A$4:$A$1000)*1,[1]OUT_SyntheticFuels!P$4:P$1000)</f>
        <v>0</v>
      </c>
      <c r="S625" s="3"/>
    </row>
    <row r="626" spans="2:19" x14ac:dyDescent="0.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0.11258824251652581</v>
      </c>
      <c r="G626" s="1">
        <f t="shared" ref="G626:K626" si="699">SUM(G627:G630)</f>
        <v>0.12334905029475071</v>
      </c>
      <c r="H626" s="1">
        <f t="shared" si="699"/>
        <v>0.11916557820962549</v>
      </c>
      <c r="I626" s="1">
        <f t="shared" si="699"/>
        <v>0.12295965771977717</v>
      </c>
      <c r="J626" s="1">
        <f t="shared" si="699"/>
        <v>0.122716301753463</v>
      </c>
      <c r="K626" s="1">
        <f t="shared" si="699"/>
        <v>0.11665143470750833</v>
      </c>
      <c r="L626" s="1">
        <f t="shared" ref="L626:O626" si="700">SUM(L627:L630)</f>
        <v>0.1843398524447836</v>
      </c>
      <c r="M626" s="1">
        <f t="shared" si="700"/>
        <v>0.19689389266356283</v>
      </c>
      <c r="N626" s="1">
        <f t="shared" si="700"/>
        <v>0.20610662425541842</v>
      </c>
      <c r="O626" s="1">
        <f t="shared" si="700"/>
        <v>0.20612778905719986</v>
      </c>
      <c r="P626" s="1">
        <f>SUM(P627:P630)</f>
        <v>0.20613514090998303</v>
      </c>
      <c r="Q626" s="1">
        <f>SUM(Q627:Q630)</f>
        <v>0.2061386547213471</v>
      </c>
      <c r="S626" s="3"/>
    </row>
    <row r="627" spans="2:19" x14ac:dyDescent="0.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0.11258824251652581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0.12334905029475071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0.11916557820962549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0.12295965771977717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0.122716301753463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0.11665143470750833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0.1843398524447836</v>
      </c>
      <c r="M627" s="1" cm="1">
        <f t="array" ref="M627">SUMPRODUCT(("SUP_WSTBIO"=[1]OUT_SyntheticFuels!$C$4:$C$1000)*1,("elc35"=[1]OUT_SyntheticFuels!$A$4:$A$1000)*1,("Var_Fout"=[1]OUT_SyntheticFuels!$B$4:$B$1000)*1,[1]OUT_SyntheticFuels!L$4:L$1000)</f>
        <v>0.19689389266356283</v>
      </c>
      <c r="N627" s="1" cm="1">
        <f t="array" ref="N627">SUMPRODUCT(("SUP_WSTBIO"=[1]OUT_SyntheticFuels!$C$4:$C$1000)*1,("elc35"=[1]OUT_SyntheticFuels!$A$4:$A$1000)*1,("Var_Fout"=[1]OUT_SyntheticFuels!$B$4:$B$1000)*1,[1]OUT_SyntheticFuels!M$4:M$1000)</f>
        <v>0.20610662425541842</v>
      </c>
      <c r="O627" s="1" cm="1">
        <f t="array" ref="O627">SUMPRODUCT(("SUP_WSTBIO"=[1]OUT_SyntheticFuels!$C$4:$C$1000)*1,("elc35"=[1]OUT_SyntheticFuels!$A$4:$A$1000)*1,("Var_Fout"=[1]OUT_SyntheticFuels!$B$4:$B$1000)*1,[1]OUT_SyntheticFuels!N$4:N$1000)</f>
        <v>0.20612778905719986</v>
      </c>
      <c r="P627" s="1" cm="1">
        <f t="array" ref="P627">SUMPRODUCT(("SUP_WSTBIO"=[1]OUT_SyntheticFuels!$C$4:$C$1000)*1,("elc35"=[1]OUT_SyntheticFuels!$A$4:$A$1000)*1,("Var_Fout"=[1]OUT_SyntheticFuels!$B$4:$B$1000)*1,[1]OUT_SyntheticFuels!O$4:O$1000)</f>
        <v>0.20613514090998303</v>
      </c>
      <c r="Q627" s="1" cm="1">
        <f t="array" ref="Q627">SUMPRODUCT(("SUP_WSTBIO"=[1]OUT_SyntheticFuels!$C$4:$C$1000)*1,("elc35"=[1]OUT_SyntheticFuels!$A$4:$A$1000)*1,("Var_Fout"=[1]OUT_SyntheticFuels!$B$4:$B$1000)*1,[1]OUT_SyntheticFuels!P$4:P$1000)</f>
        <v>0.2061386547213471</v>
      </c>
      <c r="S627" s="3"/>
    </row>
    <row r="628" spans="2:19" x14ac:dyDescent="0.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M628" s="1" cm="1">
        <f t="array" ref="M628">SUMPRODUCT(("SUP_WSTBIOCCS"=[1]OUT_SyntheticFuels!$C$4:$C$1000)*1,("elc35"=[1]OUT_SyntheticFuels!$A$4:$A$1000)*1,("Var_Fout"=[1]OUT_SyntheticFuels!$B$4:$B$1000)*1,[1]OUT_SyntheticFuels!L$4:L$1000)</f>
        <v>0</v>
      </c>
      <c r="N628" s="1" cm="1">
        <f t="array" ref="N628">SUMPRODUCT(("SUP_WSTBIOCCS"=[1]OUT_SyntheticFuels!$C$4:$C$1000)*1,("elc35"=[1]OUT_SyntheticFuels!$A$4:$A$1000)*1,("Var_Fout"=[1]OUT_SyntheticFuels!$B$4:$B$1000)*1,[1]OUT_SyntheticFuels!M$4:M$1000)</f>
        <v>0</v>
      </c>
      <c r="O628" s="1" cm="1">
        <f t="array" ref="O628">SUMPRODUCT(("SUP_WSTBIOCCS"=[1]OUT_SyntheticFuels!$C$4:$C$1000)*1,("elc35"=[1]OUT_SyntheticFuels!$A$4:$A$1000)*1,("Var_Fout"=[1]OUT_SyntheticFuels!$B$4:$B$1000)*1,[1]OUT_SyntheticFuels!N$4:N$1000)</f>
        <v>0</v>
      </c>
      <c r="P628" s="1" cm="1">
        <f t="array" ref="P628">SUMPRODUCT(("SUP_WSTBIOCCS"=[1]OUT_SyntheticFuels!$C$4:$C$1000)*1,("elc35"=[1]OUT_SyntheticFuels!$A$4:$A$1000)*1,("Var_Fout"=[1]OUT_SyntheticFuels!$B$4:$B$1000)*1,[1]OUT_SyntheticFuels!O$4:O$1000)</f>
        <v>0</v>
      </c>
      <c r="Q628" s="1" cm="1">
        <f t="array" ref="Q628">SUMPRODUCT(("SUP_WSTBIOCCS"=[1]OUT_SyntheticFuels!$C$4:$C$1000)*1,("elc35"=[1]OUT_SyntheticFuels!$A$4:$A$1000)*1,("Var_Fout"=[1]OUT_SyntheticFuels!$B$4:$B$1000)*1,[1]OUT_SyntheticFuels!P$4:P$1000)</f>
        <v>0</v>
      </c>
      <c r="S628" s="3"/>
    </row>
    <row r="629" spans="2:19" x14ac:dyDescent="0.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M629" s="1" cm="1">
        <f t="array" ref="M629">SUMPRODUCT(("SUP_WSTHTGBIO"=[1]OUT_SyntheticFuels!$C$4:$C$1000)*1,("elc35"=[1]OUT_SyntheticFuels!$A$4:$A$1000)*1,("Var_Fout"=[1]OUT_SyntheticFuels!$B$4:$B$1000)*1,[1]OUT_SyntheticFuels!L$4:L$1000)</f>
        <v>0</v>
      </c>
      <c r="N629" s="1" cm="1">
        <f t="array" ref="N629">SUMPRODUCT(("SUP_WSTHTGBIO"=[1]OUT_SyntheticFuels!$C$4:$C$1000)*1,("elc35"=[1]OUT_SyntheticFuels!$A$4:$A$1000)*1,("Var_Fout"=[1]OUT_SyntheticFuels!$B$4:$B$1000)*1,[1]OUT_SyntheticFuels!M$4:M$1000)</f>
        <v>0</v>
      </c>
      <c r="O629" s="1" cm="1">
        <f t="array" ref="O629">SUMPRODUCT(("SUP_WSTHTGBIO"=[1]OUT_SyntheticFuels!$C$4:$C$1000)*1,("elc35"=[1]OUT_SyntheticFuels!$A$4:$A$1000)*1,("Var_Fout"=[1]OUT_SyntheticFuels!$B$4:$B$1000)*1,[1]OUT_SyntheticFuels!N$4:N$1000)</f>
        <v>0</v>
      </c>
      <c r="P629" s="1" cm="1">
        <f t="array" ref="P629">SUMPRODUCT(("SUP_WSTHTGBIO"=[1]OUT_SyntheticFuels!$C$4:$C$1000)*1,("elc35"=[1]OUT_SyntheticFuels!$A$4:$A$1000)*1,("Var_Fout"=[1]OUT_SyntheticFuels!$B$4:$B$1000)*1,[1]OUT_SyntheticFuels!O$4:O$1000)</f>
        <v>0</v>
      </c>
      <c r="Q629" s="1" cm="1">
        <f t="array" ref="Q629">SUMPRODUCT(("SUP_WSTHTGBIO"=[1]OUT_SyntheticFuels!$C$4:$C$1000)*1,("elc35"=[1]OUT_SyntheticFuels!$A$4:$A$1000)*1,("Var_Fout"=[1]OUT_SyntheticFuels!$B$4:$B$1000)*1,[1]OUT_SyntheticFuels!P$4:P$1000)</f>
        <v>0</v>
      </c>
      <c r="S629" s="3"/>
    </row>
    <row r="630" spans="2:19" x14ac:dyDescent="0.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M630" s="1" cm="1">
        <f t="array" ref="M630">SUMPRODUCT(("SUP_WSTHTGBIOCCS"=[1]OUT_SyntheticFuels!$C$4:$C$1000)*1,("elc35"=[1]OUT_SyntheticFuels!$A$4:$A$1000)*1,("Var_Fout"=[1]OUT_SyntheticFuels!$B$4:$B$1000)*1,[1]OUT_SyntheticFuels!L$4:L$1000)</f>
        <v>0</v>
      </c>
      <c r="N630" s="1" cm="1">
        <f t="array" ref="N630">SUMPRODUCT(("SUP_WSTHTGBIOCCS"=[1]OUT_SyntheticFuels!$C$4:$C$1000)*1,("elc35"=[1]OUT_SyntheticFuels!$A$4:$A$1000)*1,("Var_Fout"=[1]OUT_SyntheticFuels!$B$4:$B$1000)*1,[1]OUT_SyntheticFuels!M$4:M$1000)</f>
        <v>0</v>
      </c>
      <c r="O630" s="1" cm="1">
        <f t="array" ref="O630">SUMPRODUCT(("SUP_WSTHTGBIOCCS"=[1]OUT_SyntheticFuels!$C$4:$C$1000)*1,("elc35"=[1]OUT_SyntheticFuels!$A$4:$A$1000)*1,("Var_Fout"=[1]OUT_SyntheticFuels!$B$4:$B$1000)*1,[1]OUT_SyntheticFuels!N$4:N$1000)</f>
        <v>0</v>
      </c>
      <c r="P630" s="1" cm="1">
        <f t="array" ref="P630">SUMPRODUCT(("SUP_WSTHTGBIOCCS"=[1]OUT_SyntheticFuels!$C$4:$C$1000)*1,("elc35"=[1]OUT_SyntheticFuels!$A$4:$A$1000)*1,("Var_Fout"=[1]OUT_SyntheticFuels!$B$4:$B$1000)*1,[1]OUT_SyntheticFuels!O$4:O$1000)</f>
        <v>0</v>
      </c>
      <c r="Q630" s="1" cm="1">
        <f t="array" ref="Q630">SUMPRODUCT(("SUP_WSTHTGBIOCCS"=[1]OUT_SyntheticFuels!$C$4:$C$1000)*1,("elc35"=[1]OUT_SyntheticFuels!$A$4:$A$1000)*1,("Var_Fout"=[1]OUT_SyntheticFuels!$B$4:$B$1000)*1,[1]OUT_SyntheticFuels!P$4:P$1000)</f>
        <v>0</v>
      </c>
      <c r="S630" s="3"/>
    </row>
    <row r="631" spans="2:19" x14ac:dyDescent="0.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701">SUM(G632:G633)</f>
        <v>0</v>
      </c>
      <c r="H631" s="1">
        <f t="shared" si="701"/>
        <v>1.9281576695879502E-6</v>
      </c>
      <c r="I631" s="1">
        <f t="shared" si="701"/>
        <v>4.8165874956954779E-5</v>
      </c>
      <c r="J631" s="1">
        <f t="shared" si="701"/>
        <v>4.8455906995021334E-5</v>
      </c>
      <c r="K631" s="1">
        <f t="shared" si="701"/>
        <v>4.8886275208282256E-5</v>
      </c>
      <c r="L631" s="1">
        <f t="shared" ref="L631:O631" si="702">SUM(L632:L633)</f>
        <v>4.8977111724933859E-5</v>
      </c>
      <c r="M631" s="1">
        <f t="shared" si="702"/>
        <v>4.9176881793720824E-5</v>
      </c>
      <c r="N631" s="1">
        <f t="shared" si="702"/>
        <v>4.9219464918500227E-5</v>
      </c>
      <c r="O631" s="1">
        <f t="shared" si="702"/>
        <v>5.1204320538017739E-5</v>
      </c>
      <c r="P631" s="1">
        <f>SUM(P632:P633)</f>
        <v>5.146255323206353E-5</v>
      </c>
      <c r="Q631" s="1">
        <f>SUM(Q632:Q633)</f>
        <v>9.8976871729767563E-5</v>
      </c>
      <c r="S631" s="3"/>
    </row>
    <row r="632" spans="2:19" x14ac:dyDescent="0.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1.9281576695879502E-6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4.8165874956954779E-5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4.8455906995021334E-5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3.4821737871560392E-5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2.9284073488266765E-5</v>
      </c>
      <c r="M632" s="1" cm="1">
        <f t="array" ref="M632">SUMPRODUCT(("SUP_WODBIO"=[1]OUT_SyntheticFuels!$C$4:$C$1000)*1,("elc35"=[1]OUT_SyntheticFuels!$A$4:$A$1000)*1,("Var_Fout"=[1]OUT_SyntheticFuels!$B$4:$B$1000)*1,[1]OUT_SyntheticFuels!L$4:L$1000)</f>
        <v>7.1224157243973309E-6</v>
      </c>
      <c r="N632" s="1" cm="1">
        <f t="array" ref="N632">SUMPRODUCT(("SUP_WODBIO"=[1]OUT_SyntheticFuels!$C$4:$C$1000)*1,("elc35"=[1]OUT_SyntheticFuels!$A$4:$A$1000)*1,("Var_Fout"=[1]OUT_SyntheticFuels!$B$4:$B$1000)*1,[1]OUT_SyntheticFuels!M$4:M$1000)</f>
        <v>8.0833412463168116E-6</v>
      </c>
      <c r="O632" s="1" cm="1">
        <f t="array" ref="O632">SUMPRODUCT(("SUP_WODBIO"=[1]OUT_SyntheticFuels!$C$4:$C$1000)*1,("elc35"=[1]OUT_SyntheticFuels!$A$4:$A$1000)*1,("Var_Fout"=[1]OUT_SyntheticFuels!$B$4:$B$1000)*1,[1]OUT_SyntheticFuels!N$4:N$1000)</f>
        <v>1.2680839557047596E-5</v>
      </c>
      <c r="P632" s="1" cm="1">
        <f t="array" ref="P632">SUMPRODUCT(("SUP_WODBIO"=[1]OUT_SyntheticFuels!$C$4:$C$1000)*1,("elc35"=[1]OUT_SyntheticFuels!$A$4:$A$1000)*1,("Var_Fout"=[1]OUT_SyntheticFuels!$B$4:$B$1000)*1,[1]OUT_SyntheticFuels!O$4:O$1000)</f>
        <v>1.1967201882461485E-5</v>
      </c>
      <c r="Q632" s="1" cm="1">
        <f t="array" ref="Q632">SUMPRODUCT(("SUP_WODBIO"=[1]OUT_SyntheticFuels!$C$4:$C$1000)*1,("elc35"=[1]OUT_SyntheticFuels!$A$4:$A$1000)*1,("Var_Fout"=[1]OUT_SyntheticFuels!$B$4:$B$1000)*1,[1]OUT_SyntheticFuels!P$4:P$1000)</f>
        <v>3.6738667550274633E-5</v>
      </c>
      <c r="S632" s="3"/>
    </row>
    <row r="633" spans="2:19" x14ac:dyDescent="0.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1.4064537336721861E-5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1.9693038236667094E-5</v>
      </c>
      <c r="M633" s="1" cm="1">
        <f t="array" ref="M633">SUMPRODUCT(("SUP_WODBIOCCS"=[1]OUT_SyntheticFuels!$C$4:$C$1000)*1,("elc35"=[1]OUT_SyntheticFuels!$A$4:$A$1000)*1,("Var_Fout"=[1]OUT_SyntheticFuels!$B$4:$B$1000)*1,[1]OUT_SyntheticFuels!L$4:L$1000)</f>
        <v>4.2054466069323496E-5</v>
      </c>
      <c r="N633" s="1" cm="1">
        <f t="array" ref="N633">SUMPRODUCT(("SUP_WODBIOCCS"=[1]OUT_SyntheticFuels!$C$4:$C$1000)*1,("elc35"=[1]OUT_SyntheticFuels!$A$4:$A$1000)*1,("Var_Fout"=[1]OUT_SyntheticFuels!$B$4:$B$1000)*1,[1]OUT_SyntheticFuels!M$4:M$1000)</f>
        <v>4.1136123672183416E-5</v>
      </c>
      <c r="O633" s="1" cm="1">
        <f t="array" ref="O633">SUMPRODUCT(("SUP_WODBIOCCS"=[1]OUT_SyntheticFuels!$C$4:$C$1000)*1,("elc35"=[1]OUT_SyntheticFuels!$A$4:$A$1000)*1,("Var_Fout"=[1]OUT_SyntheticFuels!$B$4:$B$1000)*1,[1]OUT_SyntheticFuels!N$4:N$1000)</f>
        <v>3.8523480980970144E-5</v>
      </c>
      <c r="P633" s="1" cm="1">
        <f t="array" ref="P633">SUMPRODUCT(("SUP_WODBIOCCS"=[1]OUT_SyntheticFuels!$C$4:$C$1000)*1,("elc35"=[1]OUT_SyntheticFuels!$A$4:$A$1000)*1,("Var_Fout"=[1]OUT_SyntheticFuels!$B$4:$B$1000)*1,[1]OUT_SyntheticFuels!O$4:O$1000)</f>
        <v>3.9495351349602048E-5</v>
      </c>
      <c r="Q633" s="1" cm="1">
        <f t="array" ref="Q633">SUMPRODUCT(("SUP_WODBIOCCS"=[1]OUT_SyntheticFuels!$C$4:$C$1000)*1,("elc35"=[1]OUT_SyntheticFuels!$A$4:$A$1000)*1,("Var_Fout"=[1]OUT_SyntheticFuels!$B$4:$B$1000)*1,[1]OUT_SyntheticFuels!P$4:P$1000)</f>
        <v>6.223820417949293E-5</v>
      </c>
      <c r="S633" s="3"/>
    </row>
    <row r="634" spans="2:19" x14ac:dyDescent="0.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703">G635+G636+G641</f>
        <v>5.2981407943300063E-6</v>
      </c>
      <c r="H634" s="3">
        <f t="shared" ref="H634" si="704">H635+H636+H641</f>
        <v>9.8785742897525794E-6</v>
      </c>
      <c r="I634" s="3">
        <f t="shared" ref="I634" si="705">I635+I636+I641</f>
        <v>1.4449762487086422E-4</v>
      </c>
      <c r="J634" s="3">
        <f t="shared" ref="J634" si="706">J635+J636+J641</f>
        <v>1.4536772098506387E-4</v>
      </c>
      <c r="K634" s="3">
        <f t="shared" ref="K634" si="707">K635+K636+K641</f>
        <v>1.4634473630795365E-4</v>
      </c>
      <c r="L634" s="3">
        <f t="shared" ref="L634:O634" si="708">L635+L636+L641</f>
        <v>1.465927076300261E-4</v>
      </c>
      <c r="M634" s="3">
        <f t="shared" si="708"/>
        <v>1.4721655606426929E-4</v>
      </c>
      <c r="N634" s="3">
        <f t="shared" si="708"/>
        <v>1.4731158780143113E-4</v>
      </c>
      <c r="O634" s="3">
        <f t="shared" si="708"/>
        <v>1.5329887229716008E-4</v>
      </c>
      <c r="P634" s="3">
        <f>P635+P636+P641</f>
        <v>1.5344539174551118E-4</v>
      </c>
      <c r="Q634" s="3">
        <f>Q635+Q636+Q641</f>
        <v>2.9506407398839082E-4</v>
      </c>
      <c r="S634" s="3"/>
    </row>
    <row r="635" spans="2:19" x14ac:dyDescent="0.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M635" s="1" cm="1">
        <f t="array" ref="M635">SUMPRODUCT(("SUP_MNRBIO"=[1]OUT_SyntheticFuels!$C$4:$C$1000)*1,("Var_Fout"=[1]OUT_SyntheticFuels!$B$4:$B$1000)*1,("LTH"=[1]OUT_SyntheticFuels!$A$4:$A$1000)*1,[1]OUT_SyntheticFuels!L$4:L$1000)</f>
        <v>0</v>
      </c>
      <c r="N635" s="1" cm="1">
        <f t="array" ref="N635">SUMPRODUCT(("SUP_MNRBIO"=[1]OUT_SyntheticFuels!$C$4:$C$1000)*1,("Var_Fout"=[1]OUT_SyntheticFuels!$B$4:$B$1000)*1,("LTH"=[1]OUT_SyntheticFuels!$A$4:$A$1000)*1,[1]OUT_SyntheticFuels!M$4:M$1000)</f>
        <v>0</v>
      </c>
      <c r="O635" s="1" cm="1">
        <f t="array" ref="O635">SUMPRODUCT(("SUP_MNRBIO"=[1]OUT_SyntheticFuels!$C$4:$C$1000)*1,("Var_Fout"=[1]OUT_SyntheticFuels!$B$4:$B$1000)*1,("LTH"=[1]OUT_SyntheticFuels!$A$4:$A$1000)*1,[1]OUT_SyntheticFuels!N$4:N$1000)</f>
        <v>0</v>
      </c>
      <c r="P635" s="1" cm="1">
        <f t="array" ref="P635">SUMPRODUCT(("SUP_MNRBIO"=[1]OUT_SyntheticFuels!$C$4:$C$1000)*1,("Var_Fout"=[1]OUT_SyntheticFuels!$B$4:$B$1000)*1,("LTH"=[1]OUT_SyntheticFuels!$A$4:$A$1000)*1,[1]OUT_SyntheticFuels!O$4:O$1000)</f>
        <v>0</v>
      </c>
      <c r="Q635" s="1" cm="1">
        <f t="array" ref="Q635">SUMPRODUCT(("SUP_MNRBIO"=[1]OUT_SyntheticFuels!$C$4:$C$1000)*1,("Var_Fout"=[1]OUT_SyntheticFuels!$B$4:$B$1000)*1,("LTH"=[1]OUT_SyntheticFuels!$A$4:$A$1000)*1,[1]OUT_SyntheticFuels!P$4:P$1000)</f>
        <v>0</v>
      </c>
      <c r="S635" s="3"/>
    </row>
    <row r="636" spans="2:19" x14ac:dyDescent="0.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709">SUM(G637:G640)</f>
        <v>0</v>
      </c>
      <c r="H636" s="1">
        <f t="shared" ref="H636" si="710">SUM(H637:H640)</f>
        <v>0</v>
      </c>
      <c r="I636" s="1">
        <f t="shared" ref="I636" si="711">SUM(I637:I640)</f>
        <v>0</v>
      </c>
      <c r="J636" s="1">
        <f t="shared" ref="J636" si="712">SUM(J637:J640)</f>
        <v>0</v>
      </c>
      <c r="K636" s="1">
        <f t="shared" ref="K636" si="713">SUM(K637:K640)</f>
        <v>0</v>
      </c>
      <c r="L636" s="1">
        <f t="shared" ref="L636:O636" si="714">SUM(L637:L640)</f>
        <v>0</v>
      </c>
      <c r="M636" s="1">
        <f t="shared" si="714"/>
        <v>0</v>
      </c>
      <c r="N636" s="1">
        <f t="shared" si="714"/>
        <v>0</v>
      </c>
      <c r="O636" s="1">
        <f t="shared" si="714"/>
        <v>0</v>
      </c>
      <c r="P636" s="1">
        <f>SUM(P637:P640)</f>
        <v>0</v>
      </c>
      <c r="Q636" s="1">
        <f>SUM(Q637:Q640)</f>
        <v>0</v>
      </c>
      <c r="S636" s="3"/>
    </row>
    <row r="637" spans="2:19" x14ac:dyDescent="0.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M637" s="1" cm="1">
        <f t="array" ref="M637">SUMPRODUCT(("SUP_WSTBIO"=[1]OUT_SyntheticFuels!$C$4:$C$1000)*1,("LTH"=[1]OUT_SyntheticFuels!$A$4:$A$1000)*1,("Var_Fout"=[1]OUT_SyntheticFuels!$B$4:$B$1000)*1,[1]OUT_SyntheticFuels!L$4:L$1000)</f>
        <v>0</v>
      </c>
      <c r="N637" s="1" cm="1">
        <f t="array" ref="N637">SUMPRODUCT(("SUP_WSTBIO"=[1]OUT_SyntheticFuels!$C$4:$C$1000)*1,("LTH"=[1]OUT_SyntheticFuels!$A$4:$A$1000)*1,("Var_Fout"=[1]OUT_SyntheticFuels!$B$4:$B$1000)*1,[1]OUT_SyntheticFuels!M$4:M$1000)</f>
        <v>0</v>
      </c>
      <c r="O637" s="1" cm="1">
        <f t="array" ref="O637">SUMPRODUCT(("SUP_WSTBIO"=[1]OUT_SyntheticFuels!$C$4:$C$1000)*1,("LTH"=[1]OUT_SyntheticFuels!$A$4:$A$1000)*1,("Var_Fout"=[1]OUT_SyntheticFuels!$B$4:$B$1000)*1,[1]OUT_SyntheticFuels!N$4:N$1000)</f>
        <v>0</v>
      </c>
      <c r="P637" s="1" cm="1">
        <f t="array" ref="P637">SUMPRODUCT(("SUP_WSTBIO"=[1]OUT_SyntheticFuels!$C$4:$C$1000)*1,("LTH"=[1]OUT_SyntheticFuels!$A$4:$A$1000)*1,("Var_Fout"=[1]OUT_SyntheticFuels!$B$4:$B$1000)*1,[1]OUT_SyntheticFuels!O$4:O$1000)</f>
        <v>0</v>
      </c>
      <c r="Q637" s="1" cm="1">
        <f t="array" ref="Q637">SUMPRODUCT(("SUP_WSTBIO"=[1]OUT_SyntheticFuels!$C$4:$C$1000)*1,("LTH"=[1]OUT_SyntheticFuels!$A$4:$A$1000)*1,("Var_Fout"=[1]OUT_SyntheticFuels!$B$4:$B$1000)*1,[1]OUT_SyntheticFuels!P$4:P$1000)</f>
        <v>0</v>
      </c>
      <c r="S637" s="3"/>
    </row>
    <row r="638" spans="2:19" x14ac:dyDescent="0.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M638" s="1" cm="1">
        <f t="array" ref="M638">SUMPRODUCT(("SUP_WSTBIOCCS"=[1]OUT_SyntheticFuels!$C$4:$C$1000)*1,("LTH"=[1]OUT_SyntheticFuels!$A$4:$A$1000)*1,("Var_Fout"=[1]OUT_SyntheticFuels!$B$4:$B$1000)*1,[1]OUT_SyntheticFuels!L$4:L$1000)</f>
        <v>0</v>
      </c>
      <c r="N638" s="1" cm="1">
        <f t="array" ref="N638">SUMPRODUCT(("SUP_WSTBIOCCS"=[1]OUT_SyntheticFuels!$C$4:$C$1000)*1,("LTH"=[1]OUT_SyntheticFuels!$A$4:$A$1000)*1,("Var_Fout"=[1]OUT_SyntheticFuels!$B$4:$B$1000)*1,[1]OUT_SyntheticFuels!M$4:M$1000)</f>
        <v>0</v>
      </c>
      <c r="O638" s="1" cm="1">
        <f t="array" ref="O638">SUMPRODUCT(("SUP_WSTBIOCCS"=[1]OUT_SyntheticFuels!$C$4:$C$1000)*1,("LTH"=[1]OUT_SyntheticFuels!$A$4:$A$1000)*1,("Var_Fout"=[1]OUT_SyntheticFuels!$B$4:$B$1000)*1,[1]OUT_SyntheticFuels!N$4:N$1000)</f>
        <v>0</v>
      </c>
      <c r="P638" s="1" cm="1">
        <f t="array" ref="P638">SUMPRODUCT(("SUP_WSTBIOCCS"=[1]OUT_SyntheticFuels!$C$4:$C$1000)*1,("LTH"=[1]OUT_SyntheticFuels!$A$4:$A$1000)*1,("Var_Fout"=[1]OUT_SyntheticFuels!$B$4:$B$1000)*1,[1]OUT_SyntheticFuels!O$4:O$1000)</f>
        <v>0</v>
      </c>
      <c r="Q638" s="1" cm="1">
        <f t="array" ref="Q638">SUMPRODUCT(("SUP_WSTBIOCCS"=[1]OUT_SyntheticFuels!$C$4:$C$1000)*1,("LTH"=[1]OUT_SyntheticFuels!$A$4:$A$1000)*1,("Var_Fout"=[1]OUT_SyntheticFuels!$B$4:$B$1000)*1,[1]OUT_SyntheticFuels!P$4:P$1000)</f>
        <v>0</v>
      </c>
      <c r="S638" s="3"/>
    </row>
    <row r="639" spans="2:19" x14ac:dyDescent="0.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M639" s="1" cm="1">
        <f t="array" ref="M639">SUMPRODUCT(("SUP_WSTHTGBIO"=[1]OUT_SyntheticFuels!$C$4:$C$1000)*1,("LTH"=[1]OUT_SyntheticFuels!$A$4:$A$1000)*1,("Var_Fout"=[1]OUT_SyntheticFuels!$B$4:$B$1000)*1,[1]OUT_SyntheticFuels!L$4:L$1000)</f>
        <v>0</v>
      </c>
      <c r="N639" s="1" cm="1">
        <f t="array" ref="N639">SUMPRODUCT(("SUP_WSTHTGBIO"=[1]OUT_SyntheticFuels!$C$4:$C$1000)*1,("LTH"=[1]OUT_SyntheticFuels!$A$4:$A$1000)*1,("Var_Fout"=[1]OUT_SyntheticFuels!$B$4:$B$1000)*1,[1]OUT_SyntheticFuels!M$4:M$1000)</f>
        <v>0</v>
      </c>
      <c r="O639" s="1" cm="1">
        <f t="array" ref="O639">SUMPRODUCT(("SUP_WSTHTGBIO"=[1]OUT_SyntheticFuels!$C$4:$C$1000)*1,("LTH"=[1]OUT_SyntheticFuels!$A$4:$A$1000)*1,("Var_Fout"=[1]OUT_SyntheticFuels!$B$4:$B$1000)*1,[1]OUT_SyntheticFuels!N$4:N$1000)</f>
        <v>0</v>
      </c>
      <c r="P639" s="1" cm="1">
        <f t="array" ref="P639">SUMPRODUCT(("SUP_WSTHTGBIO"=[1]OUT_SyntheticFuels!$C$4:$C$1000)*1,("LTH"=[1]OUT_SyntheticFuels!$A$4:$A$1000)*1,("Var_Fout"=[1]OUT_SyntheticFuels!$B$4:$B$1000)*1,[1]OUT_SyntheticFuels!O$4:O$1000)</f>
        <v>0</v>
      </c>
      <c r="Q639" s="1" cm="1">
        <f t="array" ref="Q639">SUMPRODUCT(("SUP_WSTHTGBIO"=[1]OUT_SyntheticFuels!$C$4:$C$1000)*1,("LTH"=[1]OUT_SyntheticFuels!$A$4:$A$1000)*1,("Var_Fout"=[1]OUT_SyntheticFuels!$B$4:$B$1000)*1,[1]OUT_SyntheticFuels!P$4:P$1000)</f>
        <v>0</v>
      </c>
      <c r="S639" s="3"/>
    </row>
    <row r="640" spans="2:19" x14ac:dyDescent="0.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M640" s="1" cm="1">
        <f t="array" ref="M640">SUMPRODUCT(("SUP_WSTHTGBIOCCS"=[1]OUT_SyntheticFuels!$C$4:$C$1000)*1,("LTH"=[1]OUT_SyntheticFuels!$A$4:$A$1000)*1,("Var_Fout"=[1]OUT_SyntheticFuels!$B$4:$B$1000)*1,[1]OUT_SyntheticFuels!L$4:L$1000)</f>
        <v>0</v>
      </c>
      <c r="N640" s="1" cm="1">
        <f t="array" ref="N640">SUMPRODUCT(("SUP_WSTHTGBIOCCS"=[1]OUT_SyntheticFuels!$C$4:$C$1000)*1,("LTH"=[1]OUT_SyntheticFuels!$A$4:$A$1000)*1,("Var_Fout"=[1]OUT_SyntheticFuels!$B$4:$B$1000)*1,[1]OUT_SyntheticFuels!M$4:M$1000)</f>
        <v>0</v>
      </c>
      <c r="O640" s="1" cm="1">
        <f t="array" ref="O640">SUMPRODUCT(("SUP_WSTHTGBIOCCS"=[1]OUT_SyntheticFuels!$C$4:$C$1000)*1,("LTH"=[1]OUT_SyntheticFuels!$A$4:$A$1000)*1,("Var_Fout"=[1]OUT_SyntheticFuels!$B$4:$B$1000)*1,[1]OUT_SyntheticFuels!N$4:N$1000)</f>
        <v>0</v>
      </c>
      <c r="P640" s="1" cm="1">
        <f t="array" ref="P640">SUMPRODUCT(("SUP_WSTHTGBIOCCS"=[1]OUT_SyntheticFuels!$C$4:$C$1000)*1,("LTH"=[1]OUT_SyntheticFuels!$A$4:$A$1000)*1,("Var_Fout"=[1]OUT_SyntheticFuels!$B$4:$B$1000)*1,[1]OUT_SyntheticFuels!O$4:O$1000)</f>
        <v>0</v>
      </c>
      <c r="Q640" s="1" cm="1">
        <f t="array" ref="Q640">SUMPRODUCT(("SUP_WSTHTGBIOCCS"=[1]OUT_SyntheticFuels!$C$4:$C$1000)*1,("LTH"=[1]OUT_SyntheticFuels!$A$4:$A$1000)*1,("Var_Fout"=[1]OUT_SyntheticFuels!$B$4:$B$1000)*1,[1]OUT_SyntheticFuels!P$4:P$1000)</f>
        <v>0</v>
      </c>
      <c r="S640" s="3"/>
    </row>
    <row r="641" spans="2:19" x14ac:dyDescent="0.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715">SUM(G642:G643)</f>
        <v>5.2981407943300063E-6</v>
      </c>
      <c r="H641" s="1">
        <f t="shared" ref="H641" si="716">SUM(H642:H643)</f>
        <v>9.8785742897525794E-6</v>
      </c>
      <c r="I641" s="1">
        <f t="shared" ref="I641" si="717">SUM(I642:I643)</f>
        <v>1.4449762487086422E-4</v>
      </c>
      <c r="J641" s="1">
        <f t="shared" ref="J641" si="718">SUM(J642:J643)</f>
        <v>1.4536772098506387E-4</v>
      </c>
      <c r="K641" s="1">
        <f t="shared" ref="K641" si="719">SUM(K642:K643)</f>
        <v>1.4634473630795365E-4</v>
      </c>
      <c r="L641" s="1">
        <f t="shared" ref="L641:O641" si="720">SUM(L642:L643)</f>
        <v>1.465927076300261E-4</v>
      </c>
      <c r="M641" s="1">
        <f t="shared" si="720"/>
        <v>1.4721655606426929E-4</v>
      </c>
      <c r="N641" s="1">
        <f t="shared" si="720"/>
        <v>1.4731158780143113E-4</v>
      </c>
      <c r="O641" s="1">
        <f t="shared" si="720"/>
        <v>1.5329887229716008E-4</v>
      </c>
      <c r="P641" s="1">
        <f>SUM(P642:P643)</f>
        <v>1.5344539174551118E-4</v>
      </c>
      <c r="Q641" s="1">
        <f>SUM(Q642:Q643)</f>
        <v>2.9506407398839082E-4</v>
      </c>
      <c r="S641" s="3"/>
    </row>
    <row r="642" spans="2:19" x14ac:dyDescent="0.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5.2981407943300063E-6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9.8785742897525794E-6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1.4449762487086422E-4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1.4536772098506387E-4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1.044652136146812E-4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8.785222046480025E-5</v>
      </c>
      <c r="M642" s="1" cm="1">
        <f t="array" ref="M642">SUMPRODUCT(("SUP_WODBIO"=[1]OUT_SyntheticFuels!$C$4:$C$1000)*1,("LTH"=[1]OUT_SyntheticFuels!$A$4:$A$1000)*1,("Var_Fout"=[1]OUT_SyntheticFuels!$B$4:$B$1000)*1,[1]OUT_SyntheticFuels!L$4:L$1000)</f>
        <v>2.1367247173191962E-5</v>
      </c>
      <c r="N642" s="1" cm="1">
        <f t="array" ref="N642">SUMPRODUCT(("SUP_WODBIO"=[1]OUT_SyntheticFuels!$C$4:$C$1000)*1,("LTH"=[1]OUT_SyntheticFuels!$A$4:$A$1000)*1,("Var_Fout"=[1]OUT_SyntheticFuels!$B$4:$B$1000)*1,[1]OUT_SyntheticFuels!M$4:M$1000)</f>
        <v>2.4250023738950401E-5</v>
      </c>
      <c r="O642" s="1" cm="1">
        <f t="array" ref="O642">SUMPRODUCT(("SUP_WODBIO"=[1]OUT_SyntheticFuels!$C$4:$C$1000)*1,("LTH"=[1]OUT_SyntheticFuels!$A$4:$A$1000)*1,("Var_Fout"=[1]OUT_SyntheticFuels!$B$4:$B$1000)*1,[1]OUT_SyntheticFuels!N$4:N$1000)</f>
        <v>3.8042518671142812E-5</v>
      </c>
      <c r="P642" s="1" cm="1">
        <f t="array" ref="P642">SUMPRODUCT(("SUP_WODBIO"=[1]OUT_SyntheticFuels!$C$4:$C$1000)*1,("LTH"=[1]OUT_SyntheticFuels!$A$4:$A$1000)*1,("Var_Fout"=[1]OUT_SyntheticFuels!$B$4:$B$1000)*1,[1]OUT_SyntheticFuels!O$4:O$1000)</f>
        <v>3.5901605647384424E-5</v>
      </c>
      <c r="Q642" s="1" cm="1">
        <f t="array" ref="Q642">SUMPRODUCT(("SUP_WODBIO"=[1]OUT_SyntheticFuels!$C$4:$C$1000)*1,("LTH"=[1]OUT_SyntheticFuels!$A$4:$A$1000)*1,("Var_Fout"=[1]OUT_SyntheticFuels!$B$4:$B$1000)*1,[1]OUT_SyntheticFuels!P$4:P$1000)</f>
        <v>1.102160026508238E-4</v>
      </c>
      <c r="S642" s="3"/>
    </row>
    <row r="643" spans="2:19" x14ac:dyDescent="0.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4.1879522693272464E-5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5.8740487165225867E-5</v>
      </c>
      <c r="M643" s="1" cm="1">
        <f t="array" ref="M643">SUMPRODUCT(("SUP_WODBIOCCS"=[1]OUT_SyntheticFuels!$C$4:$C$1000)*1,("LTH"=[1]OUT_SyntheticFuels!$A$4:$A$1000)*1,("Var_Fout"=[1]OUT_SyntheticFuels!$B$4:$B$1000)*1,[1]OUT_SyntheticFuels!L$4:L$1000)</f>
        <v>1.2584930889107733E-4</v>
      </c>
      <c r="N643" s="1" cm="1">
        <f t="array" ref="N643">SUMPRODUCT(("SUP_WODBIOCCS"=[1]OUT_SyntheticFuels!$C$4:$C$1000)*1,("LTH"=[1]OUT_SyntheticFuels!$A$4:$A$1000)*1,("Var_Fout"=[1]OUT_SyntheticFuels!$B$4:$B$1000)*1,[1]OUT_SyntheticFuels!M$4:M$1000)</f>
        <v>1.2306156406248072E-4</v>
      </c>
      <c r="O643" s="1" cm="1">
        <f t="array" ref="O643">SUMPRODUCT(("SUP_WODBIOCCS"=[1]OUT_SyntheticFuels!$C$4:$C$1000)*1,("LTH"=[1]OUT_SyntheticFuels!$A$4:$A$1000)*1,("Var_Fout"=[1]OUT_SyntheticFuels!$B$4:$B$1000)*1,[1]OUT_SyntheticFuels!N$4:N$1000)</f>
        <v>1.1525635362601727E-4</v>
      </c>
      <c r="P643" s="1" cm="1">
        <f t="array" ref="P643">SUMPRODUCT(("SUP_WODBIOCCS"=[1]OUT_SyntheticFuels!$C$4:$C$1000)*1,("LTH"=[1]OUT_SyntheticFuels!$A$4:$A$1000)*1,("Var_Fout"=[1]OUT_SyntheticFuels!$B$4:$B$1000)*1,[1]OUT_SyntheticFuels!O$4:O$1000)</f>
        <v>1.1754378609812676E-4</v>
      </c>
      <c r="Q643" s="1" cm="1">
        <f t="array" ref="Q643">SUMPRODUCT(("SUP_WODBIOCCS"=[1]OUT_SyntheticFuels!$C$4:$C$1000)*1,("LTH"=[1]OUT_SyntheticFuels!$A$4:$A$1000)*1,("Var_Fout"=[1]OUT_SyntheticFuels!$B$4:$B$1000)*1,[1]OUT_SyntheticFuels!P$4:P$1000)</f>
        <v>1.84848071337567E-4</v>
      </c>
      <c r="S643" s="3"/>
    </row>
    <row r="644" spans="2:19" x14ac:dyDescent="0.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13.477453757915182</v>
      </c>
      <c r="G644" s="3">
        <f t="shared" ref="G644" si="721">G645+G646+G651</f>
        <v>20.528707959855161</v>
      </c>
      <c r="H644" s="3">
        <f t="shared" ref="H644" si="722">H645+H646+H651</f>
        <v>22.784468796376306</v>
      </c>
      <c r="I644" s="3">
        <f t="shared" ref="I644" si="723">I645+I646+I651</f>
        <v>23.113068712411074</v>
      </c>
      <c r="J644" s="3">
        <f t="shared" ref="J644" si="724">J645+J646+J651</f>
        <v>23.092158217164801</v>
      </c>
      <c r="K644" s="3">
        <f t="shared" ref="K644" si="725">K645+K646+K651</f>
        <v>22.574269655500707</v>
      </c>
      <c r="L644" s="3">
        <f t="shared" ref="L644:O644" si="726">L645+L646+L651</f>
        <v>28.450238187228113</v>
      </c>
      <c r="M644" s="3">
        <f t="shared" si="726"/>
        <v>35.746855220518533</v>
      </c>
      <c r="N644" s="3">
        <f t="shared" si="726"/>
        <v>36.538628789830014</v>
      </c>
      <c r="O644" s="3">
        <f t="shared" si="726"/>
        <v>36.539018469160041</v>
      </c>
      <c r="P644" s="3">
        <f>P645+P646+P651</f>
        <v>36.539736704482941</v>
      </c>
      <c r="Q644" s="3">
        <f>Q645+Q646+Q651</f>
        <v>36.543943813750779</v>
      </c>
      <c r="S644" s="3"/>
    </row>
    <row r="645" spans="2:19" x14ac:dyDescent="0.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3.7980817084229987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9.9241542890025212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12.539522667193761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12.540425683308156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12.540427059556002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12.5429870583417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12.599408174616816</v>
      </c>
      <c r="M645" s="1" cm="1">
        <f t="array" ref="M645">SUMPRODUCT(("SUP_MNRBIO"=[1]OUT_SyntheticFuels!$C$4:$C$1000)*1,("VAR_FIN"=[1]OUT_SyntheticFuels!$B$4:$B$1000)*1,("MNR"=[1]OUT_SyntheticFuels!$A$4:$A$1000)*1,[1]OUT_SyntheticFuels!L$4:L$1000)</f>
        <v>18.8129182966542</v>
      </c>
      <c r="N645" s="1" cm="1">
        <f t="array" ref="N645">SUMPRODUCT(("SUP_MNRBIO"=[1]OUT_SyntheticFuels!$C$4:$C$1000)*1,("VAR_FIN"=[1]OUT_SyntheticFuels!$B$4:$B$1000)*1,("MNR"=[1]OUT_SyntheticFuels!$A$4:$A$1000)*1,[1]OUT_SyntheticFuels!M$4:M$1000)</f>
        <v>18.812919016345045</v>
      </c>
      <c r="O645" s="1" cm="1">
        <f t="array" ref="O645">SUMPRODUCT(("SUP_MNRBIO"=[1]OUT_SyntheticFuels!$C$4:$C$1000)*1,("VAR_FIN"=[1]OUT_SyntheticFuels!$B$4:$B$1000)*1,("MNR"=[1]OUT_SyntheticFuels!$A$4:$A$1000)*1,[1]OUT_SyntheticFuels!N$4:N$1000)</f>
        <v>18.812934344302008</v>
      </c>
      <c r="P645" s="1" cm="1">
        <f t="array" ref="P645">SUMPRODUCT(("SUP_MNRBIO"=[1]OUT_SyntheticFuels!$C$4:$C$1000)*1,("VAR_FIN"=[1]OUT_SyntheticFuels!$B$4:$B$1000)*1,("MNR"=[1]OUT_SyntheticFuels!$A$4:$A$1000)*1,[1]OUT_SyntheticFuels!O$4:O$1000)</f>
        <v>18.812944837978549</v>
      </c>
      <c r="Q645" s="1" cm="1">
        <f t="array" ref="Q645">SUMPRODUCT(("SUP_MNRBIO"=[1]OUT_SyntheticFuels!$C$4:$C$1000)*1,("VAR_FIN"=[1]OUT_SyntheticFuels!$B$4:$B$1000)*1,("MNR"=[1]OUT_SyntheticFuels!$A$4:$A$1000)*1,[1]OUT_SyntheticFuels!P$4:P$1000)</f>
        <v>18.814402497595562</v>
      </c>
      <c r="S645" s="3"/>
    </row>
    <row r="646" spans="2:19" x14ac:dyDescent="0.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9.6793720494921835</v>
      </c>
      <c r="G646" s="1">
        <f t="shared" ref="G646" si="727">SUM(G647:G650)</f>
        <v>10.604494066768703</v>
      </c>
      <c r="H646" s="1">
        <f t="shared" ref="H646" si="728">SUM(H647:H650)</f>
        <v>10.244834995221783</v>
      </c>
      <c r="I646" s="1">
        <f t="shared" ref="I646" si="729">SUM(I647:I650)</f>
        <v>10.571017430823119</v>
      </c>
      <c r="J646" s="1">
        <f t="shared" ref="J646" si="730">SUM(J647:J650)</f>
        <v>10.550095770747717</v>
      </c>
      <c r="K646" s="1">
        <f t="shared" ref="K646" si="731">SUM(K647:K650)</f>
        <v>10.029590965310392</v>
      </c>
      <c r="L646" s="1">
        <f t="shared" ref="L646:O646" si="732">SUM(L647:L650)</f>
        <v>15.849113800358079</v>
      </c>
      <c r="M646" s="1">
        <f t="shared" si="732"/>
        <v>16.932133475478892</v>
      </c>
      <c r="N646" s="1">
        <f t="shared" si="732"/>
        <v>17.723908499610438</v>
      </c>
      <c r="O646" s="1">
        <f t="shared" si="732"/>
        <v>17.724225262789389</v>
      </c>
      <c r="P646" s="1">
        <f>SUM(P647:P650)</f>
        <v>17.724925294350626</v>
      </c>
      <c r="Q646" s="1">
        <f>SUM(Q647:Q650)</f>
        <v>17.726000475638038</v>
      </c>
      <c r="S646" s="3"/>
    </row>
    <row r="647" spans="2:19" x14ac:dyDescent="0.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9.6793720494921835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10.604494066768703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10.244834995221783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10.571017430823119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10.550095770747717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10.028690486711206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15.847960457324392</v>
      </c>
      <c r="M647" s="1" cm="1">
        <f t="array" ref="M647">SUMPRODUCT(("SUP_WSTBIO"=[1]OUT_SyntheticFuels!$C$4:$C$1000)*1,("CWST"=[1]OUT_SyntheticFuels!$A$4:$A$1000)*1,("VAR_FIN"=[1]OUT_SyntheticFuels!$B$4:$B$1000)*1,[1]OUT_SyntheticFuels!L$4:L$1000)</f>
        <v>16.927249229276029</v>
      </c>
      <c r="N647" s="1" cm="1">
        <f t="array" ref="N647">SUMPRODUCT(("SUP_WSTBIO"=[1]OUT_SyntheticFuels!$C$4:$C$1000)*1,("CWST"=[1]OUT_SyntheticFuels!$A$4:$A$1000)*1,("VAR_FIN"=[1]OUT_SyntheticFuels!$B$4:$B$1000)*1,[1]OUT_SyntheticFuels!M$4:M$1000)</f>
        <v>17.719280925272979</v>
      </c>
      <c r="O647" s="1" cm="1">
        <f t="array" ref="O647">SUMPRODUCT(("SUP_WSTBIO"=[1]OUT_SyntheticFuels!$C$4:$C$1000)*1,("CWST"=[1]OUT_SyntheticFuels!$A$4:$A$1000)*1,("VAR_FIN"=[1]OUT_SyntheticFuels!$B$4:$B$1000)*1,[1]OUT_SyntheticFuels!N$4:N$1000)</f>
        <v>17.721100493517561</v>
      </c>
      <c r="P647" s="1" cm="1">
        <f t="array" ref="P647">SUMPRODUCT(("SUP_WSTBIO"=[1]OUT_SyntheticFuels!$C$4:$C$1000)*1,("CWST"=[1]OUT_SyntheticFuels!$A$4:$A$1000)*1,("VAR_FIN"=[1]OUT_SyntheticFuels!$B$4:$B$1000)*1,[1]OUT_SyntheticFuels!O$4:O$1000)</f>
        <v>17.721732542803956</v>
      </c>
      <c r="Q647" s="1" cm="1">
        <f t="array" ref="Q647">SUMPRODUCT(("SUP_WSTBIO"=[1]OUT_SyntheticFuels!$C$4:$C$1000)*1,("CWST"=[1]OUT_SyntheticFuels!$A$4:$A$1000)*1,("VAR_FIN"=[1]OUT_SyntheticFuels!$B$4:$B$1000)*1,[1]OUT_SyntheticFuels!P$4:P$1000)</f>
        <v>17.722034630186663</v>
      </c>
      <c r="S647" s="3"/>
    </row>
    <row r="648" spans="2:19" x14ac:dyDescent="0.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M648" s="1" cm="1">
        <f t="array" ref="M648">SUMPRODUCT(("SUP_WSTBIOCCS"=[1]OUT_SyntheticFuels!$C$4:$C$1000)*1,("CWST"=[1]OUT_SyntheticFuels!$A$4:$A$1000)*1,("VAR_FIN"=[1]OUT_SyntheticFuels!$B$4:$B$1000)*1,[1]OUT_SyntheticFuels!L$4:L$1000)</f>
        <v>0</v>
      </c>
      <c r="N648" s="1" cm="1">
        <f t="array" ref="N648">SUMPRODUCT(("SUP_WSTBIOCCS"=[1]OUT_SyntheticFuels!$C$4:$C$1000)*1,("CWST"=[1]OUT_SyntheticFuels!$A$4:$A$1000)*1,("VAR_FIN"=[1]OUT_SyntheticFuels!$B$4:$B$1000)*1,[1]OUT_SyntheticFuels!M$4:M$1000)</f>
        <v>0</v>
      </c>
      <c r="O648" s="1" cm="1">
        <f t="array" ref="O648">SUMPRODUCT(("SUP_WSTBIOCCS"=[1]OUT_SyntheticFuels!$C$4:$C$1000)*1,("CWST"=[1]OUT_SyntheticFuels!$A$4:$A$1000)*1,("VAR_FIN"=[1]OUT_SyntheticFuels!$B$4:$B$1000)*1,[1]OUT_SyntheticFuels!N$4:N$1000)</f>
        <v>0</v>
      </c>
      <c r="P648" s="1" cm="1">
        <f t="array" ref="P648">SUMPRODUCT(("SUP_WSTBIOCCS"=[1]OUT_SyntheticFuels!$C$4:$C$1000)*1,("CWST"=[1]OUT_SyntheticFuels!$A$4:$A$1000)*1,("VAR_FIN"=[1]OUT_SyntheticFuels!$B$4:$B$1000)*1,[1]OUT_SyntheticFuels!O$4:O$1000)</f>
        <v>0</v>
      </c>
      <c r="Q648" s="1" cm="1">
        <f t="array" ref="Q648">SUMPRODUCT(("SUP_WSTBIOCCS"=[1]OUT_SyntheticFuels!$C$4:$C$1000)*1,("CWST"=[1]OUT_SyntheticFuels!$A$4:$A$1000)*1,("VAR_FIN"=[1]OUT_SyntheticFuels!$B$4:$B$1000)*1,[1]OUT_SyntheticFuels!P$4:P$1000)</f>
        <v>0</v>
      </c>
      <c r="S648" s="3"/>
    </row>
    <row r="649" spans="2:19" x14ac:dyDescent="0.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7.3908831001333916E-4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9.329812412832482E-4</v>
      </c>
      <c r="M649" s="1" cm="1">
        <f t="array" ref="M649">SUMPRODUCT(("SUP_WSTHTGBIO"=[1]OUT_SyntheticFuels!$C$4:$C$1000)*1,("CWST"=[1]OUT_SyntheticFuels!$A$4:$A$1000)*1,("VAR_FIN"=[1]OUT_SyntheticFuels!$B$4:$B$1000)*1,[1]OUT_SyntheticFuels!L$4:L$1000)</f>
        <v>3.2917559964366762E-3</v>
      </c>
      <c r="N649" s="1" cm="1">
        <f t="array" ref="N649">SUMPRODUCT(("SUP_WSTHTGBIO"=[1]OUT_SyntheticFuels!$C$4:$C$1000)*1,("CWST"=[1]OUT_SyntheticFuels!$A$4:$A$1000)*1,("VAR_FIN"=[1]OUT_SyntheticFuels!$B$4:$B$1000)*1,[1]OUT_SyntheticFuels!M$4:M$1000)</f>
        <v>3.1129831195110909E-3</v>
      </c>
      <c r="O649" s="1" cm="1">
        <f t="array" ref="O649">SUMPRODUCT(("SUP_WSTHTGBIO"=[1]OUT_SyntheticFuels!$C$4:$C$1000)*1,("CWST"=[1]OUT_SyntheticFuels!$A$4:$A$1000)*1,("VAR_FIN"=[1]OUT_SyntheticFuels!$B$4:$B$1000)*1,[1]OUT_SyntheticFuels!N$4:N$1000)</f>
        <v>2.1125732976747971E-3</v>
      </c>
      <c r="P649" s="1" cm="1">
        <f t="array" ref="P649">SUMPRODUCT(("SUP_WSTHTGBIO"=[1]OUT_SyntheticFuels!$C$4:$C$1000)*1,("CWST"=[1]OUT_SyntheticFuels!$A$4:$A$1000)*1,("VAR_FIN"=[1]OUT_SyntheticFuels!$B$4:$B$1000)*1,[1]OUT_SyntheticFuels!O$4:O$1000)</f>
        <v>2.0447463431427343E-3</v>
      </c>
      <c r="Q649" s="1" cm="1">
        <f t="array" ref="Q649">SUMPRODUCT(("SUP_WSTHTGBIO"=[1]OUT_SyntheticFuels!$C$4:$C$1000)*1,("CWST"=[1]OUT_SyntheticFuels!$A$4:$A$1000)*1,("VAR_FIN"=[1]OUT_SyntheticFuels!$B$4:$B$1000)*1,[1]OUT_SyntheticFuels!P$4:P$1000)</f>
        <v>2.8852283429088707E-3</v>
      </c>
      <c r="S649" s="3"/>
    </row>
    <row r="650" spans="2:19" x14ac:dyDescent="0.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1.6139028917397862E-4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2.2036179240464068E-4</v>
      </c>
      <c r="M650" s="1" cm="1">
        <f t="array" ref="M650">SUMPRODUCT(("SUP_WSTHTGBIOCCS"=[1]OUT_SyntheticFuels!$C$4:$C$1000)*1,("CWST"=[1]OUT_SyntheticFuels!$A$4:$A$1000)*1,("VAR_FIN"=[1]OUT_SyntheticFuels!$B$4:$B$1000)*1,[1]OUT_SyntheticFuels!L$4:L$1000)</f>
        <v>1.5924902064256168E-3</v>
      </c>
      <c r="N650" s="1" cm="1">
        <f t="array" ref="N650">SUMPRODUCT(("SUP_WSTHTGBIOCCS"=[1]OUT_SyntheticFuels!$C$4:$C$1000)*1,("CWST"=[1]OUT_SyntheticFuels!$A$4:$A$1000)*1,("VAR_FIN"=[1]OUT_SyntheticFuels!$B$4:$B$1000)*1,[1]OUT_SyntheticFuels!M$4:M$1000)</f>
        <v>1.5145912179485193E-3</v>
      </c>
      <c r="O650" s="1" cm="1">
        <f t="array" ref="O650">SUMPRODUCT(("SUP_WSTHTGBIOCCS"=[1]OUT_SyntheticFuels!$C$4:$C$1000)*1,("CWST"=[1]OUT_SyntheticFuels!$A$4:$A$1000)*1,("VAR_FIN"=[1]OUT_SyntheticFuels!$B$4:$B$1000)*1,[1]OUT_SyntheticFuels!N$4:N$1000)</f>
        <v>1.0121959741513163E-3</v>
      </c>
      <c r="P650" s="1" cm="1">
        <f t="array" ref="P650">SUMPRODUCT(("SUP_WSTHTGBIOCCS"=[1]OUT_SyntheticFuels!$C$4:$C$1000)*1,("CWST"=[1]OUT_SyntheticFuels!$A$4:$A$1000)*1,("VAR_FIN"=[1]OUT_SyntheticFuels!$B$4:$B$1000)*1,[1]OUT_SyntheticFuels!O$4:O$1000)</f>
        <v>1.1480052035297238E-3</v>
      </c>
      <c r="Q650" s="1" cm="1">
        <f t="array" ref="Q650">SUMPRODUCT(("SUP_WSTHTGBIOCCS"=[1]OUT_SyntheticFuels!$C$4:$C$1000)*1,("CWST"=[1]OUT_SyntheticFuels!$A$4:$A$1000)*1,("VAR_FIN"=[1]OUT_SyntheticFuels!$B$4:$B$1000)*1,[1]OUT_SyntheticFuels!P$4:P$1000)</f>
        <v>1.0806171084670642E-3</v>
      </c>
      <c r="S650" s="3"/>
    </row>
    <row r="651" spans="2:19" x14ac:dyDescent="0.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33">SUM(G652:G653)</f>
        <v>5.9604083936212568E-5</v>
      </c>
      <c r="H651" s="1">
        <f t="shared" ref="H651" si="734">SUM(H652:H653)</f>
        <v>1.111339607597165E-4</v>
      </c>
      <c r="I651" s="1">
        <f t="shared" ref="I651" si="735">SUM(I652:I653)</f>
        <v>1.6255982797972225E-3</v>
      </c>
      <c r="J651" s="1">
        <f t="shared" ref="J651" si="736">SUM(J652:J653)</f>
        <v>1.6353868610819694E-3</v>
      </c>
      <c r="K651" s="1">
        <f t="shared" ref="K651" si="737">SUM(K652:K653)</f>
        <v>1.6916318486149694E-3</v>
      </c>
      <c r="L651" s="1">
        <f t="shared" ref="L651:O651" si="738">SUM(L652:L653)</f>
        <v>1.7162122532181851E-3</v>
      </c>
      <c r="M651" s="1">
        <f t="shared" si="738"/>
        <v>1.8034483854362955E-3</v>
      </c>
      <c r="N651" s="1">
        <f t="shared" si="738"/>
        <v>1.8012738745325316E-3</v>
      </c>
      <c r="O651" s="1">
        <f t="shared" si="738"/>
        <v>1.8588620686463002E-3</v>
      </c>
      <c r="P651" s="1">
        <f>SUM(P652:P653)</f>
        <v>1.8665721537650373E-3</v>
      </c>
      <c r="Q651" s="1">
        <f>SUM(Q652:Q653)</f>
        <v>3.5408405171800713E-3</v>
      </c>
      <c r="S651" s="3"/>
    </row>
    <row r="652" spans="2:19" x14ac:dyDescent="0.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5.9604083936212568E-5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1.111339607597165E-4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1.6255982797972225E-3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1.6353868610819694E-3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1.1752336531651625E-3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9.883374802290019E-4</v>
      </c>
      <c r="M652" s="1" cm="1">
        <f t="array" ref="M652">SUMPRODUCT(("SUP_WODBIO"=[1]OUT_SyntheticFuels!$C$4:$C$1000)*1,("CWOD"=[1]OUT_SyntheticFuels!$A$4:$A$1000)*1,("VAR_FIN"=[1]OUT_SyntheticFuels!$B$4:$B$1000)*1,[1]OUT_SyntheticFuels!L$4:L$1000)</f>
        <v>2.4038153069840968E-4</v>
      </c>
      <c r="N652" s="1" cm="1">
        <f t="array" ref="N652">SUMPRODUCT(("SUP_WODBIO"=[1]OUT_SyntheticFuels!$C$4:$C$1000)*1,("CWOD"=[1]OUT_SyntheticFuels!$A$4:$A$1000)*1,("VAR_FIN"=[1]OUT_SyntheticFuels!$B$4:$B$1000)*1,[1]OUT_SyntheticFuels!M$4:M$1000)</f>
        <v>2.7281276706319209E-4</v>
      </c>
      <c r="O652" s="1" cm="1">
        <f t="array" ref="O652">SUMPRODUCT(("SUP_WODBIO"=[1]OUT_SyntheticFuels!$C$4:$C$1000)*1,("CWOD"=[1]OUT_SyntheticFuels!$A$4:$A$1000)*1,("VAR_FIN"=[1]OUT_SyntheticFuels!$B$4:$B$1000)*1,[1]OUT_SyntheticFuels!N$4:N$1000)</f>
        <v>4.2797833505035609E-4</v>
      </c>
      <c r="P652" s="1" cm="1">
        <f t="array" ref="P652">SUMPRODUCT(("SUP_WODBIO"=[1]OUT_SyntheticFuels!$C$4:$C$1000)*1,("CWOD"=[1]OUT_SyntheticFuels!$A$4:$A$1000)*1,("VAR_FIN"=[1]OUT_SyntheticFuels!$B$4:$B$1000)*1,[1]OUT_SyntheticFuels!O$4:O$1000)</f>
        <v>4.0389306353307486E-4</v>
      </c>
      <c r="Q652" s="1" cm="1">
        <f t="array" ref="Q652">SUMPRODUCT(("SUP_WODBIO"=[1]OUT_SyntheticFuels!$C$4:$C$1000)*1,("CWOD"=[1]OUT_SyntheticFuels!$A$4:$A$1000)*1,("VAR_FIN"=[1]OUT_SyntheticFuels!$B$4:$B$1000)*1,[1]OUT_SyntheticFuels!P$4:P$1000)</f>
        <v>1.2399300298217685E-3</v>
      </c>
      <c r="S652" s="3"/>
    </row>
    <row r="653" spans="2:19" x14ac:dyDescent="0.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5.1639819544980678E-4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7.2787477298918307E-4</v>
      </c>
      <c r="M653" s="1" cm="1">
        <f t="array" ref="M653">SUMPRODUCT(("SUP_WODBIOCCS"=[1]OUT_SyntheticFuels!$C$4:$C$1000)*1,("CWOD"=[1]OUT_SyntheticFuels!$A$4:$A$1000)*1,("VAR_FIN"=[1]OUT_SyntheticFuels!$B$4:$B$1000)*1,[1]OUT_SyntheticFuels!L$4:L$1000)</f>
        <v>1.5630668547378858E-3</v>
      </c>
      <c r="N653" s="1" cm="1">
        <f t="array" ref="N653">SUMPRODUCT(("SUP_WODBIOCCS"=[1]OUT_SyntheticFuels!$C$4:$C$1000)*1,("CWOD"=[1]OUT_SyntheticFuels!$A$4:$A$1000)*1,("VAR_FIN"=[1]OUT_SyntheticFuels!$B$4:$B$1000)*1,[1]OUT_SyntheticFuels!M$4:M$1000)</f>
        <v>1.5284611074693395E-3</v>
      </c>
      <c r="O653" s="1" cm="1">
        <f t="array" ref="O653">SUMPRODUCT(("SUP_WODBIOCCS"=[1]OUT_SyntheticFuels!$C$4:$C$1000)*1,("CWOD"=[1]OUT_SyntheticFuels!$A$4:$A$1000)*1,("VAR_FIN"=[1]OUT_SyntheticFuels!$B$4:$B$1000)*1,[1]OUT_SyntheticFuels!N$4:N$1000)</f>
        <v>1.4308837335959442E-3</v>
      </c>
      <c r="P653" s="1" cm="1">
        <f t="array" ref="P653">SUMPRODUCT(("SUP_WODBIOCCS"=[1]OUT_SyntheticFuels!$C$4:$C$1000)*1,("CWOD"=[1]OUT_SyntheticFuels!$A$4:$A$1000)*1,("VAR_FIN"=[1]OUT_SyntheticFuels!$B$4:$B$1000)*1,[1]OUT_SyntheticFuels!O$4:O$1000)</f>
        <v>1.4626790902319625E-3</v>
      </c>
      <c r="Q653" s="1" cm="1">
        <f t="array" ref="Q653">SUMPRODUCT(("SUP_WODBIOCCS"=[1]OUT_SyntheticFuels!$C$4:$C$1000)*1,("CWOD"=[1]OUT_SyntheticFuels!$A$4:$A$1000)*1,("VAR_FIN"=[1]OUT_SyntheticFuels!$B$4:$B$1000)*1,[1]OUT_SyntheticFuels!P$4:P$1000)</f>
        <v>2.3009104873583028E-3</v>
      </c>
      <c r="S653" s="3"/>
    </row>
    <row r="654" spans="2:19" x14ac:dyDescent="0.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M654" s="14" t="s">
        <v>292</v>
      </c>
      <c r="N654" s="14" t="s">
        <v>292</v>
      </c>
      <c r="O654" s="14" t="s">
        <v>292</v>
      </c>
      <c r="P654" s="14" t="s">
        <v>292</v>
      </c>
      <c r="Q654" s="14" t="s">
        <v>292</v>
      </c>
      <c r="S654" s="3"/>
    </row>
    <row r="655" spans="2:19" x14ac:dyDescent="0.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39">IFERROR(SUM(F635,F625,F615)/F645,"-")</f>
        <v>0.34965034965034975</v>
      </c>
      <c r="G655" s="4">
        <f t="shared" si="739"/>
        <v>0.34965034965034991</v>
      </c>
      <c r="H655" s="4">
        <f t="shared" si="739"/>
        <v>0.34965034965034986</v>
      </c>
      <c r="I655" s="4">
        <f t="shared" si="739"/>
        <v>0.34965034965035025</v>
      </c>
      <c r="J655" s="4">
        <f t="shared" si="739"/>
        <v>0.34965034965034991</v>
      </c>
      <c r="K655" s="4">
        <f t="shared" si="739"/>
        <v>0.3496503496503498</v>
      </c>
      <c r="L655" s="4">
        <f t="shared" ref="L655:O655" si="740">IFERROR(SUM(L635,L625,L615)/L645,"-")</f>
        <v>0.34965034965035052</v>
      </c>
      <c r="M655" s="4">
        <f t="shared" si="740"/>
        <v>0.34965034965034969</v>
      </c>
      <c r="N655" s="4">
        <f t="shared" si="740"/>
        <v>0.34965034965035025</v>
      </c>
      <c r="O655" s="4">
        <f t="shared" si="740"/>
        <v>0.34965034965034986</v>
      </c>
      <c r="P655" s="4">
        <f>IFERROR(SUM(P635,P625,P615)/P645,"-")</f>
        <v>0.34965034965034997</v>
      </c>
      <c r="Q655" s="4">
        <f>IFERROR(SUM(Q635,Q625,Q615)/Q645,"-")</f>
        <v>0.34965034965035036</v>
      </c>
      <c r="S655" s="3"/>
    </row>
    <row r="656" spans="2:19" x14ac:dyDescent="0.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41">IFERROR(SUM(F637,F627,F617)/F647,"-")</f>
        <v>0.59322033898305104</v>
      </c>
      <c r="G656" s="4">
        <f t="shared" si="741"/>
        <v>0.5932203389830506</v>
      </c>
      <c r="H656" s="4">
        <f t="shared" si="741"/>
        <v>0.59322033898305171</v>
      </c>
      <c r="I656" s="4">
        <f t="shared" si="741"/>
        <v>0.59322033898305082</v>
      </c>
      <c r="J656" s="4">
        <f t="shared" si="741"/>
        <v>0.59322033898305104</v>
      </c>
      <c r="K656" s="4">
        <f t="shared" si="741"/>
        <v>0.59322033898305127</v>
      </c>
      <c r="L656" s="4">
        <f t="shared" ref="L656:O656" si="742">IFERROR(SUM(L637,L627,L617)/L647,"-")</f>
        <v>0.59322033898305115</v>
      </c>
      <c r="M656" s="4">
        <f t="shared" si="742"/>
        <v>0.59322033898305071</v>
      </c>
      <c r="N656" s="4">
        <f t="shared" si="742"/>
        <v>0.59322033898305082</v>
      </c>
      <c r="O656" s="4">
        <f t="shared" si="742"/>
        <v>0.59322033898305071</v>
      </c>
      <c r="P656" s="4">
        <f t="shared" ref="P656:Q659" si="743">IFERROR(SUM(P637,P627,P617)/P647,"-")</f>
        <v>0.5932203389830516</v>
      </c>
      <c r="Q656" s="4">
        <f t="shared" si="743"/>
        <v>0.59322033898305049</v>
      </c>
      <c r="S656" s="3"/>
    </row>
    <row r="657" spans="2:19" x14ac:dyDescent="0.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41"/>
        <v>-</v>
      </c>
      <c r="G657" s="4" t="str">
        <f t="shared" si="741"/>
        <v>-</v>
      </c>
      <c r="H657" s="4" t="str">
        <f t="shared" si="741"/>
        <v>-</v>
      </c>
      <c r="I657" s="4" t="str">
        <f t="shared" si="741"/>
        <v>-</v>
      </c>
      <c r="J657" s="4" t="str">
        <f t="shared" si="741"/>
        <v>-</v>
      </c>
      <c r="K657" s="4" t="str">
        <f t="shared" si="741"/>
        <v>-</v>
      </c>
      <c r="L657" s="4" t="str">
        <f t="shared" ref="L657:O657" si="744">IFERROR(SUM(L638,L628,L618)/L648,"-")</f>
        <v>-</v>
      </c>
      <c r="M657" s="4" t="str">
        <f t="shared" si="744"/>
        <v>-</v>
      </c>
      <c r="N657" s="4" t="str">
        <f t="shared" si="744"/>
        <v>-</v>
      </c>
      <c r="O657" s="4" t="str">
        <f t="shared" si="744"/>
        <v>-</v>
      </c>
      <c r="P657" s="4" t="str">
        <f t="shared" si="743"/>
        <v>-</v>
      </c>
      <c r="Q657" s="4" t="str">
        <f t="shared" si="743"/>
        <v>-</v>
      </c>
      <c r="S657" s="3"/>
    </row>
    <row r="658" spans="2:19" x14ac:dyDescent="0.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41"/>
        <v>-</v>
      </c>
      <c r="G658" s="4" t="str">
        <f t="shared" si="741"/>
        <v>-</v>
      </c>
      <c r="H658" s="4" t="str">
        <f t="shared" si="741"/>
        <v>-</v>
      </c>
      <c r="I658" s="4" t="str">
        <f t="shared" si="741"/>
        <v>-</v>
      </c>
      <c r="J658" s="4" t="str">
        <f t="shared" si="741"/>
        <v>-</v>
      </c>
      <c r="K658" s="4">
        <f t="shared" si="741"/>
        <v>0.70000000000000051</v>
      </c>
      <c r="L658" s="4">
        <f t="shared" ref="L658:O658" si="745">IFERROR(SUM(L639,L629,L619)/L649,"-")</f>
        <v>0.7000000000000004</v>
      </c>
      <c r="M658" s="4">
        <f t="shared" si="745"/>
        <v>0.70000000000000051</v>
      </c>
      <c r="N658" s="4">
        <f t="shared" si="745"/>
        <v>0.69999999999999973</v>
      </c>
      <c r="O658" s="4">
        <f t="shared" si="745"/>
        <v>0.70000000000000007</v>
      </c>
      <c r="P658" s="4">
        <f t="shared" si="743"/>
        <v>0.70000000000000007</v>
      </c>
      <c r="Q658" s="4">
        <f t="shared" si="743"/>
        <v>0.69999999999999984</v>
      </c>
      <c r="S658" s="3"/>
    </row>
    <row r="659" spans="2:19" x14ac:dyDescent="0.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41"/>
        <v>-</v>
      </c>
      <c r="G659" s="4" t="str">
        <f t="shared" si="741"/>
        <v>-</v>
      </c>
      <c r="H659" s="4" t="str">
        <f t="shared" si="741"/>
        <v>-</v>
      </c>
      <c r="I659" s="4" t="str">
        <f t="shared" si="741"/>
        <v>-</v>
      </c>
      <c r="J659" s="4" t="str">
        <f t="shared" si="741"/>
        <v>-</v>
      </c>
      <c r="K659" s="4">
        <f t="shared" si="741"/>
        <v>0.63000000000000034</v>
      </c>
      <c r="L659" s="4">
        <f t="shared" ref="L659:O659" si="746">IFERROR(SUM(L640,L630,L620)/L650,"-")</f>
        <v>0.63000000000000034</v>
      </c>
      <c r="M659" s="4">
        <f t="shared" si="746"/>
        <v>0.63000000000000067</v>
      </c>
      <c r="N659" s="4">
        <f t="shared" si="746"/>
        <v>0.62999999999999956</v>
      </c>
      <c r="O659" s="4">
        <f t="shared" si="746"/>
        <v>0.62999999999999956</v>
      </c>
      <c r="P659" s="4">
        <f t="shared" si="743"/>
        <v>0.63000000000000012</v>
      </c>
      <c r="Q659" s="4">
        <f t="shared" si="743"/>
        <v>0.63000000000000023</v>
      </c>
      <c r="S659" s="3"/>
    </row>
    <row r="660" spans="2:19" x14ac:dyDescent="0.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47">IFERROR(SUM(F642,F632,F622)/F652,"-")</f>
        <v>-</v>
      </c>
      <c r="G660" s="4">
        <f t="shared" si="747"/>
        <v>0.82962962962962983</v>
      </c>
      <c r="H660" s="4">
        <f t="shared" si="747"/>
        <v>0.84697948071391482</v>
      </c>
      <c r="I660" s="4">
        <f t="shared" si="747"/>
        <v>0.85925925925925895</v>
      </c>
      <c r="J660" s="4">
        <f t="shared" si="747"/>
        <v>0.85925925925925906</v>
      </c>
      <c r="K660" s="4">
        <f t="shared" si="747"/>
        <v>0.85925925925925917</v>
      </c>
      <c r="L660" s="4">
        <f t="shared" ref="L660:O660" si="748">IFERROR(SUM(L642,L632,L622)/L652,"-")</f>
        <v>0.85925925925925972</v>
      </c>
      <c r="M660" s="4">
        <f t="shared" si="748"/>
        <v>0.85925925925925883</v>
      </c>
      <c r="N660" s="4">
        <f t="shared" si="748"/>
        <v>0.8592592592592585</v>
      </c>
      <c r="O660" s="4">
        <f t="shared" si="748"/>
        <v>0.85925925925925928</v>
      </c>
      <c r="P660" s="4">
        <f>IFERROR(SUM(P642,P632,P622)/P652,"-")</f>
        <v>0.85925925925925806</v>
      </c>
      <c r="Q660" s="4">
        <f>IFERROR(SUM(Q642,Q632,Q622)/Q652,"-")</f>
        <v>0.85925925925925761</v>
      </c>
      <c r="S660" s="3"/>
    </row>
    <row r="661" spans="2:19" x14ac:dyDescent="0.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47"/>
        <v>-</v>
      </c>
      <c r="G661" s="4" t="str">
        <f t="shared" si="747"/>
        <v>-</v>
      </c>
      <c r="H661" s="4" t="str">
        <f t="shared" si="747"/>
        <v>-</v>
      </c>
      <c r="I661" s="4" t="str">
        <f t="shared" si="747"/>
        <v>-</v>
      </c>
      <c r="J661" s="4" t="str">
        <f t="shared" si="747"/>
        <v>-</v>
      </c>
      <c r="K661" s="4">
        <f t="shared" si="747"/>
        <v>0.77676549636977654</v>
      </c>
      <c r="L661" s="4">
        <f t="shared" ref="L661:O661" si="749">IFERROR(SUM(L643,L633,L623)/L653,"-")</f>
        <v>0.77571657946817218</v>
      </c>
      <c r="M661" s="4">
        <f t="shared" si="749"/>
        <v>0.77579356196034011</v>
      </c>
      <c r="N661" s="4">
        <f t="shared" si="749"/>
        <v>0.77574969164831276</v>
      </c>
      <c r="O661" s="4">
        <f t="shared" si="749"/>
        <v>0.77589758668557229</v>
      </c>
      <c r="P661" s="4">
        <f>IFERROR(SUM(P643,P633,P623)/P653,"-")</f>
        <v>0.77474195506982335</v>
      </c>
      <c r="Q661" s="4">
        <f>IFERROR(SUM(Q643,Q633,Q623)/Q653,"-")</f>
        <v>0.77474195506982391</v>
      </c>
      <c r="S661" s="3"/>
    </row>
    <row r="662" spans="2:19" x14ac:dyDescent="0.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3.3967007847175708E-3</v>
      </c>
      <c r="G662" s="3">
        <f t="shared" ref="G662:K662" si="750">SUM(G663,G667,G676)</f>
        <v>5.0374665960960822E-3</v>
      </c>
      <c r="H662" s="3">
        <f t="shared" si="750"/>
        <v>5.0563391603492382E-3</v>
      </c>
      <c r="I662" s="3">
        <f t="shared" si="750"/>
        <v>4.1633429442901215E-2</v>
      </c>
      <c r="J662" s="3">
        <f t="shared" si="750"/>
        <v>11.644546522080137</v>
      </c>
      <c r="K662" s="3">
        <f t="shared" si="750"/>
        <v>11.644549567249738</v>
      </c>
      <c r="L662" s="3">
        <f t="shared" ref="L662:O662" si="751">SUM(L663,L667,L676)</f>
        <v>11.644554633816178</v>
      </c>
      <c r="M662" s="3">
        <f t="shared" si="751"/>
        <v>18.190477672949356</v>
      </c>
      <c r="N662" s="3">
        <f t="shared" si="751"/>
        <v>22.560657461568752</v>
      </c>
      <c r="O662" s="3">
        <f t="shared" si="751"/>
        <v>24.421132674719789</v>
      </c>
      <c r="P662" s="3">
        <f>SUM(P663,P667,P676)</f>
        <v>24.560234127553461</v>
      </c>
      <c r="Q662" s="3">
        <f>SUM(Q663,Q667,Q676)</f>
        <v>24.601986711762514</v>
      </c>
      <c r="S662" s="3"/>
    </row>
    <row r="663" spans="2:19" x14ac:dyDescent="0.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3.3967007847175708E-3</v>
      </c>
      <c r="G663" s="1">
        <f>[1]Other_transformation!C$28</f>
        <v>5.0374665960960822E-3</v>
      </c>
      <c r="H663" s="1">
        <f>[1]Other_transformation!D$28</f>
        <v>5.0563391603492382E-3</v>
      </c>
      <c r="I663" s="1">
        <f>[1]Other_transformation!E$28</f>
        <v>4.1633429442901215E-2</v>
      </c>
      <c r="J663" s="1">
        <f>[1]Other_transformation!F$28</f>
        <v>11.644546522080137</v>
      </c>
      <c r="K663" s="1">
        <f>[1]Other_transformation!G$28</f>
        <v>11.644549567249738</v>
      </c>
      <c r="L663" s="1">
        <f>[1]Other_transformation!H$28</f>
        <v>11.644554633816178</v>
      </c>
      <c r="M663" s="1">
        <f>[1]Other_transformation!I$28</f>
        <v>13.365070928529772</v>
      </c>
      <c r="N663" s="1">
        <f>[1]Other_transformation!J$28</f>
        <v>17.731114222406408</v>
      </c>
      <c r="O663" s="1">
        <f>[1]Other_transformation!K$28</f>
        <v>19.068444022599078</v>
      </c>
      <c r="P663" s="1">
        <f>[1]Other_transformation!L$28</f>
        <v>19.207527839522516</v>
      </c>
      <c r="Q663" s="1">
        <f>[1]Other_transformation!M$28</f>
        <v>19.249206375216357</v>
      </c>
      <c r="S663" s="3"/>
    </row>
    <row r="664" spans="2:19" x14ac:dyDescent="0.5">
      <c r="B664" t="str">
        <f t="shared" ref="B664:B675" si="752">B663</f>
        <v>SPS1</v>
      </c>
      <c r="C664" t="str">
        <f t="shared" ref="C664:C675" si="753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3.3967007847175708E-3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5.0374665960960822E-3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5.0563391603492382E-3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4.1630061045321201E-2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11.644186490009545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11.635947416474943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11.634217932132692</v>
      </c>
      <c r="M664" s="1" cm="1">
        <f t="array" ref="M664">SUMPRODUCT(("SUP_ELCH2"=[1]OUT_SyntheticFuels!$C$4:$C$1000)*1,ISNUMBER(SEARCH("h2",[1]OUT_SyntheticFuels!$A$4:$A$1000))*1,("Var_Fout"=[1]OUT_SyntheticFuels!$B$4:$B$1000)*1,[1]OUT_SyntheticFuels!L$4:L$1000)</f>
        <v>13.360609617940884</v>
      </c>
      <c r="N664" s="1" cm="1">
        <f t="array" ref="N664">SUMPRODUCT(("SUP_ELCH2"=[1]OUT_SyntheticFuels!$C$4:$C$1000)*1,ISNUMBER(SEARCH("h2",[1]OUT_SyntheticFuels!$A$4:$A$1000))*1,("Var_Fout"=[1]OUT_SyntheticFuels!$B$4:$B$1000)*1,[1]OUT_SyntheticFuels!M$4:M$1000)</f>
        <v>17.722496424883222</v>
      </c>
      <c r="O664" s="1" cm="1">
        <f t="array" ref="O664">SUMPRODUCT(("SUP_ELCH2"=[1]OUT_SyntheticFuels!$C$4:$C$1000)*1,ISNUMBER(SEARCH("h2",[1]OUT_SyntheticFuels!$A$4:$A$1000))*1,("Var_Fout"=[1]OUT_SyntheticFuels!$B$4:$B$1000)*1,[1]OUT_SyntheticFuels!N$4:N$1000)</f>
        <v>19.056442825598005</v>
      </c>
      <c r="P664" s="1" cm="1">
        <f t="array" ref="P664">SUMPRODUCT(("SUP_ELCH2"=[1]OUT_SyntheticFuels!$C$4:$C$1000)*1,ISNUMBER(SEARCH("h2",[1]OUT_SyntheticFuels!$A$4:$A$1000))*1,("Var_Fout"=[1]OUT_SyntheticFuels!$B$4:$B$1000)*1,[1]OUT_SyntheticFuels!O$4:O$1000)</f>
        <v>19.198416841239169</v>
      </c>
      <c r="Q664" s="1" cm="1">
        <f t="array" ref="Q664">SUMPRODUCT(("SUP_ELCH2"=[1]OUT_SyntheticFuels!$C$4:$C$1000)*1,ISNUMBER(SEARCH("h2",[1]OUT_SyntheticFuels!$A$4:$A$1000))*1,("Var_Fout"=[1]OUT_SyntheticFuels!$B$4:$B$1000)*1,[1]OUT_SyntheticFuels!P$4:P$1000)</f>
        <v>19.232151627170023</v>
      </c>
      <c r="S664" s="3"/>
    </row>
    <row r="665" spans="2:19" x14ac:dyDescent="0.5">
      <c r="B665" t="str">
        <f t="shared" ref="B665" si="754">B664</f>
        <v>SPS1</v>
      </c>
      <c r="C665" t="str">
        <f t="shared" ref="C665" si="755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3.3683975800143571E-6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3.6003207059245206E-4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1.1333709533802023E-3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1.2932316132575955E-3</v>
      </c>
      <c r="M665" s="1" cm="1">
        <f t="array" ref="M665">SUMPRODUCT(("SUP_ELCH2_D"=[1]OUT_SyntheticFuels!$C$4:$C$1000)*1,ISNUMBER(SEARCH("h2",[1]OUT_SyntheticFuels!$A$4:$A$1000))*1,("Var_Fout"=[1]OUT_SyntheticFuels!$B$4:$B$1000)*1,[1]OUT_SyntheticFuels!L$4:L$1000)</f>
        <v>1.3337594997684422E-3</v>
      </c>
      <c r="N665" s="1" cm="1">
        <f t="array" ref="N665">SUMPRODUCT(("SUP_ELCH2_D"=[1]OUT_SyntheticFuels!$C$4:$C$1000)*1,ISNUMBER(SEARCH("h2",[1]OUT_SyntheticFuels!$A$4:$A$1000))*1,("Var_Fout"=[1]OUT_SyntheticFuels!$B$4:$B$1000)*1,[1]OUT_SyntheticFuels!M$4:M$1000)</f>
        <v>1.3346058633048558E-3</v>
      </c>
      <c r="O665" s="1" cm="1">
        <f t="array" ref="O665">SUMPRODUCT(("SUP_ELCH2_D"=[1]OUT_SyntheticFuels!$C$4:$C$1000)*1,ISNUMBER(SEARCH("h2",[1]OUT_SyntheticFuels!$A$4:$A$1000))*1,("Var_Fout"=[1]OUT_SyntheticFuels!$B$4:$B$1000)*1,[1]OUT_SyntheticFuels!N$4:N$1000)</f>
        <v>1.3373616421641801E-3</v>
      </c>
      <c r="P665" s="1" cm="1">
        <f t="array" ref="P665">SUMPRODUCT(("SUP_ELCH2_D"=[1]OUT_SyntheticFuels!$C$4:$C$1000)*1,ISNUMBER(SEARCH("h2",[1]OUT_SyntheticFuels!$A$4:$A$1000))*1,("Var_Fout"=[1]OUT_SyntheticFuels!$B$4:$B$1000)*1,[1]OUT_SyntheticFuels!O$4:O$1000)</f>
        <v>9.1365940110783948E-4</v>
      </c>
      <c r="Q665" s="1" cm="1">
        <f t="array" ref="Q665">SUMPRODUCT(("SUP_ELCH2_D"=[1]OUT_SyntheticFuels!$C$4:$C$1000)*1,ISNUMBER(SEARCH("h2",[1]OUT_SyntheticFuels!$A$4:$A$1000))*1,("Var_Fout"=[1]OUT_SyntheticFuels!$B$4:$B$1000)*1,[1]OUT_SyntheticFuels!P$4:P$1000)</f>
        <v>1.1817764197921646E-3</v>
      </c>
      <c r="S665" s="3"/>
    </row>
    <row r="666" spans="2:19" x14ac:dyDescent="0.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7.4687798214147973E-3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9.0434700702268309E-3</v>
      </c>
      <c r="M666" s="1" cm="1">
        <f t="array" ref="M666">SUMPRODUCT(("SUP_ELCH2_SOEC"=[1]OUT_SyntheticFuels!$C$4:$C$1000)*1,ISNUMBER(SEARCH("H2",[1]OUT_SyntheticFuels!$A$4:$A$1000))*1,("Var_Fout"=[1]OUT_SyntheticFuels!$B$4:$B$1000)*1,[1]OUT_SyntheticFuels!L$4:L$1000)</f>
        <v>3.1275510891190005E-3</v>
      </c>
      <c r="N666" s="1" cm="1">
        <f t="array" ref="N666">SUMPRODUCT(("SUP_ELCH2_SOEC"=[1]OUT_SyntheticFuels!$C$4:$C$1000)*1,ISNUMBER(SEARCH("H2",[1]OUT_SyntheticFuels!$A$4:$A$1000))*1,("Var_Fout"=[1]OUT_SyntheticFuels!$B$4:$B$1000)*1,[1]OUT_SyntheticFuels!M$4:M$1000)</f>
        <v>7.2831916598812205E-3</v>
      </c>
      <c r="O666" s="1" cm="1">
        <f t="array" ref="O666">SUMPRODUCT(("SUP_ELCH2_SOEC"=[1]OUT_SyntheticFuels!$C$4:$C$1000)*1,ISNUMBER(SEARCH("H2",[1]OUT_SyntheticFuels!$A$4:$A$1000))*1,("Var_Fout"=[1]OUT_SyntheticFuels!$B$4:$B$1000)*1,[1]OUT_SyntheticFuels!N$4:N$1000)</f>
        <v>1.0663835358910526E-2</v>
      </c>
      <c r="P666" s="1" cm="1">
        <f t="array" ref="P666">SUMPRODUCT(("SUP_ELCH2_SOEC"=[1]OUT_SyntheticFuels!$C$4:$C$1000)*1,ISNUMBER(SEARCH("H2",[1]OUT_SyntheticFuels!$A$4:$A$1000))*1,("Var_Fout"=[1]OUT_SyntheticFuels!$B$4:$B$1000)*1,[1]OUT_SyntheticFuels!O$4:O$1000)</f>
        <v>8.1973388822384127E-3</v>
      </c>
      <c r="Q666" s="1" cm="1">
        <f t="array" ref="Q666">SUMPRODUCT(("SUP_ELCH2_SOEC"=[1]OUT_SyntheticFuels!$C$4:$C$1000)*1,ISNUMBER(SEARCH("H2",[1]OUT_SyntheticFuels!$A$4:$A$1000))*1,("Var_Fout"=[1]OUT_SyntheticFuels!$B$4:$B$1000)*1,[1]OUT_SyntheticFuels!P$4:P$1000)</f>
        <v>1.5872971626541485E-2</v>
      </c>
      <c r="S666" s="3"/>
    </row>
    <row r="667" spans="2:19" x14ac:dyDescent="0.5">
      <c r="B667" t="str">
        <f t="shared" si="752"/>
        <v>SPS1</v>
      </c>
      <c r="C667" t="str">
        <f t="shared" si="753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0</v>
      </c>
      <c r="M667" s="1">
        <f>SUM([1]Other_transformation!I$29:I$30)</f>
        <v>2.0172765263076628E-4</v>
      </c>
      <c r="N667" s="1">
        <f>SUM([1]Other_transformation!J$29:J$30)</f>
        <v>2.0129048271396528E-4</v>
      </c>
      <c r="O667" s="1">
        <f>SUM([1]Other_transformation!K$29:K$30)</f>
        <v>2.3588362966742193E-4</v>
      </c>
      <c r="P667" s="1">
        <f>SUM([1]Other_transformation!L$29:L$30)</f>
        <v>2.6309596814922152E-4</v>
      </c>
      <c r="Q667" s="1">
        <f>SUM([1]Other_transformation!M$29:M$30)</f>
        <v>4.6750728950165868E-4</v>
      </c>
      <c r="S667" s="3"/>
    </row>
    <row r="668" spans="2:19" x14ac:dyDescent="0.5">
      <c r="B668" t="str">
        <f t="shared" si="752"/>
        <v>SPS1</v>
      </c>
      <c r="C668" t="str">
        <f t="shared" si="753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0</v>
      </c>
      <c r="M668" s="1">
        <f>[1]Other_transformation!I$29</f>
        <v>7.3444749133003931E-5</v>
      </c>
      <c r="N668" s="1">
        <f>[1]Other_transformation!J$29</f>
        <v>6.9032723129057189E-5</v>
      </c>
      <c r="O668" s="1">
        <f>[1]Other_transformation!K$29</f>
        <v>1.0866025091135477E-4</v>
      </c>
      <c r="P668" s="1">
        <f>[1]Other_transformation!L$29</f>
        <v>9.6196480656016452E-5</v>
      </c>
      <c r="Q668" s="1">
        <f>[1]Other_transformation!M$29</f>
        <v>2.1953831819473664E-4</v>
      </c>
      <c r="S668" s="3"/>
    </row>
    <row r="669" spans="2:19" x14ac:dyDescent="0.5">
      <c r="B669" t="str">
        <f t="shared" si="752"/>
        <v>SPS1</v>
      </c>
      <c r="C669" t="str">
        <f t="shared" si="753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M669" s="1">
        <f>[1]Other_transformation!I$30</f>
        <v>1.2828290349776235E-4</v>
      </c>
      <c r="N669" s="1">
        <f>[1]Other_transformation!J$30</f>
        <v>1.3225775958490809E-4</v>
      </c>
      <c r="O669" s="1">
        <f>[1]Other_transformation!K$30</f>
        <v>1.2722337875606716E-4</v>
      </c>
      <c r="P669" s="1">
        <f>[1]Other_transformation!L$30</f>
        <v>1.6689948749320507E-4</v>
      </c>
      <c r="Q669" s="1">
        <f>[1]Other_transformation!M$30</f>
        <v>2.4796897130692204E-4</v>
      </c>
      <c r="S669" s="3"/>
    </row>
    <row r="670" spans="2:19" x14ac:dyDescent="0.5">
      <c r="B670" t="str">
        <f t="shared" si="752"/>
        <v>SPS1</v>
      </c>
      <c r="C670" t="str">
        <f t="shared" si="753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56">G667-G673</f>
        <v>0</v>
      </c>
      <c r="H670" s="1">
        <f t="shared" si="756"/>
        <v>0</v>
      </c>
      <c r="I670" s="1">
        <f t="shared" si="756"/>
        <v>0</v>
      </c>
      <c r="J670" s="1">
        <f t="shared" si="756"/>
        <v>0</v>
      </c>
      <c r="K670" s="1">
        <f t="shared" si="756"/>
        <v>0</v>
      </c>
      <c r="L670" s="1">
        <f t="shared" ref="L670:O670" si="757">L667-L673</f>
        <v>0</v>
      </c>
      <c r="M670" s="1">
        <f t="shared" si="757"/>
        <v>0</v>
      </c>
      <c r="N670" s="1">
        <f t="shared" si="757"/>
        <v>0</v>
      </c>
      <c r="O670" s="1">
        <f t="shared" si="757"/>
        <v>0</v>
      </c>
      <c r="P670" s="1">
        <f t="shared" ref="P670:Q672" si="758">P667-P673</f>
        <v>0</v>
      </c>
      <c r="Q670" s="1">
        <f t="shared" si="758"/>
        <v>0</v>
      </c>
      <c r="S670" s="3"/>
    </row>
    <row r="671" spans="2:19" x14ac:dyDescent="0.5">
      <c r="B671" t="str">
        <f t="shared" si="752"/>
        <v>SPS1</v>
      </c>
      <c r="C671" t="str">
        <f t="shared" si="753"/>
        <v>CH</v>
      </c>
      <c r="D671" t="s">
        <v>607</v>
      </c>
      <c r="E671" s="5" t="s">
        <v>8</v>
      </c>
      <c r="F671" s="1">
        <f t="shared" ref="F671:K671" si="759">F668-F674</f>
        <v>0</v>
      </c>
      <c r="G671" s="1">
        <f t="shared" si="759"/>
        <v>0</v>
      </c>
      <c r="H671" s="1">
        <f t="shared" si="759"/>
        <v>0</v>
      </c>
      <c r="I671" s="1">
        <f t="shared" si="759"/>
        <v>0</v>
      </c>
      <c r="J671" s="1">
        <f t="shared" si="759"/>
        <v>0</v>
      </c>
      <c r="K671" s="1">
        <f t="shared" si="759"/>
        <v>0</v>
      </c>
      <c r="L671" s="1">
        <f t="shared" ref="L671:O671" si="760">L668-L674</f>
        <v>0</v>
      </c>
      <c r="M671" s="1">
        <f t="shared" si="760"/>
        <v>0</v>
      </c>
      <c r="N671" s="1">
        <f t="shared" si="760"/>
        <v>0</v>
      </c>
      <c r="O671" s="1">
        <f t="shared" si="760"/>
        <v>0</v>
      </c>
      <c r="P671" s="1">
        <f t="shared" si="758"/>
        <v>0</v>
      </c>
      <c r="Q671" s="1">
        <f t="shared" si="758"/>
        <v>0</v>
      </c>
      <c r="S671" s="3"/>
    </row>
    <row r="672" spans="2:19" x14ac:dyDescent="0.5">
      <c r="B672" t="str">
        <f t="shared" si="752"/>
        <v>SPS1</v>
      </c>
      <c r="C672" t="str">
        <f t="shared" si="753"/>
        <v>CH</v>
      </c>
      <c r="D672" t="s">
        <v>608</v>
      </c>
      <c r="E672" s="5" t="s">
        <v>8</v>
      </c>
      <c r="F672" s="1">
        <f t="shared" ref="F672:K672" si="761">F669-F675</f>
        <v>0</v>
      </c>
      <c r="G672" s="1">
        <f t="shared" si="761"/>
        <v>0</v>
      </c>
      <c r="H672" s="1">
        <f t="shared" si="761"/>
        <v>0</v>
      </c>
      <c r="I672" s="1">
        <f t="shared" si="761"/>
        <v>0</v>
      </c>
      <c r="J672" s="1">
        <f t="shared" si="761"/>
        <v>0</v>
      </c>
      <c r="K672" s="1">
        <f t="shared" si="761"/>
        <v>0</v>
      </c>
      <c r="L672" s="1">
        <f t="shared" ref="L672:O672" si="762">L669-L675</f>
        <v>0</v>
      </c>
      <c r="M672" s="1">
        <f t="shared" si="762"/>
        <v>0</v>
      </c>
      <c r="N672" s="1">
        <f t="shared" si="762"/>
        <v>0</v>
      </c>
      <c r="O672" s="1">
        <f t="shared" si="762"/>
        <v>0</v>
      </c>
      <c r="P672" s="1">
        <f t="shared" si="758"/>
        <v>0</v>
      </c>
      <c r="Q672" s="1">
        <f t="shared" si="758"/>
        <v>0</v>
      </c>
      <c r="S672" s="3"/>
    </row>
    <row r="673" spans="2:19" x14ac:dyDescent="0.5">
      <c r="B673" t="str">
        <f t="shared" si="752"/>
        <v>SPS1</v>
      </c>
      <c r="C673" t="str">
        <f t="shared" si="753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63">SUM(G674:G675)</f>
        <v>0</v>
      </c>
      <c r="H673" s="1">
        <f t="shared" si="763"/>
        <v>0</v>
      </c>
      <c r="I673" s="1">
        <f t="shared" si="763"/>
        <v>0</v>
      </c>
      <c r="J673" s="1">
        <f t="shared" si="763"/>
        <v>0</v>
      </c>
      <c r="K673" s="1">
        <f t="shared" si="763"/>
        <v>0</v>
      </c>
      <c r="L673" s="1">
        <f t="shared" ref="L673:O673" si="764">SUM(L674:L675)</f>
        <v>0</v>
      </c>
      <c r="M673" s="1">
        <f t="shared" si="764"/>
        <v>2.0172765263076628E-4</v>
      </c>
      <c r="N673" s="1">
        <f t="shared" si="764"/>
        <v>2.0129048271396528E-4</v>
      </c>
      <c r="O673" s="1">
        <f t="shared" si="764"/>
        <v>2.3588362966742193E-4</v>
      </c>
      <c r="P673" s="1">
        <f>SUM(P674:P675)</f>
        <v>2.6309596814922152E-4</v>
      </c>
      <c r="Q673" s="1">
        <f>SUM(Q674:Q675)</f>
        <v>4.6750728950165868E-4</v>
      </c>
      <c r="S673" s="3"/>
    </row>
    <row r="674" spans="2:19" x14ac:dyDescent="0.5">
      <c r="B674" t="str">
        <f t="shared" si="752"/>
        <v>SPS1</v>
      </c>
      <c r="C674" t="str">
        <f t="shared" si="753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0</v>
      </c>
      <c r="M674" s="1">
        <f>IFERROR([1]Energy_Balances!I$157/([1]Energy_Balances!I$157+[1]Energy_Balances!I$72),0)*M668</f>
        <v>7.3444749133003931E-5</v>
      </c>
      <c r="N674" s="1">
        <f>IFERROR([1]Energy_Balances!J$157/([1]Energy_Balances!J$157+[1]Energy_Balances!J$72),0)*N668</f>
        <v>6.9032723129057189E-5</v>
      </c>
      <c r="O674" s="1">
        <f>IFERROR([1]Energy_Balances!K$157/([1]Energy_Balances!K$157+[1]Energy_Balances!K$72),0)*O668</f>
        <v>1.0866025091135477E-4</v>
      </c>
      <c r="P674" s="1">
        <f>IFERROR([1]Energy_Balances!L$157/([1]Energy_Balances!L$157+[1]Energy_Balances!L$72),0)*P668</f>
        <v>9.6196480656016452E-5</v>
      </c>
      <c r="Q674" s="1">
        <f>IFERROR([1]Energy_Balances!M$157/([1]Energy_Balances!M$157+[1]Energy_Balances!M$72),0)*Q668</f>
        <v>2.1953831819473664E-4</v>
      </c>
      <c r="S674" s="3"/>
    </row>
    <row r="675" spans="2:19" x14ac:dyDescent="0.5">
      <c r="B675" t="str">
        <f t="shared" si="752"/>
        <v>SPS1</v>
      </c>
      <c r="C675" t="str">
        <f t="shared" si="753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M675" s="1">
        <f>IFERROR([1]Energy_Balances!I$157/([1]Energy_Balances!I$157+[1]Energy_Balances!I$72),0)*M669</f>
        <v>1.2828290349776235E-4</v>
      </c>
      <c r="N675" s="1">
        <f>IFERROR([1]Energy_Balances!J$157/([1]Energy_Balances!J$157+[1]Energy_Balances!J$72),0)*N669</f>
        <v>1.3225775958490809E-4</v>
      </c>
      <c r="O675" s="1">
        <f>IFERROR([1]Energy_Balances!K$157/([1]Energy_Balances!K$157+[1]Energy_Balances!K$72),0)*O669</f>
        <v>1.2722337875606716E-4</v>
      </c>
      <c r="P675" s="1">
        <f>IFERROR([1]Energy_Balances!L$157/([1]Energy_Balances!L$157+[1]Energy_Balances!L$72),0)*P669</f>
        <v>1.6689948749320507E-4</v>
      </c>
      <c r="Q675" s="1">
        <f>IFERROR([1]Energy_Balances!M$157/([1]Energy_Balances!M$157+[1]Energy_Balances!M$72),0)*Q669</f>
        <v>2.4796897130692204E-4</v>
      </c>
      <c r="S675" s="3"/>
    </row>
    <row r="676" spans="2:19" x14ac:dyDescent="0.5">
      <c r="B676" t="str">
        <f t="shared" ref="B676:B678" si="765">B675</f>
        <v>SPS1</v>
      </c>
      <c r="C676" t="str">
        <f t="shared" ref="C676:C678" si="766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67">SUM(G677:G678)</f>
        <v>0</v>
      </c>
      <c r="H676" s="1">
        <f t="shared" si="767"/>
        <v>0</v>
      </c>
      <c r="I676" s="1">
        <f t="shared" si="767"/>
        <v>0</v>
      </c>
      <c r="J676" s="1">
        <f t="shared" si="767"/>
        <v>0</v>
      </c>
      <c r="K676" s="1">
        <f t="shared" si="767"/>
        <v>0</v>
      </c>
      <c r="L676" s="1">
        <f t="shared" ref="L676:O676" si="768">SUM(L677:L678)</f>
        <v>0</v>
      </c>
      <c r="M676" s="1">
        <f t="shared" si="768"/>
        <v>4.8252050167669562</v>
      </c>
      <c r="N676" s="1">
        <f t="shared" si="768"/>
        <v>4.8293419486796312</v>
      </c>
      <c r="O676" s="1">
        <f t="shared" si="768"/>
        <v>5.3524527684910437</v>
      </c>
      <c r="P676" s="1">
        <f>SUM(P677:P678)</f>
        <v>5.3524431920627968</v>
      </c>
      <c r="Q676" s="1">
        <f>SUM(Q677:Q678)</f>
        <v>5.3523128292566549</v>
      </c>
      <c r="S676" s="3"/>
    </row>
    <row r="677" spans="2:19" x14ac:dyDescent="0.5">
      <c r="B677" t="str">
        <f t="shared" si="765"/>
        <v>SPS1</v>
      </c>
      <c r="C677" t="str">
        <f t="shared" si="766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[1]Other_transformation!F31</f>
        <v>0</v>
      </c>
      <c r="K677" s="1">
        <f>[1]Other_transformation!G31</f>
        <v>0</v>
      </c>
      <c r="L677" s="1">
        <f>[1]Other_transformation!H31</f>
        <v>0</v>
      </c>
      <c r="M677" s="1">
        <f>[1]Other_transformation!I31</f>
        <v>6.0669600254747991E-5</v>
      </c>
      <c r="N677" s="1">
        <f>[1]Other_transformation!J31</f>
        <v>5.8346111456053507E-5</v>
      </c>
      <c r="O677" s="1">
        <f>[1]Other_transformation!K31</f>
        <v>2.0013066180180061E-4</v>
      </c>
      <c r="P677" s="1">
        <f>[1]Other_transformation!L31</f>
        <v>8.4317218237650593E-5</v>
      </c>
      <c r="Q677" s="1">
        <f>[1]Other_transformation!M31</f>
        <v>4.5911614733551431E-4</v>
      </c>
      <c r="S677" s="3"/>
    </row>
    <row r="678" spans="2:19" x14ac:dyDescent="0.5">
      <c r="B678" t="str">
        <f t="shared" si="765"/>
        <v>SPS1</v>
      </c>
      <c r="C678" t="str">
        <f t="shared" si="766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M678" s="1">
        <f>[1]Other_transformation!I32</f>
        <v>4.8251443471667015</v>
      </c>
      <c r="N678" s="1">
        <f>[1]Other_transformation!J32</f>
        <v>4.8292836025681751</v>
      </c>
      <c r="O678" s="1">
        <f>[1]Other_transformation!K32</f>
        <v>5.3522526378292419</v>
      </c>
      <c r="P678" s="1">
        <f>[1]Other_transformation!L32</f>
        <v>5.3523588748445592</v>
      </c>
      <c r="Q678" s="1">
        <f>[1]Other_transformation!M32</f>
        <v>5.3518537131093193</v>
      </c>
      <c r="S678" s="3"/>
    </row>
    <row r="679" spans="2:19" x14ac:dyDescent="0.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4.9586872769599539E-3</v>
      </c>
      <c r="G679" s="3">
        <f t="shared" ref="G679:K679" si="769">SUM(G680,G684,G686,G695)</f>
        <v>7.2585974007148193E-3</v>
      </c>
      <c r="H679" s="3">
        <f t="shared" si="769"/>
        <v>7.1467691312356724E-3</v>
      </c>
      <c r="I679" s="3">
        <f t="shared" si="769"/>
        <v>5.7032095127261845E-2</v>
      </c>
      <c r="J679" s="3">
        <f t="shared" si="769"/>
        <v>15.474480428013488</v>
      </c>
      <c r="K679" s="3">
        <f t="shared" si="769"/>
        <v>15.024172917203169</v>
      </c>
      <c r="L679" s="3">
        <f t="shared" ref="L679:O679" si="770">SUM(L680,L684,L686,L695)</f>
        <v>14.60020419709624</v>
      </c>
      <c r="M679" s="3">
        <f t="shared" si="770"/>
        <v>24.61812601882994</v>
      </c>
      <c r="N679" s="3">
        <f t="shared" si="770"/>
        <v>29.949251314326499</v>
      </c>
      <c r="O679" s="3">
        <f t="shared" si="770"/>
        <v>32.481726752433687</v>
      </c>
      <c r="P679" s="3">
        <f>SUM(P680,P684,P686,P695)</f>
        <v>32.651639780978705</v>
      </c>
      <c r="Q679" s="3">
        <f>SUM(Q680,Q684,Q686,Q695)</f>
        <v>32.70166869689205</v>
      </c>
      <c r="S679" s="3"/>
    </row>
    <row r="680" spans="2:19" x14ac:dyDescent="0.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4.9586872769599539E-3</v>
      </c>
      <c r="G680" s="1">
        <f t="shared" ref="G680:K680" si="771">SUM(G681:G683)</f>
        <v>7.2585974007148193E-3</v>
      </c>
      <c r="H680" s="1">
        <f t="shared" si="771"/>
        <v>7.1467691312356724E-3</v>
      </c>
      <c r="I680" s="1">
        <f t="shared" si="771"/>
        <v>5.7032095127261845E-2</v>
      </c>
      <c r="J680" s="1">
        <f t="shared" si="771"/>
        <v>15.474480428013488</v>
      </c>
      <c r="K680" s="1">
        <f t="shared" si="771"/>
        <v>15.023056892632153</v>
      </c>
      <c r="L680" s="1">
        <f t="shared" ref="L680:O680" si="772">SUM(L681:L683)</f>
        <v>14.599026120535367</v>
      </c>
      <c r="M680" s="1">
        <f t="shared" si="772"/>
        <v>16.298180450406967</v>
      </c>
      <c r="N680" s="1">
        <f t="shared" si="772"/>
        <v>21.621711277936118</v>
      </c>
      <c r="O680" s="1">
        <f t="shared" si="772"/>
        <v>23.251859185651782</v>
      </c>
      <c r="P680" s="1">
        <f>SUM(P681:P683)</f>
        <v>23.422015022589882</v>
      </c>
      <c r="Q680" s="1">
        <f>SUM(Q681:Q683)</f>
        <v>23.471157610150698</v>
      </c>
      <c r="S680" s="3"/>
    </row>
    <row r="681" spans="2:19" x14ac:dyDescent="0.5">
      <c r="B681" t="str">
        <f t="shared" ref="B681:B697" si="773">B680</f>
        <v>SPS1</v>
      </c>
      <c r="C681" t="str">
        <f t="shared" ref="C681:C697" si="774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4.9586872769599539E-3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7.2585974007148193E-3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7.1467691312356724E-3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5.7027480884001551E-2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15.474001980079146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15.014125698677345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14.588361043426573</v>
      </c>
      <c r="M681" s="1" cm="1">
        <f t="array" ref="M681">SUMPRODUCT(("SUP_ELCH2"=[1]OUT_SyntheticFuels!$C$4:$C$1000)*1,ISNUMBER(SEARCH("ELC",[1]OUT_SyntheticFuels!$A$4:$A$1000))*1,("Var_Fin"=[1]OUT_SyntheticFuels!$B$4:$B$1000)*1,[1]OUT_SyntheticFuels!L$4:L$1000)</f>
        <v>16.293426363342522</v>
      </c>
      <c r="N681" s="1" cm="1">
        <f t="array" ref="N681">SUMPRODUCT(("SUP_ELCH2"=[1]OUT_SyntheticFuels!$C$4:$C$1000)*1,ISNUMBER(SEARCH("ELC",[1]OUT_SyntheticFuels!$A$4:$A$1000))*1,("Var_Fin"=[1]OUT_SyntheticFuels!$B$4:$B$1000)*1,[1]OUT_SyntheticFuels!M$4:M$1000)</f>
        <v>21.612800518150255</v>
      </c>
      <c r="O681" s="1" cm="1">
        <f t="array" ref="O681">SUMPRODUCT(("SUP_ELCH2"=[1]OUT_SyntheticFuels!$C$4:$C$1000)*1,ISNUMBER(SEARCH("ELC",[1]OUT_SyntheticFuels!$A$4:$A$1000))*1,("Var_Fin"=[1]OUT_SyntheticFuels!$B$4:$B$1000)*1,[1]OUT_SyntheticFuels!N$4:N$1000)</f>
        <v>23.239564421460962</v>
      </c>
      <c r="P681" s="1" cm="1">
        <f t="array" ref="P681">SUMPRODUCT(("SUP_ELCH2"=[1]OUT_SyntheticFuels!$C$4:$C$1000)*1,ISNUMBER(SEARCH("ELC",[1]OUT_SyntheticFuels!$A$4:$A$1000))*1,("Var_Fin"=[1]OUT_SyntheticFuels!$B$4:$B$1000)*1,[1]OUT_SyntheticFuels!O$4:O$1000)</f>
        <v>23.412703464925805</v>
      </c>
      <c r="Q681" s="1" cm="1">
        <f t="array" ref="Q681">SUMPRODUCT(("SUP_ELCH2"=[1]OUT_SyntheticFuels!$C$4:$C$1000)*1,ISNUMBER(SEARCH("ELC",[1]OUT_SyntheticFuels!$A$4:$A$1000))*1,("Var_Fin"=[1]OUT_SyntheticFuels!$B$4:$B$1000)*1,[1]OUT_SyntheticFuels!P$4:P$1000)</f>
        <v>23.45384344776831</v>
      </c>
      <c r="S681" s="3"/>
    </row>
    <row r="682" spans="2:19" x14ac:dyDescent="0.5">
      <c r="B682" t="str">
        <f t="shared" ref="B682" si="775">B681</f>
        <v>SPS1</v>
      </c>
      <c r="C682" t="str">
        <f t="shared" ref="C682" si="776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4.6142432602936371E-6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4.7844793434212896E-4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1.4624141333938097E-3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1.6216070385675172E-3</v>
      </c>
      <c r="M682" s="1" cm="1">
        <f t="array" ref="M682">SUMPRODUCT(("SUP_ELCH2_D"=[1]OUT_SyntheticFuels!$C$4:$C$1000)*1,ISNUMBER(SEARCH("ELC",[1]OUT_SyntheticFuels!$A$4:$A$1000))*1,("Var_Fin"=[1]OUT_SyntheticFuels!$B$4:$B$1000)*1,[1]OUT_SyntheticFuels!L$4:L$1000)</f>
        <v>1.6265359753273685E-3</v>
      </c>
      <c r="N682" s="1" cm="1">
        <f t="array" ref="N682">SUMPRODUCT(("SUP_ELCH2_D"=[1]OUT_SyntheticFuels!$C$4:$C$1000)*1,ISNUMBER(SEARCH("ELC",[1]OUT_SyntheticFuels!$A$4:$A$1000))*1,("Var_Fin"=[1]OUT_SyntheticFuels!$B$4:$B$1000)*1,[1]OUT_SyntheticFuels!M$4:M$1000)</f>
        <v>1.6275681259815323E-3</v>
      </c>
      <c r="O682" s="1" cm="1">
        <f t="array" ref="O682">SUMPRODUCT(("SUP_ELCH2_D"=[1]OUT_SyntheticFuels!$C$4:$C$1000)*1,ISNUMBER(SEARCH("ELC",[1]OUT_SyntheticFuels!$A$4:$A$1000))*1,("Var_Fin"=[1]OUT_SyntheticFuels!$B$4:$B$1000)*1,[1]OUT_SyntheticFuels!N$4:N$1000)</f>
        <v>1.630928831907537E-3</v>
      </c>
      <c r="P682" s="1" cm="1">
        <f t="array" ref="P682">SUMPRODUCT(("SUP_ELCH2_D"=[1]OUT_SyntheticFuels!$C$4:$C$1000)*1,ISNUMBER(SEARCH("ELC",[1]OUT_SyntheticFuels!$A$4:$A$1000))*1,("Var_Fin"=[1]OUT_SyntheticFuels!$B$4:$B$1000)*1,[1]OUT_SyntheticFuels!O$4:O$1000)</f>
        <v>1.1142187818388286E-3</v>
      </c>
      <c r="Q682" s="1" cm="1">
        <f t="array" ref="Q682">SUMPRODUCT(("SUP_ELCH2_D"=[1]OUT_SyntheticFuels!$C$4:$C$1000)*1,ISNUMBER(SEARCH("ELC",[1]OUT_SyntheticFuels!$A$4:$A$1000))*1,("Var_Fin"=[1]OUT_SyntheticFuels!$B$4:$B$1000)*1,[1]OUT_SyntheticFuels!P$4:P$1000)</f>
        <v>1.4411907558441041E-3</v>
      </c>
      <c r="S682" s="3"/>
    </row>
    <row r="683" spans="2:19" x14ac:dyDescent="0.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7.4687798214147973E-3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9.0434700702268309E-3</v>
      </c>
      <c r="M683" s="1" cm="1">
        <f t="array" ref="M683">SUMPRODUCT(("SUP_ELCH2_SOEC"=[1]OUT_SyntheticFuels!$C$4:$C$1000)*1,ISNUMBER(SEARCH("ELC",[1]OUT_SyntheticFuels!$A$4:$A$1000))*1,("Var_Fin"=[1]OUT_SyntheticFuels!$B$4:$B$1000)*1,[1]OUT_SyntheticFuels!L$4:L$1000)</f>
        <v>3.1275510891190005E-3</v>
      </c>
      <c r="N683" s="1" cm="1">
        <f t="array" ref="N683">SUMPRODUCT(("SUP_ELCH2_SOEC"=[1]OUT_SyntheticFuels!$C$4:$C$1000)*1,ISNUMBER(SEARCH("ELC",[1]OUT_SyntheticFuels!$A$4:$A$1000))*1,("Var_Fin"=[1]OUT_SyntheticFuels!$B$4:$B$1000)*1,[1]OUT_SyntheticFuels!M$4:M$1000)</f>
        <v>7.2831916598812205E-3</v>
      </c>
      <c r="O683" s="1" cm="1">
        <f t="array" ref="O683">SUMPRODUCT(("SUP_ELCH2_SOEC"=[1]OUT_SyntheticFuels!$C$4:$C$1000)*1,ISNUMBER(SEARCH("ELC",[1]OUT_SyntheticFuels!$A$4:$A$1000))*1,("Var_Fin"=[1]OUT_SyntheticFuels!$B$4:$B$1000)*1,[1]OUT_SyntheticFuels!N$4:N$1000)</f>
        <v>1.0663835358910526E-2</v>
      </c>
      <c r="P683" s="1" cm="1">
        <f t="array" ref="P683">SUMPRODUCT(("SUP_ELCH2_SOEC"=[1]OUT_SyntheticFuels!$C$4:$C$1000)*1,ISNUMBER(SEARCH("ELC",[1]OUT_SyntheticFuels!$A$4:$A$1000))*1,("Var_Fin"=[1]OUT_SyntheticFuels!$B$4:$B$1000)*1,[1]OUT_SyntheticFuels!O$4:O$1000)</f>
        <v>8.1973388822384127E-3</v>
      </c>
      <c r="Q683" s="1" cm="1">
        <f t="array" ref="Q683">SUMPRODUCT(("SUP_ELCH2_SOEC"=[1]OUT_SyntheticFuels!$C$4:$C$1000)*1,ISNUMBER(SEARCH("ELC",[1]OUT_SyntheticFuels!$A$4:$A$1000))*1,("Var_Fin"=[1]OUT_SyntheticFuels!$B$4:$B$1000)*1,[1]OUT_SyntheticFuels!P$4:P$1000)</f>
        <v>1.5872971626541485E-2</v>
      </c>
      <c r="S683" s="3"/>
    </row>
    <row r="684" spans="2:19" x14ac:dyDescent="0.5">
      <c r="B684" t="str">
        <f t="shared" ref="B684:B685" si="777">B683</f>
        <v>SPS1</v>
      </c>
      <c r="C684" t="str">
        <f t="shared" ref="C684:C685" si="778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O684" si="779">G685</f>
        <v>0</v>
      </c>
      <c r="H684" s="1">
        <f t="shared" si="779"/>
        <v>0</v>
      </c>
      <c r="I684" s="1">
        <f t="shared" si="779"/>
        <v>0</v>
      </c>
      <c r="J684" s="1">
        <f t="shared" si="779"/>
        <v>0</v>
      </c>
      <c r="K684" s="1">
        <f t="shared" si="779"/>
        <v>1.116024571016004E-3</v>
      </c>
      <c r="L684" s="1">
        <f t="shared" si="779"/>
        <v>1.1780765608724601E-3</v>
      </c>
      <c r="M684" s="1">
        <f t="shared" si="779"/>
        <v>3.4750567656877704E-4</v>
      </c>
      <c r="N684" s="1">
        <f t="shared" si="779"/>
        <v>8.0924351776458063E-4</v>
      </c>
      <c r="O684" s="1">
        <f t="shared" si="779"/>
        <v>1.1848705954344999E-3</v>
      </c>
      <c r="P684" s="1">
        <f>P685</f>
        <v>9.1081543135982312E-4</v>
      </c>
      <c r="Q684" s="1">
        <f>Q685</f>
        <v>1.7636635140601637E-3</v>
      </c>
      <c r="S684" s="3"/>
    </row>
    <row r="685" spans="2:19" x14ac:dyDescent="0.5">
      <c r="B685" t="str">
        <f t="shared" si="777"/>
        <v>SPS1</v>
      </c>
      <c r="C685" t="str">
        <f t="shared" si="778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1.116024571016004E-3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1.1780765608724601E-3</v>
      </c>
      <c r="M685" s="1" cm="1">
        <f t="array" ref="M685">SUMPRODUCT(("SUP_ELCH2_SOEC"=[1]OUT_SyntheticFuels!$C$4:$C$1000)*1,ISNUMBER(SEARCH("CHEAT",[1]OUT_SyntheticFuels!$A$4:$A$1000))*1,("Var_Fin"=[1]OUT_SyntheticFuels!$B$4:$B$1000)*1,[1]OUT_SyntheticFuels!L$4:L$1000)</f>
        <v>3.4750567656877704E-4</v>
      </c>
      <c r="N685" s="1" cm="1">
        <f t="array" ref="N685">SUMPRODUCT(("SUP_ELCH2_SOEC"=[1]OUT_SyntheticFuels!$C$4:$C$1000)*1,ISNUMBER(SEARCH("CHEAT",[1]OUT_SyntheticFuels!$A$4:$A$1000))*1,("Var_Fin"=[1]OUT_SyntheticFuels!$B$4:$B$1000)*1,[1]OUT_SyntheticFuels!M$4:M$1000)</f>
        <v>8.0924351776458063E-4</v>
      </c>
      <c r="O685" s="1" cm="1">
        <f t="array" ref="O685">SUMPRODUCT(("SUP_ELCH2_SOEC"=[1]OUT_SyntheticFuels!$C$4:$C$1000)*1,ISNUMBER(SEARCH("CHEAT",[1]OUT_SyntheticFuels!$A$4:$A$1000))*1,("Var_Fin"=[1]OUT_SyntheticFuels!$B$4:$B$1000)*1,[1]OUT_SyntheticFuels!N$4:N$1000)</f>
        <v>1.1848705954344999E-3</v>
      </c>
      <c r="P685" s="1" cm="1">
        <f t="array" ref="P685">SUMPRODUCT(("SUP_ELCH2_SOEC"=[1]OUT_SyntheticFuels!$C$4:$C$1000)*1,ISNUMBER(SEARCH("CHEAT",[1]OUT_SyntheticFuels!$A$4:$A$1000))*1,("Var_Fin"=[1]OUT_SyntheticFuels!$B$4:$B$1000)*1,[1]OUT_SyntheticFuels!O$4:O$1000)</f>
        <v>9.1081543135982312E-4</v>
      </c>
      <c r="Q685" s="1" cm="1">
        <f t="array" ref="Q685">SUMPRODUCT(("SUP_ELCH2_SOEC"=[1]OUT_SyntheticFuels!$C$4:$C$1000)*1,ISNUMBER(SEARCH("CHEAT",[1]OUT_SyntheticFuels!$A$4:$A$1000))*1,("Var_Fin"=[1]OUT_SyntheticFuels!$B$4:$B$1000)*1,[1]OUT_SyntheticFuels!P$4:P$1000)</f>
        <v>1.7636635140601637E-3</v>
      </c>
      <c r="S685" s="3"/>
    </row>
    <row r="686" spans="2:19" x14ac:dyDescent="0.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80">SUM(G687:G688)</f>
        <v>0</v>
      </c>
      <c r="H686" s="1">
        <f t="shared" si="780"/>
        <v>0</v>
      </c>
      <c r="I686" s="1">
        <f t="shared" si="780"/>
        <v>0</v>
      </c>
      <c r="J686" s="1">
        <f t="shared" si="780"/>
        <v>0</v>
      </c>
      <c r="K686" s="1">
        <f t="shared" si="780"/>
        <v>0</v>
      </c>
      <c r="L686" s="1">
        <f t="shared" ref="L686:O686" si="781">SUM(L687:L688)</f>
        <v>0</v>
      </c>
      <c r="M686" s="1">
        <f t="shared" si="781"/>
        <v>2.825550792526166E-4</v>
      </c>
      <c r="N686" s="1">
        <f t="shared" si="781"/>
        <v>2.8251044287486561E-4</v>
      </c>
      <c r="O686" s="1">
        <f t="shared" si="781"/>
        <v>3.2735572269917219E-4</v>
      </c>
      <c r="P686" s="1">
        <f>SUM(P687:P688)</f>
        <v>3.6845763186019707E-4</v>
      </c>
      <c r="Q686" s="1">
        <f>SUM(Q687:Q688)</f>
        <v>6.4824152888563942E-4</v>
      </c>
      <c r="S686" s="3"/>
    </row>
    <row r="687" spans="2:19" x14ac:dyDescent="0.5">
      <c r="B687" t="str">
        <f t="shared" si="773"/>
        <v>SPS1</v>
      </c>
      <c r="C687" t="str">
        <f t="shared" si="774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0</v>
      </c>
      <c r="M687" s="1" cm="1">
        <f t="array" ref="M687">SUMPRODUCT(("SUP_ngaH2"=[1]OUT_SyntheticFuels!$C$4:$C$1000)*1,ISNUMBER(SEARCH("nga",[1]OUT_SyntheticFuels!$A$4:$A$1000))*1,("Var_Fin"=[1]OUT_SyntheticFuels!$B$4:$B$1000)*1,[1]OUT_SyntheticFuels!L$4:L$1000)</f>
        <v>9.6637827806584053E-5</v>
      </c>
      <c r="N687" s="1" cm="1">
        <f t="array" ref="N687">SUMPRODUCT(("SUP_ngaH2"=[1]OUT_SyntheticFuels!$C$4:$C$1000)*1,ISNUMBER(SEARCH("nga",[1]OUT_SyntheticFuels!$A$4:$A$1000))*1,("Var_Fin"=[1]OUT_SyntheticFuels!$B$4:$B$1000)*1,[1]OUT_SyntheticFuels!M$4:M$1000)</f>
        <v>9.0832530432970022E-5</v>
      </c>
      <c r="O687" s="1" cm="1">
        <f t="array" ref="O687">SUMPRODUCT(("SUP_ngaH2"=[1]OUT_SyntheticFuels!$C$4:$C$1000)*1,ISNUMBER(SEARCH("nga",[1]OUT_SyntheticFuels!$A$4:$A$1000))*1,("Var_Fin"=[1]OUT_SyntheticFuels!$B$4:$B$1000)*1,[1]OUT_SyntheticFuels!N$4:N$1000)</f>
        <v>1.4297401435704572E-4</v>
      </c>
      <c r="P687" s="1" cm="1">
        <f t="array" ref="P687">SUMPRODUCT(("SUP_ngaH2"=[1]OUT_SyntheticFuels!$C$4:$C$1000)*1,ISNUMBER(SEARCH("nga",[1]OUT_SyntheticFuels!$A$4:$A$1000))*1,("Var_Fin"=[1]OUT_SyntheticFuels!$B$4:$B$1000)*1,[1]OUT_SyntheticFuels!O$4:O$1000)</f>
        <v>1.265743166526533E-4</v>
      </c>
      <c r="Q687" s="1" cm="1">
        <f t="array" ref="Q687">SUMPRODUCT(("SUP_ngaH2"=[1]OUT_SyntheticFuels!$C$4:$C$1000)*1,ISNUMBER(SEARCH("nga",[1]OUT_SyntheticFuels!$A$4:$A$1000))*1,("Var_Fin"=[1]OUT_SyntheticFuels!$B$4:$B$1000)*1,[1]OUT_SyntheticFuels!P$4:P$1000)</f>
        <v>2.8886620815096948E-4</v>
      </c>
      <c r="S687" s="3"/>
    </row>
    <row r="688" spans="2:19" x14ac:dyDescent="0.5">
      <c r="B688" t="str">
        <f t="shared" si="773"/>
        <v>SPS1</v>
      </c>
      <c r="C688" t="str">
        <f t="shared" si="774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M688" s="1" cm="1">
        <f t="array" ref="M688">SUMPRODUCT(("SUP_ngaH2ccs"=[1]OUT_SyntheticFuels!$C$4:$C$1000)*1,ISNUMBER(SEARCH("nga",[1]OUT_SyntheticFuels!$A$4:$A$1000))*1,("Var_Fin"=[1]OUT_SyntheticFuels!$B$4:$B$1000)*1,[1]OUT_SyntheticFuels!L$4:L$1000)</f>
        <v>1.8591725144603252E-4</v>
      </c>
      <c r="N688" s="1" cm="1">
        <f t="array" ref="N688">SUMPRODUCT(("SUP_ngaH2ccs"=[1]OUT_SyntheticFuels!$C$4:$C$1000)*1,ISNUMBER(SEARCH("nga",[1]OUT_SyntheticFuels!$A$4:$A$1000))*1,("Var_Fin"=[1]OUT_SyntheticFuels!$B$4:$B$1000)*1,[1]OUT_SyntheticFuels!M$4:M$1000)</f>
        <v>1.9167791244189557E-4</v>
      </c>
      <c r="O688" s="1" cm="1">
        <f t="array" ref="O688">SUMPRODUCT(("SUP_ngaH2ccs"=[1]OUT_SyntheticFuels!$C$4:$C$1000)*1,ISNUMBER(SEARCH("nga",[1]OUT_SyntheticFuels!$A$4:$A$1000))*1,("Var_Fin"=[1]OUT_SyntheticFuels!$B$4:$B$1000)*1,[1]OUT_SyntheticFuels!N$4:N$1000)</f>
        <v>1.8438170834212647E-4</v>
      </c>
      <c r="P688" s="1" cm="1">
        <f t="array" ref="P688">SUMPRODUCT(("SUP_ngaH2ccs"=[1]OUT_SyntheticFuels!$C$4:$C$1000)*1,ISNUMBER(SEARCH("nga",[1]OUT_SyntheticFuels!$A$4:$A$1000))*1,("Var_Fin"=[1]OUT_SyntheticFuels!$B$4:$B$1000)*1,[1]OUT_SyntheticFuels!O$4:O$1000)</f>
        <v>2.418833152075438E-4</v>
      </c>
      <c r="Q688" s="1" cm="1">
        <f t="array" ref="Q688">SUMPRODUCT(("SUP_ngaH2ccs"=[1]OUT_SyntheticFuels!$C$4:$C$1000)*1,ISNUMBER(SEARCH("nga",[1]OUT_SyntheticFuels!$A$4:$A$1000))*1,("Var_Fin"=[1]OUT_SyntheticFuels!$B$4:$B$1000)*1,[1]OUT_SyntheticFuels!P$4:P$1000)</f>
        <v>3.5937532073466988E-4</v>
      </c>
      <c r="S688" s="3"/>
    </row>
    <row r="689" spans="2:19" x14ac:dyDescent="0.5">
      <c r="B689" t="str">
        <f t="shared" si="773"/>
        <v>SPS1</v>
      </c>
      <c r="C689" t="str">
        <f t="shared" si="774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82">G686-G692</f>
        <v>0</v>
      </c>
      <c r="H689" s="1">
        <f t="shared" si="782"/>
        <v>0</v>
      </c>
      <c r="I689" s="1">
        <f t="shared" si="782"/>
        <v>0</v>
      </c>
      <c r="J689" s="1">
        <f t="shared" si="782"/>
        <v>0</v>
      </c>
      <c r="K689" s="1">
        <f t="shared" si="782"/>
        <v>0</v>
      </c>
      <c r="L689" s="1">
        <f t="shared" ref="L689:O689" si="783">L686-L692</f>
        <v>0</v>
      </c>
      <c r="M689" s="1">
        <f t="shared" si="783"/>
        <v>0</v>
      </c>
      <c r="N689" s="1">
        <f t="shared" si="783"/>
        <v>0</v>
      </c>
      <c r="O689" s="1">
        <f t="shared" si="783"/>
        <v>0</v>
      </c>
      <c r="P689" s="1">
        <f t="shared" ref="P689:Q691" si="784">P686-P692</f>
        <v>0</v>
      </c>
      <c r="Q689" s="1">
        <f t="shared" si="784"/>
        <v>0</v>
      </c>
      <c r="S689" s="3"/>
    </row>
    <row r="690" spans="2:19" x14ac:dyDescent="0.5">
      <c r="B690" t="str">
        <f t="shared" si="773"/>
        <v>SPS1</v>
      </c>
      <c r="C690" t="str">
        <f t="shared" si="774"/>
        <v>CH</v>
      </c>
      <c r="D690" t="s">
        <v>609</v>
      </c>
      <c r="E690" s="5" t="s">
        <v>8</v>
      </c>
      <c r="F690" s="1">
        <f t="shared" ref="F690:K690" si="785">F687-F693</f>
        <v>0</v>
      </c>
      <c r="G690" s="1">
        <f t="shared" si="785"/>
        <v>0</v>
      </c>
      <c r="H690" s="1">
        <f t="shared" si="785"/>
        <v>0</v>
      </c>
      <c r="I690" s="1">
        <f t="shared" si="785"/>
        <v>0</v>
      </c>
      <c r="J690" s="1">
        <f t="shared" si="785"/>
        <v>0</v>
      </c>
      <c r="K690" s="1">
        <f t="shared" si="785"/>
        <v>0</v>
      </c>
      <c r="L690" s="1">
        <f t="shared" ref="L690:O690" si="786">L687-L693</f>
        <v>0</v>
      </c>
      <c r="M690" s="1">
        <f t="shared" si="786"/>
        <v>0</v>
      </c>
      <c r="N690" s="1">
        <f t="shared" si="786"/>
        <v>0</v>
      </c>
      <c r="O690" s="1">
        <f t="shared" si="786"/>
        <v>0</v>
      </c>
      <c r="P690" s="1">
        <f t="shared" si="784"/>
        <v>0</v>
      </c>
      <c r="Q690" s="1">
        <f t="shared" si="784"/>
        <v>0</v>
      </c>
      <c r="S690" s="3"/>
    </row>
    <row r="691" spans="2:19" x14ac:dyDescent="0.5">
      <c r="B691" t="str">
        <f t="shared" si="773"/>
        <v>SPS1</v>
      </c>
      <c r="C691" t="str">
        <f t="shared" si="774"/>
        <v>CH</v>
      </c>
      <c r="D691" t="s">
        <v>610</v>
      </c>
      <c r="E691" s="5" t="s">
        <v>8</v>
      </c>
      <c r="F691" s="1">
        <f t="shared" ref="F691:K691" si="787">F688-F694</f>
        <v>0</v>
      </c>
      <c r="G691" s="1">
        <f t="shared" si="787"/>
        <v>0</v>
      </c>
      <c r="H691" s="1">
        <f t="shared" si="787"/>
        <v>0</v>
      </c>
      <c r="I691" s="1">
        <f t="shared" si="787"/>
        <v>0</v>
      </c>
      <c r="J691" s="1">
        <f t="shared" si="787"/>
        <v>0</v>
      </c>
      <c r="K691" s="1">
        <f t="shared" si="787"/>
        <v>0</v>
      </c>
      <c r="L691" s="1">
        <f t="shared" ref="L691:O691" si="788">L688-L694</f>
        <v>0</v>
      </c>
      <c r="M691" s="1">
        <f t="shared" si="788"/>
        <v>0</v>
      </c>
      <c r="N691" s="1">
        <f t="shared" si="788"/>
        <v>0</v>
      </c>
      <c r="O691" s="1">
        <f t="shared" si="788"/>
        <v>0</v>
      </c>
      <c r="P691" s="1">
        <f t="shared" si="784"/>
        <v>0</v>
      </c>
      <c r="Q691" s="1">
        <f t="shared" si="784"/>
        <v>0</v>
      </c>
      <c r="S691" s="3"/>
    </row>
    <row r="692" spans="2:19" x14ac:dyDescent="0.5">
      <c r="B692" t="str">
        <f t="shared" si="773"/>
        <v>SPS1</v>
      </c>
      <c r="C692" t="str">
        <f t="shared" si="774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89">SUM(G693:G694)</f>
        <v>0</v>
      </c>
      <c r="H692" s="1">
        <f t="shared" si="789"/>
        <v>0</v>
      </c>
      <c r="I692" s="1">
        <f t="shared" si="789"/>
        <v>0</v>
      </c>
      <c r="J692" s="1">
        <f t="shared" si="789"/>
        <v>0</v>
      </c>
      <c r="K692" s="1">
        <f t="shared" si="789"/>
        <v>0</v>
      </c>
      <c r="L692" s="1">
        <f t="shared" ref="L692:O692" si="790">SUM(L693:L694)</f>
        <v>0</v>
      </c>
      <c r="M692" s="1">
        <f t="shared" si="790"/>
        <v>2.825550792526166E-4</v>
      </c>
      <c r="N692" s="1">
        <f t="shared" si="790"/>
        <v>2.8251044287486561E-4</v>
      </c>
      <c r="O692" s="1">
        <f t="shared" si="790"/>
        <v>3.2735572269917219E-4</v>
      </c>
      <c r="P692" s="1">
        <f>SUM(P693:P694)</f>
        <v>3.6845763186019707E-4</v>
      </c>
      <c r="Q692" s="1">
        <f>SUM(Q693:Q694)</f>
        <v>6.4824152888563942E-4</v>
      </c>
      <c r="S692" s="3"/>
    </row>
    <row r="693" spans="2:19" x14ac:dyDescent="0.5">
      <c r="B693" t="str">
        <f t="shared" si="773"/>
        <v>SPS1</v>
      </c>
      <c r="C693" t="str">
        <f t="shared" si="774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91">IFERROR(G674/G668,0)*G687</f>
        <v>0</v>
      </c>
      <c r="H693" s="1">
        <f t="shared" si="791"/>
        <v>0</v>
      </c>
      <c r="I693" s="1">
        <f t="shared" si="791"/>
        <v>0</v>
      </c>
      <c r="J693" s="1">
        <f t="shared" si="791"/>
        <v>0</v>
      </c>
      <c r="K693" s="1">
        <f t="shared" si="791"/>
        <v>0</v>
      </c>
      <c r="L693" s="1">
        <f t="shared" ref="L693:O693" si="792">IFERROR(L674/L668,0)*L687</f>
        <v>0</v>
      </c>
      <c r="M693" s="1">
        <f t="shared" si="792"/>
        <v>9.6637827806584053E-5</v>
      </c>
      <c r="N693" s="1">
        <f t="shared" si="792"/>
        <v>9.0832530432970022E-5</v>
      </c>
      <c r="O693" s="1">
        <f t="shared" si="792"/>
        <v>1.4297401435704572E-4</v>
      </c>
      <c r="P693" s="1">
        <f>IFERROR(P674/P668,0)*P687</f>
        <v>1.265743166526533E-4</v>
      </c>
      <c r="Q693" s="1">
        <f>IFERROR(Q674/Q668,0)*Q687</f>
        <v>2.8886620815096948E-4</v>
      </c>
      <c r="S693" s="3"/>
    </row>
    <row r="694" spans="2:19" x14ac:dyDescent="0.5">
      <c r="B694" t="str">
        <f t="shared" si="773"/>
        <v>SPS1</v>
      </c>
      <c r="C694" t="str">
        <f t="shared" si="774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91"/>
        <v>0</v>
      </c>
      <c r="H694" s="1">
        <f t="shared" si="791"/>
        <v>0</v>
      </c>
      <c r="I694" s="1">
        <f t="shared" si="791"/>
        <v>0</v>
      </c>
      <c r="J694" s="1">
        <f t="shared" si="791"/>
        <v>0</v>
      </c>
      <c r="K694" s="1">
        <f t="shared" si="791"/>
        <v>0</v>
      </c>
      <c r="L694" s="1">
        <f t="shared" ref="L694:O694" si="793">IFERROR(L675/L669,0)*L688</f>
        <v>0</v>
      </c>
      <c r="M694" s="1">
        <f t="shared" si="793"/>
        <v>1.8591725144603252E-4</v>
      </c>
      <c r="N694" s="1">
        <f t="shared" si="793"/>
        <v>1.9167791244189557E-4</v>
      </c>
      <c r="O694" s="1">
        <f t="shared" si="793"/>
        <v>1.8438170834212647E-4</v>
      </c>
      <c r="P694" s="1">
        <f>IFERROR(P675/P669,0)*P688</f>
        <v>2.418833152075438E-4</v>
      </c>
      <c r="Q694" s="1">
        <f>IFERROR(Q675/Q669,0)*Q688</f>
        <v>3.5937532073466988E-4</v>
      </c>
      <c r="S694" s="3"/>
    </row>
    <row r="695" spans="2:19" x14ac:dyDescent="0.5">
      <c r="B695" t="str">
        <f t="shared" si="773"/>
        <v>SPS1</v>
      </c>
      <c r="C695" t="str">
        <f t="shared" si="774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94">SUM(G696:G697)</f>
        <v>0</v>
      </c>
      <c r="H695" s="1">
        <f t="shared" si="794"/>
        <v>0</v>
      </c>
      <c r="I695" s="1">
        <f t="shared" si="794"/>
        <v>0</v>
      </c>
      <c r="J695" s="1">
        <f t="shared" si="794"/>
        <v>0</v>
      </c>
      <c r="K695" s="1">
        <f t="shared" si="794"/>
        <v>0</v>
      </c>
      <c r="L695" s="1">
        <f t="shared" ref="L695:O695" si="795">SUM(L696:L697)</f>
        <v>0</v>
      </c>
      <c r="M695" s="1">
        <f t="shared" si="795"/>
        <v>8.3193155076671506</v>
      </c>
      <c r="N695" s="1">
        <f t="shared" si="795"/>
        <v>8.326448282429741</v>
      </c>
      <c r="O695" s="1">
        <f t="shared" si="795"/>
        <v>9.2283553404637679</v>
      </c>
      <c r="P695" s="1">
        <f>SUM(P696:P697)</f>
        <v>9.2283454853256011</v>
      </c>
      <c r="Q695" s="1">
        <f>SUM(Q696:Q697)</f>
        <v>9.2280991816984059</v>
      </c>
      <c r="S695" s="3"/>
    </row>
    <row r="696" spans="2:19" x14ac:dyDescent="0.5">
      <c r="B696" t="str">
        <f t="shared" si="773"/>
        <v>SPS1</v>
      </c>
      <c r="C696" t="str">
        <f t="shared" si="774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0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0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0</v>
      </c>
      <c r="M696" s="1" cm="1">
        <f t="array" ref="M696">SUMPRODUCT(("SUP_wodH2"=[1]OUT_SyntheticFuels!$C$4:$C$1000)*1,ISNUMBER(SEARCH("wod",[1]OUT_SyntheticFuels!$A$4:$A$1000))*1,("Var_Fin"=[1]OUT_SyntheticFuels!$B$4:$B$1000)*1,[1]OUT_SyntheticFuels!L$4:L$1000)</f>
        <v>1.011160004244143E-4</v>
      </c>
      <c r="N696" s="1" cm="1">
        <f t="array" ref="N696">SUMPRODUCT(("SUP_wodH2"=[1]OUT_SyntheticFuels!$C$4:$C$1000)*1,ISNUMBER(SEARCH("wod",[1]OUT_SyntheticFuels!$A$4:$A$1000))*1,("Var_Fin"=[1]OUT_SyntheticFuels!$B$4:$B$1000)*1,[1]OUT_SyntheticFuels!M$4:M$1000)</f>
        <v>9.7243519092964363E-5</v>
      </c>
      <c r="O696" s="1" cm="1">
        <f t="array" ref="O696">SUMPRODUCT(("SUP_wodH2"=[1]OUT_SyntheticFuels!$C$4:$C$1000)*1,ISNUMBER(SEARCH("wod",[1]OUT_SyntheticFuels!$A$4:$A$1000))*1,("Var_Fin"=[1]OUT_SyntheticFuels!$B$4:$B$1000)*1,[1]OUT_SyntheticFuels!N$4:N$1000)</f>
        <v>3.3355110300312515E-4</v>
      </c>
      <c r="P696" s="1" cm="1">
        <f t="array" ref="P696">SUMPRODUCT(("SUP_wodH2"=[1]OUT_SyntheticFuels!$C$4:$C$1000)*1,ISNUMBER(SEARCH("wod",[1]OUT_SyntheticFuels!$A$4:$A$1000))*1,("Var_Fin"=[1]OUT_SyntheticFuels!$B$4:$B$1000)*1,[1]OUT_SyntheticFuels!O$4:O$1000)</f>
        <v>1.4052869706345682E-4</v>
      </c>
      <c r="Q696" s="1" cm="1">
        <f t="array" ref="Q696">SUMPRODUCT(("SUP_wodH2"=[1]OUT_SyntheticFuels!$C$4:$C$1000)*1,ISNUMBER(SEARCH("wod",[1]OUT_SyntheticFuels!$A$4:$A$1000))*1,("Var_Fin"=[1]OUT_SyntheticFuels!$B$4:$B$1000)*1,[1]OUT_SyntheticFuels!P$4:P$1000)</f>
        <v>7.6519357889286252E-4</v>
      </c>
      <c r="S696" s="3"/>
    </row>
    <row r="697" spans="2:19" x14ac:dyDescent="0.5">
      <c r="B697" t="str">
        <f t="shared" si="773"/>
        <v>SPS1</v>
      </c>
      <c r="C697" t="str">
        <f t="shared" si="774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M697" s="1" cm="1">
        <f t="array" ref="M697">SUMPRODUCT(("SUP_wodH2ccs"=[1]OUT_SyntheticFuels!$C$4:$C$1000)*1,ISNUMBER(SEARCH("wod",[1]OUT_SyntheticFuels!$A$4:$A$1000))*1,("Var_Fin"=[1]OUT_SyntheticFuels!$B$4:$B$1000)*1,[1]OUT_SyntheticFuels!L$4:L$1000)</f>
        <v>8.3192143916667263</v>
      </c>
      <c r="N697" s="1" cm="1">
        <f t="array" ref="N697">SUMPRODUCT(("SUP_wodH2ccs"=[1]OUT_SyntheticFuels!$C$4:$C$1000)*1,ISNUMBER(SEARCH("wod",[1]OUT_SyntheticFuels!$A$4:$A$1000))*1,("Var_Fin"=[1]OUT_SyntheticFuels!$B$4:$B$1000)*1,[1]OUT_SyntheticFuels!M$4:M$1000)</f>
        <v>8.3263510389106479</v>
      </c>
      <c r="O697" s="1" cm="1">
        <f t="array" ref="O697">SUMPRODUCT(("SUP_wodH2ccs"=[1]OUT_SyntheticFuels!$C$4:$C$1000)*1,ISNUMBER(SEARCH("wod",[1]OUT_SyntheticFuels!$A$4:$A$1000))*1,("Var_Fin"=[1]OUT_SyntheticFuels!$B$4:$B$1000)*1,[1]OUT_SyntheticFuels!N$4:N$1000)</f>
        <v>9.2280217893607652</v>
      </c>
      <c r="P697" s="1" cm="1">
        <f t="array" ref="P697">SUMPRODUCT(("SUP_wodH2ccs"=[1]OUT_SyntheticFuels!$C$4:$C$1000)*1,ISNUMBER(SEARCH("wod",[1]OUT_SyntheticFuels!$A$4:$A$1000))*1,("Var_Fin"=[1]OUT_SyntheticFuels!$B$4:$B$1000)*1,[1]OUT_SyntheticFuels!O$4:O$1000)</f>
        <v>9.228204956628538</v>
      </c>
      <c r="Q697" s="1" cm="1">
        <f t="array" ref="Q697">SUMPRODUCT(("SUP_wodH2ccs"=[1]OUT_SyntheticFuels!$C$4:$C$1000)*1,ISNUMBER(SEARCH("wod",[1]OUT_SyntheticFuels!$A$4:$A$1000))*1,("Var_Fin"=[1]OUT_SyntheticFuels!$B$4:$B$1000)*1,[1]OUT_SyntheticFuels!P$4:P$1000)</f>
        <v>9.2273339881195131</v>
      </c>
      <c r="S697" s="3"/>
    </row>
    <row r="698" spans="2:19" x14ac:dyDescent="0.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M698" s="4" t="s">
        <v>292</v>
      </c>
      <c r="N698" s="4" t="s">
        <v>292</v>
      </c>
      <c r="O698" s="4" t="s">
        <v>292</v>
      </c>
      <c r="P698" s="4" t="s">
        <v>292</v>
      </c>
      <c r="Q698" s="4" t="s">
        <v>292</v>
      </c>
      <c r="S698" s="3"/>
    </row>
    <row r="699" spans="2:19" x14ac:dyDescent="0.5">
      <c r="B699" t="str">
        <f>B698</f>
        <v>SPS1</v>
      </c>
      <c r="C699" t="str">
        <f t="shared" ref="C699:C705" si="796">C698</f>
        <v>CH</v>
      </c>
      <c r="D699" t="s">
        <v>409</v>
      </c>
      <c r="E699" s="5" t="s">
        <v>240</v>
      </c>
      <c r="F699" s="4">
        <f>IFERROR(F664/F681,"-")</f>
        <v>0.6850000000000005</v>
      </c>
      <c r="G699" s="4">
        <f t="shared" ref="G699:K699" si="797">IFERROR(G664/G681,"-")</f>
        <v>0.69399999999999973</v>
      </c>
      <c r="H699" s="4">
        <f t="shared" si="797"/>
        <v>0.70750000000000002</v>
      </c>
      <c r="I699" s="4">
        <f t="shared" si="797"/>
        <v>0.7300000000000012</v>
      </c>
      <c r="J699" s="4">
        <f t="shared" si="797"/>
        <v>0.75249999999999917</v>
      </c>
      <c r="K699" s="4">
        <f t="shared" si="797"/>
        <v>0.77500000000000002</v>
      </c>
      <c r="L699" s="4">
        <f t="shared" ref="L699:O699" si="798">IFERROR(L664/L681,"-")</f>
        <v>0.79749999999999999</v>
      </c>
      <c r="M699" s="4">
        <f t="shared" si="798"/>
        <v>0.82000000000000095</v>
      </c>
      <c r="N699" s="4">
        <f t="shared" si="798"/>
        <v>0.82000000000000062</v>
      </c>
      <c r="O699" s="4">
        <f t="shared" si="798"/>
        <v>0.82000000000000073</v>
      </c>
      <c r="P699" s="4">
        <f>IFERROR(P664/P681,"-")</f>
        <v>0.8200000000000004</v>
      </c>
      <c r="Q699" s="4">
        <f>IFERROR(Q664/Q681,"-")</f>
        <v>0.8200000000000004</v>
      </c>
      <c r="S699" s="3"/>
    </row>
    <row r="700" spans="2:19" x14ac:dyDescent="0.5">
      <c r="B700" t="str">
        <f t="shared" ref="B700:B705" si="799">B699</f>
        <v>SPS1</v>
      </c>
      <c r="C700" t="str">
        <f t="shared" si="796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800">IFERROR(G665/G682,"-")</f>
        <v>-</v>
      </c>
      <c r="H700" s="4" t="str">
        <f t="shared" si="800"/>
        <v>-</v>
      </c>
      <c r="I700" s="4">
        <f t="shared" si="800"/>
        <v>0.73000000000000043</v>
      </c>
      <c r="J700" s="4">
        <f t="shared" si="800"/>
        <v>0.75250000000000006</v>
      </c>
      <c r="K700" s="4">
        <f t="shared" si="800"/>
        <v>0.77499999999999991</v>
      </c>
      <c r="L700" s="4">
        <f t="shared" ref="L700:O700" si="801">IFERROR(L665/L682,"-")</f>
        <v>0.79750000000000032</v>
      </c>
      <c r="M700" s="4">
        <f t="shared" si="801"/>
        <v>0.82000000000000006</v>
      </c>
      <c r="N700" s="4">
        <f t="shared" si="801"/>
        <v>0.81999999999999951</v>
      </c>
      <c r="O700" s="4">
        <f t="shared" si="801"/>
        <v>0.81999999999999984</v>
      </c>
      <c r="P700" s="4">
        <f>IFERROR(P665/P682,"-")</f>
        <v>0.82</v>
      </c>
      <c r="Q700" s="4">
        <f>IFERROR(Q665/Q682,"-")</f>
        <v>0.81999999999999951</v>
      </c>
      <c r="S700" s="3"/>
    </row>
    <row r="701" spans="2:19" x14ac:dyDescent="0.5">
      <c r="B701" t="str">
        <f t="shared" si="799"/>
        <v>SPS1</v>
      </c>
      <c r="C701" t="str">
        <f t="shared" si="796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802">IFERROR(G666/SUM(G683,G685),"-")</f>
        <v>-</v>
      </c>
      <c r="H701" s="4" t="str">
        <f t="shared" si="802"/>
        <v>-</v>
      </c>
      <c r="I701" s="4" t="str">
        <f t="shared" si="802"/>
        <v>-</v>
      </c>
      <c r="J701" s="4" t="str">
        <f t="shared" si="802"/>
        <v>-</v>
      </c>
      <c r="K701" s="4">
        <f t="shared" si="802"/>
        <v>0.87</v>
      </c>
      <c r="L701" s="4">
        <f t="shared" ref="L701:O701" si="803">IFERROR(L666/SUM(L683,L685),"-")</f>
        <v>0.88474576271186445</v>
      </c>
      <c r="M701" s="4">
        <f t="shared" si="803"/>
        <v>0.90000000000000013</v>
      </c>
      <c r="N701" s="4">
        <f t="shared" si="803"/>
        <v>0.89999999999999991</v>
      </c>
      <c r="O701" s="4">
        <f t="shared" si="803"/>
        <v>0.90000000000000024</v>
      </c>
      <c r="P701" s="4">
        <f>IFERROR(P666/SUM(P683,P685),"-")</f>
        <v>0.9</v>
      </c>
      <c r="Q701" s="4">
        <f>IFERROR(Q666/SUM(Q683,Q685),"-")</f>
        <v>0.9</v>
      </c>
      <c r="S701" s="3"/>
    </row>
    <row r="702" spans="2:19" x14ac:dyDescent="0.5">
      <c r="B702" t="str">
        <f t="shared" si="799"/>
        <v>SPS1</v>
      </c>
      <c r="C702" t="str">
        <f t="shared" si="796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804">IFERROR(G668/G687,"-")</f>
        <v>-</v>
      </c>
      <c r="H702" s="4" t="str">
        <f t="shared" si="804"/>
        <v>-</v>
      </c>
      <c r="I702" s="4" t="str">
        <f t="shared" si="804"/>
        <v>-</v>
      </c>
      <c r="J702" s="4" t="str">
        <f t="shared" si="804"/>
        <v>-</v>
      </c>
      <c r="K702" s="4" t="str">
        <f t="shared" si="804"/>
        <v>-</v>
      </c>
      <c r="L702" s="4" t="str">
        <f t="shared" ref="L702:O702" si="805">IFERROR(L668/L687,"-")</f>
        <v>-</v>
      </c>
      <c r="M702" s="4">
        <f t="shared" si="805"/>
        <v>0.76000000000000056</v>
      </c>
      <c r="N702" s="4">
        <f t="shared" si="805"/>
        <v>0.75999999999999968</v>
      </c>
      <c r="O702" s="4">
        <f t="shared" si="805"/>
        <v>0.76000000000000012</v>
      </c>
      <c r="P702" s="4">
        <f>IFERROR(P668/P687,"-")</f>
        <v>0.75999999999999956</v>
      </c>
      <c r="Q702" s="4">
        <f>IFERROR(Q668/Q687,"-")</f>
        <v>0.75999999999999945</v>
      </c>
      <c r="S702" s="3"/>
    </row>
    <row r="703" spans="2:19" x14ac:dyDescent="0.5">
      <c r="B703" t="str">
        <f t="shared" si="799"/>
        <v>SPS1</v>
      </c>
      <c r="C703" t="str">
        <f t="shared" si="796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804"/>
        <v>-</v>
      </c>
      <c r="H703" s="4" t="str">
        <f t="shared" si="804"/>
        <v>-</v>
      </c>
      <c r="I703" s="4" t="str">
        <f t="shared" si="804"/>
        <v>-</v>
      </c>
      <c r="J703" s="4" t="str">
        <f t="shared" si="804"/>
        <v>-</v>
      </c>
      <c r="K703" s="4" t="str">
        <f t="shared" si="804"/>
        <v>-</v>
      </c>
      <c r="L703" s="4" t="str">
        <f t="shared" ref="L703:O703" si="806">IFERROR(L669/L688,"-")</f>
        <v>-</v>
      </c>
      <c r="M703" s="4">
        <f t="shared" si="806"/>
        <v>0.6899999999999995</v>
      </c>
      <c r="N703" s="4">
        <f t="shared" si="806"/>
        <v>0.69000000000000072</v>
      </c>
      <c r="O703" s="4">
        <f t="shared" si="806"/>
        <v>0.68999999999999939</v>
      </c>
      <c r="P703" s="4">
        <f>IFERROR(P669/P688,"-")</f>
        <v>0.68999999999999939</v>
      </c>
      <c r="Q703" s="4">
        <f>IFERROR(Q669/Q688,"-")</f>
        <v>0.6899999999999995</v>
      </c>
      <c r="S703" s="3"/>
    </row>
    <row r="704" spans="2:19" x14ac:dyDescent="0.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807">IFERROR(G677/G696,"-")</f>
        <v>-</v>
      </c>
      <c r="H704" s="4" t="str">
        <f t="shared" si="807"/>
        <v>-</v>
      </c>
      <c r="I704" s="4" t="str">
        <f t="shared" si="807"/>
        <v>-</v>
      </c>
      <c r="J704" s="4" t="str">
        <f t="shared" si="807"/>
        <v>-</v>
      </c>
      <c r="K704" s="4" t="str">
        <f t="shared" si="807"/>
        <v>-</v>
      </c>
      <c r="L704" s="4" t="str">
        <f t="shared" ref="L704:O704" si="808">IFERROR(L677/L696,"-")</f>
        <v>-</v>
      </c>
      <c r="M704" s="4">
        <f t="shared" si="808"/>
        <v>0.60000000000098308</v>
      </c>
      <c r="N704" s="4">
        <f t="shared" si="808"/>
        <v>0.60000000000282683</v>
      </c>
      <c r="O704" s="4">
        <f t="shared" si="808"/>
        <v>0.59999999999977671</v>
      </c>
      <c r="P704" s="4">
        <f>IFERROR(P677/P696,"-")</f>
        <v>0.59999999999698639</v>
      </c>
      <c r="Q704" s="4">
        <f>IFERROR(Q677/Q696,"-")</f>
        <v>0.59999999999973441</v>
      </c>
      <c r="S704" s="3"/>
    </row>
    <row r="705" spans="2:19" x14ac:dyDescent="0.5">
      <c r="B705" t="str">
        <f t="shared" si="799"/>
        <v>SPS1</v>
      </c>
      <c r="C705" t="str">
        <f t="shared" si="796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807"/>
        <v>-</v>
      </c>
      <c r="H705" s="4" t="str">
        <f t="shared" si="807"/>
        <v>-</v>
      </c>
      <c r="I705" s="4" t="str">
        <f t="shared" si="807"/>
        <v>-</v>
      </c>
      <c r="J705" s="4" t="str">
        <f t="shared" si="807"/>
        <v>-</v>
      </c>
      <c r="K705" s="4" t="str">
        <f t="shared" si="807"/>
        <v>-</v>
      </c>
      <c r="L705" s="4" t="str">
        <f t="shared" ref="L705:O705" si="809">IFERROR(L678/L697,"-")</f>
        <v>-</v>
      </c>
      <c r="M705" s="4">
        <f t="shared" si="809"/>
        <v>0.58000000000000007</v>
      </c>
      <c r="N705" s="4">
        <f t="shared" si="809"/>
        <v>0.57999999999999996</v>
      </c>
      <c r="O705" s="4">
        <f t="shared" si="809"/>
        <v>0.57999999999999974</v>
      </c>
      <c r="P705" s="4">
        <f>IFERROR(P678/P697,"-")</f>
        <v>0.58000000000000074</v>
      </c>
      <c r="Q705" s="4">
        <f>IFERROR(Q678/Q697,"-")</f>
        <v>0.58000000000000018</v>
      </c>
      <c r="S705" s="3"/>
    </row>
    <row r="706" spans="2:19" x14ac:dyDescent="0.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1.1764711264867993</v>
      </c>
      <c r="G706" s="1">
        <f>[1]Other_transformation!C$39</f>
        <v>3.4996508628045753</v>
      </c>
      <c r="H706" s="1">
        <f>[1]Other_transformation!D$39</f>
        <v>2.5851866156582113</v>
      </c>
      <c r="I706" s="1">
        <f>[1]Other_transformation!E$39</f>
        <v>2.5848711824503621</v>
      </c>
      <c r="J706" s="1">
        <f>[1]Other_transformation!F$39</f>
        <v>2.5849667567646168</v>
      </c>
      <c r="K706" s="1">
        <f>[1]Other_transformation!G$39</f>
        <v>2.8155349939465038</v>
      </c>
      <c r="L706" s="1">
        <f>[1]Other_transformation!H$39</f>
        <v>2.8137797909457514</v>
      </c>
      <c r="M706" s="1">
        <f>[1]Other_transformation!I$39</f>
        <v>5.24647177121527</v>
      </c>
      <c r="N706" s="1">
        <f>[1]Other_transformation!J$39</f>
        <v>8.640275522031148</v>
      </c>
      <c r="O706" s="1">
        <f>[1]Other_transformation!K$39</f>
        <v>8.640391760708253</v>
      </c>
      <c r="P706" s="1">
        <f>[1]Other_transformation!L$39</f>
        <v>8.6405990390033516</v>
      </c>
      <c r="Q706" s="1">
        <f>[1]Other_transformation!M$39</f>
        <v>8.6418299623519168</v>
      </c>
      <c r="S706" s="3"/>
    </row>
    <row r="707" spans="2:19" x14ac:dyDescent="0.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1.2890707490810853</v>
      </c>
      <c r="G707" s="1">
        <f>[1]Other_transformation!C$38</f>
        <v>3.8346011709692207</v>
      </c>
      <c r="H707" s="1">
        <f>[1]Other_transformation!D$38</f>
        <v>2.8326138841269048</v>
      </c>
      <c r="I707" s="1">
        <f>[1]Other_transformation!E$38</f>
        <v>2.8322682609217367</v>
      </c>
      <c r="J707" s="1">
        <f>[1]Other_transformation!F$38</f>
        <v>2.8323729826187565</v>
      </c>
      <c r="K707" s="1">
        <f>[1]Other_transformation!G$38</f>
        <v>3.0850088217199931</v>
      </c>
      <c r="L707" s="1">
        <f>[1]Other_transformation!H$38</f>
        <v>3.0830856288799549</v>
      </c>
      <c r="M707" s="1">
        <f>[1]Other_transformation!I$38</f>
        <v>5.7486096716621118</v>
      </c>
      <c r="N707" s="1">
        <f>[1]Other_transformation!J$38</f>
        <v>9.4672331421442877</v>
      </c>
      <c r="O707" s="1">
        <f>[1]Other_transformation!K$38</f>
        <v>9.4673605059828194</v>
      </c>
      <c r="P707" s="1">
        <f>[1]Other_transformation!L$38</f>
        <v>9.4675876228079758</v>
      </c>
      <c r="Q707" s="1">
        <f>[1]Other_transformation!M$38</f>
        <v>9.4689363573814571</v>
      </c>
      <c r="S707" s="3"/>
    </row>
    <row r="708" spans="2:19" x14ac:dyDescent="0.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810">F706/F707</f>
        <v>0.91265054871925944</v>
      </c>
      <c r="G708" s="14">
        <f t="shared" si="810"/>
        <v>0.91265054871925977</v>
      </c>
      <c r="H708" s="14">
        <f t="shared" si="810"/>
        <v>0.91265054871925899</v>
      </c>
      <c r="I708" s="14">
        <f t="shared" si="810"/>
        <v>0.91265054871925821</v>
      </c>
      <c r="J708" s="14">
        <f t="shared" si="810"/>
        <v>0.91265054871926055</v>
      </c>
      <c r="K708" s="14">
        <f t="shared" si="810"/>
        <v>0.9126505487192581</v>
      </c>
      <c r="L708" s="14">
        <f t="shared" ref="L708:O708" si="811">L706/L707</f>
        <v>0.91265054871925866</v>
      </c>
      <c r="M708" s="14">
        <f t="shared" si="811"/>
        <v>0.91265054871925977</v>
      </c>
      <c r="N708" s="14">
        <f t="shared" si="811"/>
        <v>0.91265054871925999</v>
      </c>
      <c r="O708" s="14">
        <f t="shared" si="811"/>
        <v>0.9126505487192581</v>
      </c>
      <c r="P708" s="14">
        <f>P706/P707</f>
        <v>0.91265054871925766</v>
      </c>
      <c r="Q708" s="14">
        <f>Q706/Q707</f>
        <v>0.91265054871925777</v>
      </c>
      <c r="S708" s="3"/>
    </row>
    <row r="709" spans="2:19" x14ac:dyDescent="0.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5.9796311516006888</v>
      </c>
      <c r="G709" s="17" cm="1">
        <f t="array" ref="G709">SUMPRODUCT(("CT_CWODPLT"=[1]OUT_SyntheticFuels!$C$4:$C$1000)*1,("Var_Fout"=[1]OUT_SyntheticFuels!$B$4:$B$1000)*1,[1]OUT_SyntheticFuels!F$4:F$1000)</f>
        <v>6.9696489788580411</v>
      </c>
      <c r="H709" s="17" cm="1">
        <f t="array" ref="H709">SUMPRODUCT(("CT_CWODPLT"=[1]OUT_SyntheticFuels!$C$4:$C$1000)*1,("Var_Fout"=[1]OUT_SyntheticFuels!$B$4:$B$1000)*1,[1]OUT_SyntheticFuels!G$4:G$1000)</f>
        <v>6.8256531078353158</v>
      </c>
      <c r="I709" s="17" cm="1">
        <f t="array" ref="I709">SUMPRODUCT(("CT_CWODPLT"=[1]OUT_SyntheticFuels!$C$4:$C$1000)*1,("Var_Fout"=[1]OUT_SyntheticFuels!$B$4:$B$1000)*1,[1]OUT_SyntheticFuels!H$4:H$1000)</f>
        <v>6.9910185943096499</v>
      </c>
      <c r="J709" s="17" cm="1">
        <f t="array" ref="J709">SUMPRODUCT(("CT_CWODPLT"=[1]OUT_SyntheticFuels!$C$4:$C$1000)*1,("Var_Fout"=[1]OUT_SyntheticFuels!$B$4:$B$1000)*1,[1]OUT_SyntheticFuels!I$4:I$1000)</f>
        <v>7.2745453008816918</v>
      </c>
      <c r="K709" s="17" cm="1">
        <f t="array" ref="K709">SUMPRODUCT(("CT_CWODPLT"=[1]OUT_SyntheticFuels!$C$4:$C$1000)*1,("Var_Fout"=[1]OUT_SyntheticFuels!$B$4:$B$1000)*1,[1]OUT_SyntheticFuels!J$4:J$1000)</f>
        <v>7.6570229416836115</v>
      </c>
      <c r="L709" s="17" cm="1">
        <f t="array" ref="L709">SUMPRODUCT(("CT_CWODPLT"=[1]OUT_SyntheticFuels!$C$4:$C$1000)*1,("Var_Fout"=[1]OUT_SyntheticFuels!$B$4:$B$1000)*1,[1]OUT_SyntheticFuels!K$4:K$1000)</f>
        <v>7.7091185783880585</v>
      </c>
      <c r="M709" s="17" cm="1">
        <f t="array" ref="M709">SUMPRODUCT(("CT_CWODPLT"=[1]OUT_SyntheticFuels!$C$4:$C$1000)*1,("Var_Fout"=[1]OUT_SyntheticFuels!$B$4:$B$1000)*1,[1]OUT_SyntheticFuels!L$4:L$1000)</f>
        <v>7.529213796875319</v>
      </c>
      <c r="N709" s="17" cm="1">
        <f t="array" ref="N709">SUMPRODUCT(("CT_CWODPLT"=[1]OUT_SyntheticFuels!$C$4:$C$1000)*1,("Var_Fout"=[1]OUT_SyntheticFuels!$B$4:$B$1000)*1,[1]OUT_SyntheticFuels!M$4:M$1000)</f>
        <v>7.5548266067434788</v>
      </c>
      <c r="O709" s="17" cm="1">
        <f t="array" ref="O709">SUMPRODUCT(("CT_CWODPLT"=[1]OUT_SyntheticFuels!$C$4:$C$1000)*1,("Var_Fout"=[1]OUT_SyntheticFuels!$B$4:$B$1000)*1,[1]OUT_SyntheticFuels!N$4:N$1000)</f>
        <v>7.6433991041428202</v>
      </c>
      <c r="P709" s="17" cm="1">
        <f t="array" ref="P709">SUMPRODUCT(("CT_CWODPLT"=[1]OUT_SyntheticFuels!$C$4:$C$1000)*1,("Var_Fout"=[1]OUT_SyntheticFuels!$B$4:$B$1000)*1,[1]OUT_SyntheticFuels!O$4:O$1000)</f>
        <v>7.6441463966157652</v>
      </c>
      <c r="Q709" s="17" cm="1">
        <f t="array" ref="Q709">SUMPRODUCT(("CT_CWODPLT"=[1]OUT_SyntheticFuels!$C$4:$C$1000)*1,("Var_Fout"=[1]OUT_SyntheticFuels!$B$4:$B$1000)*1,[1]OUT_SyntheticFuels!P$4:P$1000)</f>
        <v>7.6444810217480823</v>
      </c>
      <c r="S709" s="3"/>
    </row>
    <row r="710" spans="2:19" x14ac:dyDescent="0.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5.9796311516006888</v>
      </c>
      <c r="G710" s="18">
        <f t="shared" ref="G710:K710" si="812">G709</f>
        <v>6.9696489788580411</v>
      </c>
      <c r="H710" s="18">
        <f t="shared" si="812"/>
        <v>6.8256531078353158</v>
      </c>
      <c r="I710" s="18">
        <f t="shared" si="812"/>
        <v>6.9910185943096499</v>
      </c>
      <c r="J710" s="18">
        <f t="shared" si="812"/>
        <v>7.2745453008816918</v>
      </c>
      <c r="K710" s="18">
        <f t="shared" si="812"/>
        <v>7.6570229416836115</v>
      </c>
      <c r="L710" s="18">
        <f t="shared" ref="L710:O710" si="813">L709</f>
        <v>7.7091185783880585</v>
      </c>
      <c r="M710" s="18">
        <f t="shared" si="813"/>
        <v>7.529213796875319</v>
      </c>
      <c r="N710" s="18">
        <f t="shared" si="813"/>
        <v>7.5548266067434788</v>
      </c>
      <c r="O710" s="18">
        <f t="shared" si="813"/>
        <v>7.6433991041428202</v>
      </c>
      <c r="P710" s="18">
        <f>P709</f>
        <v>7.6441463966157652</v>
      </c>
      <c r="Q710" s="18">
        <f>Q709</f>
        <v>7.6444810217480823</v>
      </c>
      <c r="S710" s="3"/>
    </row>
    <row r="711" spans="2:19" x14ac:dyDescent="0.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7.1186085138103525</v>
      </c>
      <c r="G711" s="17" cm="1">
        <f t="array" ref="G711">SUMPRODUCT(("CT_CWODPLT"=[1]OUT_SyntheticFuels!$C$4:$C$1000)*1,("Var_Fin"=[1]OUT_SyntheticFuels!$B$4:$B$1000)*1,[1]OUT_SyntheticFuels!F$4:F$1000)</f>
        <v>8.2972011653071895</v>
      </c>
      <c r="H711" s="17" cm="1">
        <f t="array" ref="H711">SUMPRODUCT(("CT_CWODPLT"=[1]OUT_SyntheticFuels!$C$4:$C$1000)*1,("Var_Fin"=[1]OUT_SyntheticFuels!$B$4:$B$1000)*1,[1]OUT_SyntheticFuels!G$4:G$1000)</f>
        <v>8.1257775093277491</v>
      </c>
      <c r="I711" s="17" cm="1">
        <f t="array" ref="I711">SUMPRODUCT(("CT_CWODPLT"=[1]OUT_SyntheticFuels!$C$4:$C$1000)*1,("Var_Fin"=[1]OUT_SyntheticFuels!$B$4:$B$1000)*1,[1]OUT_SyntheticFuels!H$4:H$1000)</f>
        <v>8.3226411837019683</v>
      </c>
      <c r="J711" s="17" cm="1">
        <f t="array" ref="J711">SUMPRODUCT(("CT_CWODPLT"=[1]OUT_SyntheticFuels!$C$4:$C$1000)*1,("Var_Fin"=[1]OUT_SyntheticFuels!$B$4:$B$1000)*1,[1]OUT_SyntheticFuels!I$4:I$1000)</f>
        <v>8.6601729772401157</v>
      </c>
      <c r="K711" s="17" cm="1">
        <f t="array" ref="K711">SUMPRODUCT(("CT_CWODPLT"=[1]OUT_SyntheticFuels!$C$4:$C$1000)*1,("Var_Fin"=[1]OUT_SyntheticFuels!$B$4:$B$1000)*1,[1]OUT_SyntheticFuels!J$4:J$1000)</f>
        <v>9.115503502004298</v>
      </c>
      <c r="L711" s="17" cm="1">
        <f t="array" ref="L711">SUMPRODUCT(("CT_CWODPLT"=[1]OUT_SyntheticFuels!$C$4:$C$1000)*1,("Var_Fin"=[1]OUT_SyntheticFuels!$B$4:$B$1000)*1,[1]OUT_SyntheticFuels!K$4:K$1000)</f>
        <v>9.1775221171286354</v>
      </c>
      <c r="M711" s="17" cm="1">
        <f t="array" ref="M711">SUMPRODUCT(("CT_CWODPLT"=[1]OUT_SyntheticFuels!$C$4:$C$1000)*1,("Var_Fin"=[1]OUT_SyntheticFuels!$B$4:$B$1000)*1,[1]OUT_SyntheticFuels!L$4:L$1000)</f>
        <v>8.9633497581849042</v>
      </c>
      <c r="N711" s="17" cm="1">
        <f t="array" ref="N711">SUMPRODUCT(("CT_CWODPLT"=[1]OUT_SyntheticFuels!$C$4:$C$1000)*1,("Var_Fin"=[1]OUT_SyntheticFuels!$B$4:$B$1000)*1,[1]OUT_SyntheticFuels!M$4:M$1000)</f>
        <v>8.9938411985041373</v>
      </c>
      <c r="O711" s="17" cm="1">
        <f t="array" ref="O711">SUMPRODUCT(("CT_CWODPLT"=[1]OUT_SyntheticFuels!$C$4:$C$1000)*1,("Var_Fin"=[1]OUT_SyntheticFuels!$B$4:$B$1000)*1,[1]OUT_SyntheticFuels!N$4:N$1000)</f>
        <v>9.0992846477890836</v>
      </c>
      <c r="P711" s="17" cm="1">
        <f t="array" ref="P711">SUMPRODUCT(("CT_CWODPLT"=[1]OUT_SyntheticFuels!$C$4:$C$1000)*1,("Var_Fin"=[1]OUT_SyntheticFuels!$B$4:$B$1000)*1,[1]OUT_SyntheticFuels!O$4:O$1000)</f>
        <v>9.1001742816854367</v>
      </c>
      <c r="Q711" s="17" cm="1">
        <f t="array" ref="Q711">SUMPRODUCT(("CT_CWODPLT"=[1]OUT_SyntheticFuels!$C$4:$C$1000)*1,("Var_Fin"=[1]OUT_SyntheticFuels!$B$4:$B$1000)*1,[1]OUT_SyntheticFuels!P$4:P$1000)</f>
        <v>9.1005726449381985</v>
      </c>
      <c r="S711" s="3"/>
    </row>
    <row r="712" spans="2:19" x14ac:dyDescent="0.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814">F711</f>
        <v>7.1186085138103525</v>
      </c>
      <c r="G712" s="18">
        <f t="shared" si="814"/>
        <v>8.2972011653071895</v>
      </c>
      <c r="H712" s="18">
        <f t="shared" si="814"/>
        <v>8.1257775093277491</v>
      </c>
      <c r="I712" s="18">
        <f t="shared" si="814"/>
        <v>8.3226411837019683</v>
      </c>
      <c r="J712" s="18">
        <f t="shared" si="814"/>
        <v>8.6601729772401157</v>
      </c>
      <c r="K712" s="18">
        <f t="shared" si="814"/>
        <v>9.115503502004298</v>
      </c>
      <c r="L712" s="18">
        <f t="shared" ref="L712:O712" si="815">L711</f>
        <v>9.1775221171286354</v>
      </c>
      <c r="M712" s="18">
        <f t="shared" si="815"/>
        <v>8.9633497581849042</v>
      </c>
      <c r="N712" s="18">
        <f t="shared" si="815"/>
        <v>8.9938411985041373</v>
      </c>
      <c r="O712" s="18">
        <f t="shared" si="815"/>
        <v>9.0992846477890836</v>
      </c>
      <c r="P712" s="18">
        <f>P711</f>
        <v>9.1001742816854367</v>
      </c>
      <c r="Q712" s="18">
        <f>Q711</f>
        <v>9.1005726449381985</v>
      </c>
      <c r="S712" s="3"/>
    </row>
    <row r="713" spans="2:19" x14ac:dyDescent="0.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816">IFERROR(F709/F711,"-")</f>
        <v>0.83999999999999897</v>
      </c>
      <c r="G713" s="14">
        <f t="shared" si="816"/>
        <v>0.84000000000000019</v>
      </c>
      <c r="H713" s="14">
        <f t="shared" si="816"/>
        <v>0.84000000000000075</v>
      </c>
      <c r="I713" s="14">
        <f t="shared" si="816"/>
        <v>0.83999999999999964</v>
      </c>
      <c r="J713" s="14">
        <f t="shared" si="816"/>
        <v>0.83999999999999941</v>
      </c>
      <c r="K713" s="14">
        <f t="shared" si="816"/>
        <v>0.84000000000000008</v>
      </c>
      <c r="L713" s="14">
        <f t="shared" ref="L713:O713" si="817">IFERROR(L709/L711,"-")</f>
        <v>0.84000000000000052</v>
      </c>
      <c r="M713" s="14">
        <f t="shared" si="817"/>
        <v>0.84</v>
      </c>
      <c r="N713" s="14">
        <f t="shared" si="817"/>
        <v>0.84000000000000041</v>
      </c>
      <c r="O713" s="14">
        <f t="shared" si="817"/>
        <v>0.83999999999999886</v>
      </c>
      <c r="P713" s="14">
        <f>IFERROR(P709/P711,"-")</f>
        <v>0.83999999999999986</v>
      </c>
      <c r="Q713" s="14">
        <f>IFERROR(Q709/Q711,"-")</f>
        <v>0.83999999999999952</v>
      </c>
      <c r="S713" s="3"/>
    </row>
    <row r="714" spans="2:19" x14ac:dyDescent="0.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818">G715+G717</f>
        <v>0</v>
      </c>
      <c r="H714" s="17">
        <f t="shared" si="818"/>
        <v>0</v>
      </c>
      <c r="I714" s="17">
        <f t="shared" si="818"/>
        <v>0</v>
      </c>
      <c r="J714" s="17">
        <f t="shared" si="818"/>
        <v>0</v>
      </c>
      <c r="K714" s="17">
        <f t="shared" si="818"/>
        <v>0.28387491320459707</v>
      </c>
      <c r="L714" s="17">
        <f t="shared" ref="L714:O714" si="819">L715+L717</f>
        <v>0.16352628041484027</v>
      </c>
      <c r="M714" s="17">
        <f t="shared" si="819"/>
        <v>0.38765049866340229</v>
      </c>
      <c r="N714" s="17">
        <f t="shared" si="819"/>
        <v>1.3388976208756675</v>
      </c>
      <c r="O714" s="17">
        <f t="shared" si="819"/>
        <v>2.4763098320394499</v>
      </c>
      <c r="P714" s="17">
        <f>P715+P717</f>
        <v>2.8791896772128913</v>
      </c>
      <c r="Q714" s="17">
        <f>Q715+Q717</f>
        <v>2.8852600687029084</v>
      </c>
      <c r="S714" s="3"/>
    </row>
    <row r="715" spans="2:19" x14ac:dyDescent="0.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O715" si="820">G716</f>
        <v>0</v>
      </c>
      <c r="H715" s="18">
        <f t="shared" si="820"/>
        <v>0</v>
      </c>
      <c r="I715" s="18">
        <f t="shared" si="820"/>
        <v>0</v>
      </c>
      <c r="J715" s="18">
        <f t="shared" si="820"/>
        <v>0</v>
      </c>
      <c r="K715" s="18">
        <f t="shared" si="820"/>
        <v>5.7265623939288795E-4</v>
      </c>
      <c r="L715" s="18">
        <f t="shared" si="820"/>
        <v>2.5476841878695937E-4</v>
      </c>
      <c r="M715" s="18">
        <f t="shared" si="820"/>
        <v>3.6480886392014904E-2</v>
      </c>
      <c r="N715" s="18">
        <f t="shared" si="820"/>
        <v>1.2716569555643871</v>
      </c>
      <c r="O715" s="18">
        <f t="shared" si="820"/>
        <v>2.3662259697697725</v>
      </c>
      <c r="P715" s="18">
        <f>P716</f>
        <v>2.7788057591566728</v>
      </c>
      <c r="Q715" s="18">
        <f>Q716</f>
        <v>2.7981074772168464</v>
      </c>
      <c r="S715" s="3"/>
    </row>
    <row r="716" spans="2:19" x14ac:dyDescent="0.5">
      <c r="B716" s="5" t="str">
        <f t="shared" ref="B716:C718" si="821">B714</f>
        <v>SPS1</v>
      </c>
      <c r="C716" s="5" t="str">
        <f t="shared" si="821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5.7265623939288795E-4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2.5476841878695937E-4</v>
      </c>
      <c r="M716" s="18" cm="1">
        <f t="array" ref="M716">SUMPRODUCT(("SUP_H2NGA"=[1]OUT_SyntheticFuels!$C$4:$C$1000)*1,("NGA"=[1]OUT_SyntheticFuels!$A$4:$A$1000)*1,("Var_Fout"=[1]OUT_SyntheticFuels!$B$4:$B$1000)*1,[1]OUT_SyntheticFuels!L$4:L$1000)</f>
        <v>3.6480886392014904E-2</v>
      </c>
      <c r="N716" s="18" cm="1">
        <f t="array" ref="N716">SUMPRODUCT(("SUP_H2NGA"=[1]OUT_SyntheticFuels!$C$4:$C$1000)*1,("NGA"=[1]OUT_SyntheticFuels!$A$4:$A$1000)*1,("Var_Fout"=[1]OUT_SyntheticFuels!$B$4:$B$1000)*1,[1]OUT_SyntheticFuels!M$4:M$1000)</f>
        <v>1.2716569555643871</v>
      </c>
      <c r="O716" s="18" cm="1">
        <f t="array" ref="O716">SUMPRODUCT(("SUP_H2NGA"=[1]OUT_SyntheticFuels!$C$4:$C$1000)*1,("NGA"=[1]OUT_SyntheticFuels!$A$4:$A$1000)*1,("Var_Fout"=[1]OUT_SyntheticFuels!$B$4:$B$1000)*1,[1]OUT_SyntheticFuels!N$4:N$1000)</f>
        <v>2.3662259697697725</v>
      </c>
      <c r="P716" s="18" cm="1">
        <f t="array" ref="P716">SUMPRODUCT(("SUP_H2NGA"=[1]OUT_SyntheticFuels!$C$4:$C$1000)*1,("NGA"=[1]OUT_SyntheticFuels!$A$4:$A$1000)*1,("Var_Fout"=[1]OUT_SyntheticFuels!$B$4:$B$1000)*1,[1]OUT_SyntheticFuels!O$4:O$1000)</f>
        <v>2.7788057591566728</v>
      </c>
      <c r="Q716" s="18" cm="1">
        <f t="array" ref="Q716">SUMPRODUCT(("SUP_H2NGA"=[1]OUT_SyntheticFuels!$C$4:$C$1000)*1,("NGA"=[1]OUT_SyntheticFuels!$A$4:$A$1000)*1,("Var_Fout"=[1]OUT_SyntheticFuels!$B$4:$B$1000)*1,[1]OUT_SyntheticFuels!P$4:P$1000)</f>
        <v>2.7981074772168464</v>
      </c>
      <c r="S716" s="3"/>
    </row>
    <row r="717" spans="2:19" x14ac:dyDescent="0.5">
      <c r="B717" s="5" t="str">
        <f t="shared" si="821"/>
        <v>SPS1</v>
      </c>
      <c r="C717" s="5" t="str">
        <f t="shared" si="821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822">SUM(G718:G720)</f>
        <v>0</v>
      </c>
      <c r="H717" s="18">
        <f t="shared" si="822"/>
        <v>0</v>
      </c>
      <c r="I717" s="18">
        <f t="shared" si="822"/>
        <v>0</v>
      </c>
      <c r="J717" s="18">
        <f t="shared" si="822"/>
        <v>0</v>
      </c>
      <c r="K717" s="18">
        <f t="shared" si="822"/>
        <v>0.28330225696520417</v>
      </c>
      <c r="L717" s="18">
        <f t="shared" ref="L717:O717" si="823">SUM(L718:L720)</f>
        <v>0.1632715119960533</v>
      </c>
      <c r="M717" s="18">
        <f t="shared" si="823"/>
        <v>0.35116961227138738</v>
      </c>
      <c r="N717" s="18">
        <f t="shared" si="823"/>
        <v>6.7240665311280423E-2</v>
      </c>
      <c r="O717" s="18">
        <f t="shared" si="823"/>
        <v>0.11008386226967742</v>
      </c>
      <c r="P717" s="18">
        <f>SUM(P718:P720)</f>
        <v>0.10038391805621827</v>
      </c>
      <c r="Q717" s="18">
        <f>SUM(Q718:Q720)</f>
        <v>8.7152591486062081E-2</v>
      </c>
      <c r="S717" s="3"/>
    </row>
    <row r="718" spans="2:19" x14ac:dyDescent="0.5">
      <c r="B718" s="5" t="str">
        <f t="shared" si="821"/>
        <v>SPS1</v>
      </c>
      <c r="C718" s="5" t="str">
        <f t="shared" si="821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2.6524406877263479E-3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1.3672599423388493E-3</v>
      </c>
      <c r="M718" s="18" cm="1">
        <f t="array" ref="M718">SUMPRODUCT(("SUP_H2DSL"=[1]OUT_SyntheticFuels!$C$4:$C$1000)*1,("DSL"=[1]OUT_SyntheticFuels!$A$4:$A$1000)*1,("Var_Fout"=[1]OUT_SyntheticFuels!$B$4:$B$1000)*1,[1]OUT_SyntheticFuels!L$4:L$1000)</f>
        <v>4.2885055097976256E-4</v>
      </c>
      <c r="N718" s="18" cm="1">
        <f t="array" ref="N718">SUMPRODUCT(("SUP_H2DSL"=[1]OUT_SyntheticFuels!$C$4:$C$1000)*1,("DSL"=[1]OUT_SyntheticFuels!$A$4:$A$1000)*1,("Var_Fout"=[1]OUT_SyntheticFuels!$B$4:$B$1000)*1,[1]OUT_SyntheticFuels!M$4:M$1000)</f>
        <v>5.9049716912976645E-4</v>
      </c>
      <c r="O718" s="18" cm="1">
        <f t="array" ref="O718">SUMPRODUCT(("SUP_H2DSL"=[1]OUT_SyntheticFuels!$C$4:$C$1000)*1,("DSL"=[1]OUT_SyntheticFuels!$A$4:$A$1000)*1,("Var_Fout"=[1]OUT_SyntheticFuels!$B$4:$B$1000)*1,[1]OUT_SyntheticFuels!N$4:N$1000)</f>
        <v>1.1627328819956613E-3</v>
      </c>
      <c r="P718" s="18" cm="1">
        <f t="array" ref="P718">SUMPRODUCT(("SUP_H2DSL"=[1]OUT_SyntheticFuels!$C$4:$C$1000)*1,("DSL"=[1]OUT_SyntheticFuels!$A$4:$A$1000)*1,("Var_Fout"=[1]OUT_SyntheticFuels!$B$4:$B$1000)*1,[1]OUT_SyntheticFuels!O$4:O$1000)</f>
        <v>8.3663937061181578E-4</v>
      </c>
      <c r="Q718" s="18" cm="1">
        <f t="array" ref="Q718">SUMPRODUCT(("SUP_H2DSL"=[1]OUT_SyntheticFuels!$C$4:$C$1000)*1,("DSL"=[1]OUT_SyntheticFuels!$A$4:$A$1000)*1,("Var_Fout"=[1]OUT_SyntheticFuels!$B$4:$B$1000)*1,[1]OUT_SyntheticFuels!P$4:P$1000)</f>
        <v>1.8705922591731596E-3</v>
      </c>
      <c r="S718" s="3"/>
    </row>
    <row r="719" spans="2:19" x14ac:dyDescent="0.5">
      <c r="B719" s="5" t="str">
        <f t="shared" ref="B719:C721" si="824">B718</f>
        <v>SPS1</v>
      </c>
      <c r="C719" s="5" t="str">
        <f t="shared" si="824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0.28030791091030671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0.16172549983242873</v>
      </c>
      <c r="M719" s="18" cm="1">
        <f t="array" ref="M719">SUMPRODUCT(("SUP_H2gsl"=[1]OUT_SyntheticFuels!$C$4:$C$1000)*1,("gsl"=[1]OUT_SyntheticFuels!$A$4:$A$1000)*1,("Var_Fout"=[1]OUT_SyntheticFuels!$B$4:$B$1000)*1,[1]OUT_SyntheticFuels!L$4:L$1000)</f>
        <v>0.35074076172040763</v>
      </c>
      <c r="N719" s="18" cm="1">
        <f t="array" ref="N719">SUMPRODUCT(("SUP_H2gsl"=[1]OUT_SyntheticFuels!$C$4:$C$1000)*1,("gsl"=[1]OUT_SyntheticFuels!$A$4:$A$1000)*1,("Var_Fout"=[1]OUT_SyntheticFuels!$B$4:$B$1000)*1,[1]OUT_SyntheticFuels!M$4:M$1000)</f>
        <v>6.6578455752357185E-2</v>
      </c>
      <c r="O719" s="18" cm="1">
        <f t="array" ref="O719">SUMPRODUCT(("SUP_H2gsl"=[1]OUT_SyntheticFuels!$C$4:$C$1000)*1,("gsl"=[1]OUT_SyntheticFuels!$A$4:$A$1000)*1,("Var_Fout"=[1]OUT_SyntheticFuels!$B$4:$B$1000)*1,[1]OUT_SyntheticFuels!N$4:N$1000)</f>
        <v>0.10876790490594619</v>
      </c>
      <c r="P719" s="18" cm="1">
        <f t="array" ref="P719">SUMPRODUCT(("SUP_H2gsl"=[1]OUT_SyntheticFuels!$C$4:$C$1000)*1,("gsl"=[1]OUT_SyntheticFuels!$A$4:$A$1000)*1,("Var_Fout"=[1]OUT_SyntheticFuels!$B$4:$B$1000)*1,[1]OUT_SyntheticFuels!O$4:O$1000)</f>
        <v>9.9437567740546018E-2</v>
      </c>
      <c r="Q719" s="18" cm="1">
        <f t="array" ref="Q719">SUMPRODUCT(("SUP_H2gsl"=[1]OUT_SyntheticFuels!$C$4:$C$1000)*1,("gsl"=[1]OUT_SyntheticFuels!$A$4:$A$1000)*1,("Var_Fout"=[1]OUT_SyntheticFuels!$B$4:$B$1000)*1,[1]OUT_SyntheticFuels!P$4:P$1000)</f>
        <v>8.5046989997583824E-2</v>
      </c>
      <c r="S719" s="3"/>
    </row>
    <row r="720" spans="2:19" x14ac:dyDescent="0.5">
      <c r="B720" s="5" t="str">
        <f t="shared" si="824"/>
        <v>SPS1</v>
      </c>
      <c r="C720" s="5" t="str">
        <f t="shared" si="824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3.4190536717112189E-4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1.7875222128571302E-4</v>
      </c>
      <c r="M720" s="18" cm="1">
        <f t="array" ref="M720">SUMPRODUCT(("SUP_H2DSL"=[1]OUT_SyntheticFuels!$C$4:$C$1000)*1,("KER"=[1]OUT_SyntheticFuels!$A$4:$A$1000)*1,("Var_Fout"=[1]OUT_SyntheticFuels!$B$4:$B$1000)*1,[1]OUT_SyntheticFuels!L$4:L$1000)</f>
        <v>0</v>
      </c>
      <c r="N720" s="18" cm="1">
        <f t="array" ref="N720">SUMPRODUCT(("SUP_H2DSL"=[1]OUT_SyntheticFuels!$C$4:$C$1000)*1,("KER"=[1]OUT_SyntheticFuels!$A$4:$A$1000)*1,("Var_Fout"=[1]OUT_SyntheticFuels!$B$4:$B$1000)*1,[1]OUT_SyntheticFuels!M$4:M$1000)</f>
        <v>7.1712389793471284E-5</v>
      </c>
      <c r="O720" s="18" cm="1">
        <f t="array" ref="O720">SUMPRODUCT(("SUP_H2DSL"=[1]OUT_SyntheticFuels!$C$4:$C$1000)*1,("KER"=[1]OUT_SyntheticFuels!$A$4:$A$1000)*1,("Var_Fout"=[1]OUT_SyntheticFuels!$B$4:$B$1000)*1,[1]OUT_SyntheticFuels!N$4:N$1000)</f>
        <v>1.5322448173557554E-4</v>
      </c>
      <c r="P720" s="18" cm="1">
        <f t="array" ref="P720">SUMPRODUCT(("SUP_H2DSL"=[1]OUT_SyntheticFuels!$C$4:$C$1000)*1,("KER"=[1]OUT_SyntheticFuels!$A$4:$A$1000)*1,("Var_Fout"=[1]OUT_SyntheticFuels!$B$4:$B$1000)*1,[1]OUT_SyntheticFuels!O$4:O$1000)</f>
        <v>1.097109450604328E-4</v>
      </c>
      <c r="Q720" s="18" cm="1">
        <f t="array" ref="Q720">SUMPRODUCT(("SUP_H2DSL"=[1]OUT_SyntheticFuels!$C$4:$C$1000)*1,("KER"=[1]OUT_SyntheticFuels!$A$4:$A$1000)*1,("Var_Fout"=[1]OUT_SyntheticFuels!$B$4:$B$1000)*1,[1]OUT_SyntheticFuels!P$4:P$1000)</f>
        <v>2.3500922930509905E-4</v>
      </c>
      <c r="S720" s="3"/>
    </row>
    <row r="721" spans="2:19" x14ac:dyDescent="0.5">
      <c r="B721" s="9" t="str">
        <f t="shared" si="824"/>
        <v>SPS1</v>
      </c>
      <c r="C721" s="9" t="str">
        <f t="shared" si="824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O721" si="825">G722</f>
        <v>0</v>
      </c>
      <c r="H721" s="17">
        <f t="shared" si="825"/>
        <v>0</v>
      </c>
      <c r="I721" s="17">
        <f t="shared" si="825"/>
        <v>0</v>
      </c>
      <c r="J721" s="17">
        <f t="shared" si="825"/>
        <v>0</v>
      </c>
      <c r="K721" s="17">
        <f t="shared" si="825"/>
        <v>0.4076988374548885</v>
      </c>
      <c r="L721" s="17">
        <f t="shared" si="825"/>
        <v>0.23472564220354508</v>
      </c>
      <c r="M721" s="17">
        <f t="shared" si="825"/>
        <v>0.54917595053089396</v>
      </c>
      <c r="N721" s="17">
        <f t="shared" si="825"/>
        <v>1.7477563599590693</v>
      </c>
      <c r="O721" s="17">
        <f t="shared" si="825"/>
        <v>3.2306720386085628</v>
      </c>
      <c r="P721" s="17">
        <f>P722</f>
        <v>3.7525232653877043</v>
      </c>
      <c r="Q721" s="17">
        <f>Q722</f>
        <v>3.7590316823320973</v>
      </c>
      <c r="S721" s="3"/>
    </row>
    <row r="722" spans="2:19" x14ac:dyDescent="0.5">
      <c r="B722" s="5" t="str">
        <f>B721</f>
        <v>SPS1</v>
      </c>
      <c r="C722" s="5" t="str">
        <f t="shared" ref="C722:C728" si="826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827">SUM(G723,G725)</f>
        <v>0</v>
      </c>
      <c r="H722" s="18">
        <f t="shared" si="827"/>
        <v>0</v>
      </c>
      <c r="I722" s="18">
        <f t="shared" si="827"/>
        <v>0</v>
      </c>
      <c r="J722" s="18">
        <f t="shared" si="827"/>
        <v>0</v>
      </c>
      <c r="K722" s="18">
        <f t="shared" si="827"/>
        <v>0.4076988374548885</v>
      </c>
      <c r="L722" s="18">
        <f t="shared" ref="L722:O722" si="828">SUM(L723,L725)</f>
        <v>0.23472564220354508</v>
      </c>
      <c r="M722" s="18">
        <f t="shared" si="828"/>
        <v>0.54917595053089396</v>
      </c>
      <c r="N722" s="18">
        <f t="shared" si="828"/>
        <v>1.7477563599590693</v>
      </c>
      <c r="O722" s="18">
        <f t="shared" si="828"/>
        <v>3.2306720386085628</v>
      </c>
      <c r="P722" s="18">
        <f>SUM(P723,P725)</f>
        <v>3.7525232653877043</v>
      </c>
      <c r="Q722" s="18">
        <f>SUM(Q723,Q725)</f>
        <v>3.7590316823320973</v>
      </c>
      <c r="S722" s="3"/>
    </row>
    <row r="723" spans="2:19" x14ac:dyDescent="0.5">
      <c r="B723" s="5" t="str">
        <f t="shared" ref="B723:B728" si="829">B722</f>
        <v>SPS1</v>
      </c>
      <c r="C723" s="5" t="str">
        <f t="shared" si="826"/>
        <v>CH</v>
      </c>
      <c r="D723" t="s">
        <v>929</v>
      </c>
      <c r="E723" s="5" t="s">
        <v>8</v>
      </c>
      <c r="F723" s="18">
        <f>F724</f>
        <v>0</v>
      </c>
      <c r="G723" s="18">
        <f t="shared" ref="G723:O723" si="830">G724</f>
        <v>0</v>
      </c>
      <c r="H723" s="18">
        <f t="shared" si="830"/>
        <v>0</v>
      </c>
      <c r="I723" s="18">
        <f t="shared" si="830"/>
        <v>0</v>
      </c>
      <c r="J723" s="18">
        <f t="shared" si="830"/>
        <v>0</v>
      </c>
      <c r="K723" s="18">
        <f t="shared" si="830"/>
        <v>7.4370940180894587E-4</v>
      </c>
      <c r="L723" s="18">
        <f t="shared" si="830"/>
        <v>3.3086807634670094E-4</v>
      </c>
      <c r="M723" s="18">
        <f t="shared" si="830"/>
        <v>4.7377774535084349E-2</v>
      </c>
      <c r="N723" s="18">
        <f t="shared" si="830"/>
        <v>1.6515025396940115</v>
      </c>
      <c r="O723" s="18">
        <f t="shared" si="830"/>
        <v>3.073020739960747</v>
      </c>
      <c r="P723" s="18">
        <f>P724</f>
        <v>3.6088386482554253</v>
      </c>
      <c r="Q723" s="18">
        <f>Q724</f>
        <v>3.6339058145673353</v>
      </c>
      <c r="S723" s="3"/>
    </row>
    <row r="724" spans="2:19" x14ac:dyDescent="0.5">
      <c r="B724" s="5" t="str">
        <f t="shared" si="829"/>
        <v>SPS1</v>
      </c>
      <c r="C724" s="5" t="str">
        <f t="shared" si="826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7.4370940180894587E-4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3.3086807634670094E-4</v>
      </c>
      <c r="M724" s="10" cm="1">
        <f t="array" ref="M724">SUMPRODUCT(("SUP_H2NGA"=[1]OUT_SyntheticFuels!$C$4:$C$1000)*1,("H2"=[1]OUT_SyntheticFuels!$A$4:$A$1000)*1,("Var_Fin"=[1]OUT_SyntheticFuels!$B$4:$B$1000)*1,[1]OUT_SyntheticFuels!L$4:L$1000)</f>
        <v>4.7377774535084349E-2</v>
      </c>
      <c r="N724" s="10" cm="1">
        <f t="array" ref="N724">SUMPRODUCT(("SUP_H2NGA"=[1]OUT_SyntheticFuels!$C$4:$C$1000)*1,("H2"=[1]OUT_SyntheticFuels!$A$4:$A$1000)*1,("Var_Fin"=[1]OUT_SyntheticFuels!$B$4:$B$1000)*1,[1]OUT_SyntheticFuels!M$4:M$1000)</f>
        <v>1.6515025396940115</v>
      </c>
      <c r="O724" s="10" cm="1">
        <f t="array" ref="O724">SUMPRODUCT(("SUP_H2NGA"=[1]OUT_SyntheticFuels!$C$4:$C$1000)*1,("H2"=[1]OUT_SyntheticFuels!$A$4:$A$1000)*1,("Var_Fin"=[1]OUT_SyntheticFuels!$B$4:$B$1000)*1,[1]OUT_SyntheticFuels!N$4:N$1000)</f>
        <v>3.073020739960747</v>
      </c>
      <c r="P724" s="10" cm="1">
        <f t="array" ref="P724">SUMPRODUCT(("SUP_H2NGA"=[1]OUT_SyntheticFuels!$C$4:$C$1000)*1,("H2"=[1]OUT_SyntheticFuels!$A$4:$A$1000)*1,("Var_Fin"=[1]OUT_SyntheticFuels!$B$4:$B$1000)*1,[1]OUT_SyntheticFuels!O$4:O$1000)</f>
        <v>3.6088386482554253</v>
      </c>
      <c r="Q724" s="10" cm="1">
        <f t="array" ref="Q724">SUMPRODUCT(("SUP_H2NGA"=[1]OUT_SyntheticFuels!$C$4:$C$1000)*1,("H2"=[1]OUT_SyntheticFuels!$A$4:$A$1000)*1,("Var_Fin"=[1]OUT_SyntheticFuels!$B$4:$B$1000)*1,[1]OUT_SyntheticFuels!P$4:P$1000)</f>
        <v>3.6339058145673353</v>
      </c>
      <c r="S724" s="3"/>
    </row>
    <row r="725" spans="2:19" x14ac:dyDescent="0.5">
      <c r="B725" s="5" t="str">
        <f t="shared" si="829"/>
        <v>SPS1</v>
      </c>
      <c r="C725" s="5" t="str">
        <f t="shared" si="826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831">SUM(G726:G728)</f>
        <v>0</v>
      </c>
      <c r="H725" s="18">
        <f t="shared" si="831"/>
        <v>0</v>
      </c>
      <c r="I725" s="18">
        <f t="shared" si="831"/>
        <v>0</v>
      </c>
      <c r="J725" s="18">
        <f t="shared" si="831"/>
        <v>0</v>
      </c>
      <c r="K725" s="18">
        <f t="shared" si="831"/>
        <v>0.40695512805307954</v>
      </c>
      <c r="L725" s="18">
        <f t="shared" ref="L725:O725" si="832">SUM(L726:L728)</f>
        <v>0.23439477412719839</v>
      </c>
      <c r="M725" s="18">
        <f t="shared" si="832"/>
        <v>0.50179817599580967</v>
      </c>
      <c r="N725" s="18">
        <f t="shared" si="832"/>
        <v>9.6253820265057771E-2</v>
      </c>
      <c r="O725" s="18">
        <f t="shared" si="832"/>
        <v>0.15765129864781594</v>
      </c>
      <c r="P725" s="18">
        <f>SUM(P726:P728)</f>
        <v>0.14368461713227892</v>
      </c>
      <c r="Q725" s="18">
        <f>SUM(Q726:Q728)</f>
        <v>0.12512586776476203</v>
      </c>
      <c r="S725" s="3"/>
    </row>
    <row r="726" spans="2:19" x14ac:dyDescent="0.5">
      <c r="B726" s="5" t="str">
        <f t="shared" si="829"/>
        <v>SPS1</v>
      </c>
      <c r="C726" s="5" t="str">
        <f t="shared" si="826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5.7713196790407676E-3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2.9700488691338264E-3</v>
      </c>
      <c r="M726" s="10" cm="1">
        <f t="array" ref="M726">SUMPRODUCT(("SUP_H2DSL"=[1]OUT_SyntheticFuels!$C$4:$C$1000)*1,("H2"=[1]OUT_SyntheticFuels!$A$4:$A$1000)*1,("Var_Fin"=[1]OUT_SyntheticFuels!$B$4:$B$1000)*1,[1]OUT_SyntheticFuels!L$4:L$1000)*IFERROR(M718/SUM(M718,M720),0)</f>
        <v>7.3994496665528758E-4</v>
      </c>
      <c r="N726" s="10" cm="1">
        <f t="array" ref="N726">SUMPRODUCT(("SUP_H2DSL"=[1]OUT_SyntheticFuels!$C$4:$C$1000)*1,("H2"=[1]OUT_SyntheticFuels!$A$4:$A$1000)*1,("Var_Fin"=[1]OUT_SyntheticFuels!$B$4:$B$1000)*1,[1]OUT_SyntheticFuels!M$4:M$1000)*IFERROR(N718/SUM(N718,N720),0)</f>
        <v>1.0180985674651129E-3</v>
      </c>
      <c r="O726" s="10" cm="1">
        <f t="array" ref="O726">SUMPRODUCT(("SUP_H2DSL"=[1]OUT_SyntheticFuels!$C$4:$C$1000)*1,("H2"=[1]OUT_SyntheticFuels!$A$4:$A$1000)*1,("Var_Fin"=[1]OUT_SyntheticFuels!$B$4:$B$1000)*1,[1]OUT_SyntheticFuels!N$4:N$1000)*IFERROR(O718/SUM(O718,O720),0)</f>
        <v>2.0044338495212146E-3</v>
      </c>
      <c r="P726" s="10" cm="1">
        <f t="array" ref="P726">SUMPRODUCT(("SUP_H2DSL"=[1]OUT_SyntheticFuels!$C$4:$C$1000)*1,("H2"=[1]OUT_SyntheticFuels!$A$4:$A$1000)*1,("Var_Fin"=[1]OUT_SyntheticFuels!$B$4:$B$1000)*1,[1]OUT_SyntheticFuels!O$4:O$1000)*IFERROR(P718/SUM(P718,P720),0)</f>
        <v>1.4418720688858771E-3</v>
      </c>
      <c r="Q726" s="10" cm="1">
        <f t="array" ref="Q726">SUMPRODUCT(("SUP_H2DSL"=[1]OUT_SyntheticFuels!$C$4:$C$1000)*1,("H2"=[1]OUT_SyntheticFuels!$A$4:$A$1000)*1,("Var_Fin"=[1]OUT_SyntheticFuels!$B$4:$B$1000)*1,[1]OUT_SyntheticFuels!P$4:P$1000)*IFERROR(Q718/SUM(Q718,Q720),0)</f>
        <v>3.2249994901113878E-3</v>
      </c>
      <c r="S726" s="3"/>
    </row>
    <row r="727" spans="2:19" x14ac:dyDescent="0.5">
      <c r="B727" s="5" t="str">
        <f t="shared" si="829"/>
        <v>SPS1</v>
      </c>
      <c r="C727" s="5" t="str">
        <f t="shared" si="826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0.40043987272900999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0.23103642833204141</v>
      </c>
      <c r="M727" s="10" cm="1">
        <f t="array" ref="M727">SUMPRODUCT(("SUP_H2GSL"=[1]OUT_SyntheticFuels!$C$4:$C$1000)*1,("H2"=[1]OUT_SyntheticFuels!$A$4:$A$1000)*1,("Var_Fin"=[1]OUT_SyntheticFuels!$B$4:$B$1000)*1,[1]OUT_SyntheticFuels!L$4:L$1000)</f>
        <v>0.50105823102915437</v>
      </c>
      <c r="N727" s="10" cm="1">
        <f t="array" ref="N727">SUMPRODUCT(("SUP_H2GSL"=[1]OUT_SyntheticFuels!$C$4:$C$1000)*1,("H2"=[1]OUT_SyntheticFuels!$A$4:$A$1000)*1,("Var_Fin"=[1]OUT_SyntheticFuels!$B$4:$B$1000)*1,[1]OUT_SyntheticFuels!M$4:M$1000)</f>
        <v>9.5112079646224604E-2</v>
      </c>
      <c r="O727" s="10" cm="1">
        <f t="array" ref="O727">SUMPRODUCT(("SUP_H2GSL"=[1]OUT_SyntheticFuels!$C$4:$C$1000)*1,("H2"=[1]OUT_SyntheticFuels!$A$4:$A$1000)*1,("Var_Fin"=[1]OUT_SyntheticFuels!$B$4:$B$1000)*1,[1]OUT_SyntheticFuels!N$4:N$1000)</f>
        <v>0.15538272129420891</v>
      </c>
      <c r="P727" s="10" cm="1">
        <f t="array" ref="P727">SUMPRODUCT(("SUP_H2GSL"=[1]OUT_SyntheticFuels!$C$4:$C$1000)*1,("H2"=[1]OUT_SyntheticFuels!$A$4:$A$1000)*1,("Var_Fin"=[1]OUT_SyntheticFuels!$B$4:$B$1000)*1,[1]OUT_SyntheticFuels!O$4:O$1000)</f>
        <v>0.14205366820078014</v>
      </c>
      <c r="Q727" s="10" cm="1">
        <f t="array" ref="Q727">SUMPRODUCT(("SUP_H2GSL"=[1]OUT_SyntheticFuels!$C$4:$C$1000)*1,("H2"=[1]OUT_SyntheticFuels!$A$4:$A$1000)*1,("Var_Fin"=[1]OUT_SyntheticFuels!$B$4:$B$1000)*1,[1]OUT_SyntheticFuels!P$4:P$1000)</f>
        <v>0.12149569999654848</v>
      </c>
      <c r="S727" s="3"/>
    </row>
    <row r="728" spans="2:19" x14ac:dyDescent="0.5">
      <c r="B728" s="5" t="str">
        <f t="shared" si="829"/>
        <v>SPS1</v>
      </c>
      <c r="C728" s="5" t="str">
        <f t="shared" si="826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7.439356450288084E-4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3.8829692602316938E-4</v>
      </c>
      <c r="M728" s="10" cm="1">
        <f t="array" ref="M728">SUMPRODUCT(("SUP_H2DSL"=[1]OUT_SyntheticFuels!$C$4:$C$1000)*1,("H2"=[1]OUT_SyntheticFuels!$A$4:$A$1000)*1,("Var_Fin"=[1]OUT_SyntheticFuels!$B$4:$B$1000)*1,[1]OUT_SyntheticFuels!L$4:L$1000)-M726</f>
        <v>0</v>
      </c>
      <c r="N728" s="10" cm="1">
        <f t="array" ref="N728">SUMPRODUCT(("SUP_H2DSL"=[1]OUT_SyntheticFuels!$C$4:$C$1000)*1,("H2"=[1]OUT_SyntheticFuels!$A$4:$A$1000)*1,("Var_Fin"=[1]OUT_SyntheticFuels!$B$4:$B$1000)*1,[1]OUT_SyntheticFuels!M$4:M$1000)-N726</f>
        <v>1.2364205136805389E-4</v>
      </c>
      <c r="O728" s="10" cm="1">
        <f t="array" ref="O728">SUMPRODUCT(("SUP_H2DSL"=[1]OUT_SyntheticFuels!$C$4:$C$1000)*1,("H2"=[1]OUT_SyntheticFuels!$A$4:$A$1000)*1,("Var_Fin"=[1]OUT_SyntheticFuels!$B$4:$B$1000)*1,[1]OUT_SyntheticFuels!N$4:N$1000)-O726</f>
        <v>2.6414350408581529E-4</v>
      </c>
      <c r="P728" s="10" cm="1">
        <f t="array" ref="P728">SUMPRODUCT(("SUP_H2DSL"=[1]OUT_SyntheticFuels!$C$4:$C$1000)*1,("H2"=[1]OUT_SyntheticFuels!$A$4:$A$1000)*1,("Var_Fin"=[1]OUT_SyntheticFuels!$B$4:$B$1000)*1,[1]OUT_SyntheticFuels!O$4:O$1000)-P726</f>
        <v>1.8907686261289717E-4</v>
      </c>
      <c r="Q728" s="10" cm="1">
        <f t="array" ref="Q728">SUMPRODUCT(("SUP_H2DSL"=[1]OUT_SyntheticFuels!$C$4:$C$1000)*1,("H2"=[1]OUT_SyntheticFuels!$A$4:$A$1000)*1,("Var_Fin"=[1]OUT_SyntheticFuels!$B$4:$B$1000)*1,[1]OUT_SyntheticFuels!P$4:P$1000)-Q726</f>
        <v>4.0516827810215764E-4</v>
      </c>
      <c r="S728" s="3"/>
    </row>
    <row r="729" spans="2:19" x14ac:dyDescent="0.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M729" s="14" t="s">
        <v>292</v>
      </c>
      <c r="N729" s="14" t="s">
        <v>292</v>
      </c>
      <c r="O729" s="14" t="s">
        <v>292</v>
      </c>
      <c r="P729" s="14" t="s">
        <v>292</v>
      </c>
      <c r="Q729" s="14" t="s">
        <v>292</v>
      </c>
      <c r="S729" s="3"/>
    </row>
    <row r="730" spans="2:19" x14ac:dyDescent="0.5">
      <c r="B730" s="5" t="str">
        <f>B729</f>
        <v>SPS1</v>
      </c>
      <c r="C730" s="5" t="str">
        <f t="shared" ref="C730:C735" si="833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834">IFERROR(G716/G724,"-")</f>
        <v>-</v>
      </c>
      <c r="H730" s="14" t="str">
        <f t="shared" si="834"/>
        <v>-</v>
      </c>
      <c r="I730" s="14" t="str">
        <f t="shared" si="834"/>
        <v>-</v>
      </c>
      <c r="J730" s="14" t="str">
        <f t="shared" si="834"/>
        <v>-</v>
      </c>
      <c r="K730" s="14">
        <f t="shared" si="834"/>
        <v>0.76999999999999946</v>
      </c>
      <c r="L730" s="14">
        <f t="shared" ref="L730:O730" si="835">IFERROR(L716/L724,"-")</f>
        <v>0.76999999999999891</v>
      </c>
      <c r="M730" s="14">
        <f t="shared" si="835"/>
        <v>0.76999999999999902</v>
      </c>
      <c r="N730" s="14">
        <f t="shared" si="835"/>
        <v>0.76999999999999891</v>
      </c>
      <c r="O730" s="14">
        <f t="shared" si="835"/>
        <v>0.76999999999999913</v>
      </c>
      <c r="P730" s="14">
        <f>IFERROR(P716/P724,"-")</f>
        <v>0.76999999999999869</v>
      </c>
      <c r="Q730" s="14">
        <f>IFERROR(Q716/Q724,"-")</f>
        <v>0.76999999999999946</v>
      </c>
      <c r="S730" s="3"/>
    </row>
    <row r="731" spans="2:19" x14ac:dyDescent="0.5">
      <c r="B731" s="5" t="str">
        <f t="shared" ref="B731:B735" si="836">B730</f>
        <v>SPS1</v>
      </c>
      <c r="C731" s="5" t="str">
        <f t="shared" si="833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37">IFERROR(G718/G726,"-")</f>
        <v>-</v>
      </c>
      <c r="H731" s="16" t="str">
        <f t="shared" si="837"/>
        <v>-</v>
      </c>
      <c r="I731" s="16" t="str">
        <f t="shared" si="837"/>
        <v>-</v>
      </c>
      <c r="J731" s="16" t="str">
        <f t="shared" si="837"/>
        <v>-</v>
      </c>
      <c r="K731" s="16">
        <f t="shared" si="837"/>
        <v>0.45958997858999234</v>
      </c>
      <c r="L731" s="16">
        <f t="shared" ref="L731:O731" si="838">IFERROR(L718/L726,"-")</f>
        <v>0.46034930823801284</v>
      </c>
      <c r="M731" s="16">
        <f t="shared" si="838"/>
        <v>0.57957087392358442</v>
      </c>
      <c r="N731" s="16">
        <f t="shared" si="838"/>
        <v>0.58000000000000096</v>
      </c>
      <c r="O731" s="16">
        <f t="shared" si="838"/>
        <v>0.58008044629329891</v>
      </c>
      <c r="P731" s="16">
        <f t="shared" ref="P731:Q733" si="839">IFERROR(P718/P726,"-")</f>
        <v>0.58024521638613902</v>
      </c>
      <c r="Q731" s="16">
        <f t="shared" si="839"/>
        <v>0.58002869920098854</v>
      </c>
      <c r="S731" s="3"/>
    </row>
    <row r="732" spans="2:19" x14ac:dyDescent="0.5">
      <c r="B732" s="5" t="str">
        <f t="shared" si="836"/>
        <v>SPS1</v>
      </c>
      <c r="C732" s="5" t="str">
        <f t="shared" si="833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40">IFERROR(G719/G727,"-")</f>
        <v>-</v>
      </c>
      <c r="H732" s="16" t="str">
        <f t="shared" si="840"/>
        <v>-</v>
      </c>
      <c r="I732" s="16" t="str">
        <f t="shared" si="840"/>
        <v>-</v>
      </c>
      <c r="J732" s="16" t="str">
        <f t="shared" si="840"/>
        <v>-</v>
      </c>
      <c r="K732" s="16">
        <f t="shared" si="840"/>
        <v>0.69999999999999929</v>
      </c>
      <c r="L732" s="16">
        <f t="shared" ref="L732:O732" si="841">IFERROR(L719/L727,"-")</f>
        <v>0.69999999999999885</v>
      </c>
      <c r="M732" s="16">
        <f t="shared" si="841"/>
        <v>0.69999999999999918</v>
      </c>
      <c r="N732" s="16">
        <f t="shared" si="841"/>
        <v>0.69999999999999962</v>
      </c>
      <c r="O732" s="16">
        <f t="shared" si="841"/>
        <v>0.69999999999999973</v>
      </c>
      <c r="P732" s="16">
        <f t="shared" si="839"/>
        <v>0.6999999999999994</v>
      </c>
      <c r="Q732" s="16">
        <f t="shared" si="839"/>
        <v>0.69999999999999907</v>
      </c>
      <c r="S732" s="3"/>
    </row>
    <row r="733" spans="2:19" x14ac:dyDescent="0.5">
      <c r="B733" s="5" t="str">
        <f t="shared" si="836"/>
        <v>SPS1</v>
      </c>
      <c r="C733" s="5" t="str">
        <f t="shared" si="833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42">IFERROR(G720/G728,"-")</f>
        <v>-</v>
      </c>
      <c r="H733" s="16" t="str">
        <f t="shared" si="842"/>
        <v>-</v>
      </c>
      <c r="I733" s="16" t="str">
        <f t="shared" si="842"/>
        <v>-</v>
      </c>
      <c r="J733" s="16" t="str">
        <f t="shared" si="842"/>
        <v>-</v>
      </c>
      <c r="K733" s="16">
        <f t="shared" si="842"/>
        <v>0.45958997858999195</v>
      </c>
      <c r="L733" s="16">
        <f t="shared" ref="L733:O733" si="843">IFERROR(L720/L728,"-")</f>
        <v>0.46034930823801323</v>
      </c>
      <c r="M733" s="16" t="str">
        <f t="shared" si="843"/>
        <v>-</v>
      </c>
      <c r="N733" s="16">
        <f t="shared" si="843"/>
        <v>0.58000000000000029</v>
      </c>
      <c r="O733" s="16">
        <f t="shared" si="843"/>
        <v>0.5800804462932988</v>
      </c>
      <c r="P733" s="16">
        <f t="shared" si="839"/>
        <v>0.58024521638613902</v>
      </c>
      <c r="Q733" s="16">
        <f t="shared" si="839"/>
        <v>0.58002869920098898</v>
      </c>
      <c r="S733" s="3"/>
    </row>
    <row r="734" spans="2:19" x14ac:dyDescent="0.5">
      <c r="B734" s="5" t="str">
        <f t="shared" si="836"/>
        <v>SPS1</v>
      </c>
      <c r="C734" s="5" t="str">
        <f t="shared" si="833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44">G735</f>
        <v>0</v>
      </c>
      <c r="H734" s="17">
        <f t="shared" ref="H734" si="845">H735</f>
        <v>0</v>
      </c>
      <c r="I734" s="17">
        <f t="shared" ref="I734" si="846">I735</f>
        <v>0</v>
      </c>
      <c r="J734" s="17">
        <f t="shared" ref="J734" si="847">J735</f>
        <v>0</v>
      </c>
      <c r="K734" s="17">
        <f t="shared" ref="K734:O734" si="848">K735</f>
        <v>2.0996011201929878E-2</v>
      </c>
      <c r="L734" s="17">
        <f t="shared" si="848"/>
        <v>1.2092487539588141E-2</v>
      </c>
      <c r="M734" s="17">
        <f t="shared" si="848"/>
        <v>2.7973648227788091E-2</v>
      </c>
      <c r="N734" s="17">
        <f t="shared" si="848"/>
        <v>7.668348228902451E-2</v>
      </c>
      <c r="O734" s="17">
        <f t="shared" si="848"/>
        <v>0.14157866237468528</v>
      </c>
      <c r="P734" s="17">
        <f>P735</f>
        <v>0.1641324754785625</v>
      </c>
      <c r="Q734" s="17">
        <f>Q735</f>
        <v>0.1642440625293497</v>
      </c>
      <c r="S734" s="3"/>
    </row>
    <row r="735" spans="2:19" x14ac:dyDescent="0.5">
      <c r="B735" s="5" t="str">
        <f t="shared" si="836"/>
        <v>SPS1</v>
      </c>
      <c r="C735" s="5" t="str">
        <f t="shared" si="833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49">SUM(G739,G741)</f>
        <v>0</v>
      </c>
      <c r="H735" s="18">
        <f t="shared" ref="H735" si="850">SUM(H739,H741)</f>
        <v>0</v>
      </c>
      <c r="I735" s="18">
        <f t="shared" ref="I735" si="851">SUM(I739,I741)</f>
        <v>0</v>
      </c>
      <c r="J735" s="18">
        <f t="shared" ref="J735" si="852">SUM(J739,J741)</f>
        <v>0</v>
      </c>
      <c r="K735" s="18">
        <f t="shared" ref="K735" si="853">SUM(K739,K741)</f>
        <v>2.0996011201929878E-2</v>
      </c>
      <c r="L735" s="18">
        <f t="shared" ref="L735:O735" si="854">SUM(L739,L741)</f>
        <v>1.2092487539588141E-2</v>
      </c>
      <c r="M735" s="18">
        <f t="shared" si="854"/>
        <v>2.7973648227788091E-2</v>
      </c>
      <c r="N735" s="18">
        <f t="shared" si="854"/>
        <v>7.668348228902451E-2</v>
      </c>
      <c r="O735" s="18">
        <f t="shared" si="854"/>
        <v>0.14157866237468528</v>
      </c>
      <c r="P735" s="18">
        <f>SUM(P739,P741)</f>
        <v>0.1641324754785625</v>
      </c>
      <c r="Q735" s="18">
        <f>SUM(Q739,Q741)</f>
        <v>0.1642440625293497</v>
      </c>
      <c r="S735" s="3"/>
    </row>
    <row r="736" spans="2:19" x14ac:dyDescent="0.5">
      <c r="B736" s="5" t="str">
        <f t="shared" ref="B736:C738" si="855">B735</f>
        <v>SPS1</v>
      </c>
      <c r="C736" s="5" t="str">
        <f t="shared" si="855"/>
        <v>CH</v>
      </c>
      <c r="D736" t="s">
        <v>445</v>
      </c>
      <c r="E736" s="5" t="s">
        <v>442</v>
      </c>
      <c r="F736" s="18" cm="1">
        <f t="array" ref="F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#REF!)/SUMPRODUCT(("Var_fout"=[1]OUT_CO2util!$B$3:$B$1000)*1,("CO2_O"=[1]OUT_CO2util!$A$3:$A$1000)*1,[1]OUT_CO2util!#REF!)*F735,0)</f>
        <v>0</v>
      </c>
      <c r="G736" s="18" cm="1">
        <f t="array" ref="G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A$3:A$1000)/SUMPRODUCT(("Var_fout"=[1]OUT_CO2util!$B$3:$B$1000)*1,("CO2_O"=[1]OUT_CO2util!$A$3:$A$1000)*1,[1]OUT_CO2util!A$3:A$1000)*G735,0)</f>
        <v>0</v>
      </c>
      <c r="H736" s="18" cm="1">
        <f t="array" ref="H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B$3:B$1000)/SUMPRODUCT(("Var_fout"=[1]OUT_CO2util!$B$3:$B$1000)*1,("CO2_O"=[1]OUT_CO2util!$A$3:$A$1000)*1,[1]OUT_CO2util!B$3:B$1000)*H735,0)</f>
        <v>0</v>
      </c>
      <c r="I736" s="18" cm="1">
        <f t="array" ref="I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C$3:C$1000)/SUMPRODUCT(("Var_fout"=[1]OUT_CO2util!$B$3:$B$1000)*1,("CO2_O"=[1]OUT_CO2util!$A$3:$A$1000)*1,[1]OUT_CO2util!C$3:C$1000)*I735,0)</f>
        <v>0</v>
      </c>
      <c r="J736" s="18" cm="1">
        <f t="array" ref="J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 cm="1">
        <f t="array" ref="K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1.3560578675856222E-2</v>
      </c>
      <c r="L736" s="18" cm="1">
        <f t="array" ref="L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8.8235815619871084E-3</v>
      </c>
      <c r="M736" s="18" cm="1">
        <f t="array" ref="M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G$3:G$1000)/SUMPRODUCT(("Var_fout"=[1]OUT_CO2util!$B$3:$B$1000)*1,("CO2_O"=[1]OUT_CO2util!$A$3:$A$1000)*1,[1]OUT_CO2util!G$3:G$1000)*M735,0)</f>
        <v>1.9840391300949337E-2</v>
      </c>
      <c r="N736" s="18" cm="1">
        <f t="array" ref="N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H$3:H$1000)/SUMPRODUCT(("Var_fout"=[1]OUT_CO2util!$B$3:$B$1000)*1,("CO2_O"=[1]OUT_CO2util!$A$3:$A$1000)*1,[1]OUT_CO2util!H$3:H$1000)*N735,0)</f>
        <v>4.6926082934411389E-2</v>
      </c>
      <c r="O736" s="18" cm="1">
        <f t="array" ref="O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I$3:I$1000)/SUMPRODUCT(("Var_fout"=[1]OUT_CO2util!$B$3:$B$1000)*1,("CO2_O"=[1]OUT_CO2util!$A$3:$A$1000)*1,[1]OUT_CO2util!I$3:I$1000)*O735,0)</f>
        <v>8.0482101257798075E-2</v>
      </c>
      <c r="P736" s="18" cm="1">
        <f t="array" ref="P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J$3:J$1000)/SUMPRODUCT(("Var_fout"=[1]OUT_CO2util!$B$3:$B$1000)*1,("CO2_O"=[1]OUT_CO2util!$A$3:$A$1000)*1,[1]OUT_CO2util!J$3:J$1000)*P735,0)</f>
        <v>8.6825145549309007E-2</v>
      </c>
      <c r="Q736" s="18" cm="1">
        <f t="array" ref="Q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K$3:K$1000)/SUMPRODUCT(("Var_fout"=[1]OUT_CO2util!$B$3:$B$1000)*1,("CO2_O"=[1]OUT_CO2util!$A$3:$A$1000)*1,[1]OUT_CO2util!K$3:K$1000)*Q735,0)</f>
        <v>0</v>
      </c>
      <c r="S736" s="3"/>
    </row>
    <row r="737" spans="2:19" x14ac:dyDescent="0.5">
      <c r="B737" s="5" t="str">
        <f t="shared" si="855"/>
        <v>SPS1</v>
      </c>
      <c r="C737" s="5" t="str">
        <f t="shared" si="85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7.4354018074102119E-3</v>
      </c>
      <c r="L737" s="18">
        <f t="shared" ref="L737:O737" si="856">L735-L736-L738</f>
        <v>3.0862154711905451E-3</v>
      </c>
      <c r="M737" s="18">
        <f t="shared" si="856"/>
        <v>6.8689931660212032E-3</v>
      </c>
      <c r="N737" s="18">
        <f t="shared" si="856"/>
        <v>1.6138973336492189E-2</v>
      </c>
      <c r="O737" s="18">
        <f t="shared" si="856"/>
        <v>2.7331965970461725E-2</v>
      </c>
      <c r="P737" s="18">
        <f>P735-P736-P738</f>
        <v>2.9389192384510175E-2</v>
      </c>
      <c r="Q737" s="18">
        <f>Q735-Q736-Q738</f>
        <v>0.1642440625293497</v>
      </c>
      <c r="S737" s="3"/>
    </row>
    <row r="738" spans="2:19" x14ac:dyDescent="0.5">
      <c r="B738" s="5" t="str">
        <f t="shared" si="855"/>
        <v>SPS1</v>
      </c>
      <c r="C738" s="5" t="str">
        <f t="shared" si="85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IF(SUMPRODUCT(("Var_fout"=[1]OUT_CO2util!$B$3:$B$1000)*1,("CO2_O"=[1]OUT_CO2util!$A$3:$A$1000)*1,[1]OUT_CO2util!D$3:D$1000)*J735=0,0,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735)</f>
        <v>0</v>
      </c>
      <c r="K738" s="18" cm="1">
        <f t="array" ref="K738">IF(SUMPRODUCT(("Var_fout"=[1]OUT_CO2util!$B$3:$B$1000)*1,("CO2_O"=[1]OUT_CO2util!$A$3:$A$1000)*1,[1]OUT_CO2util!E$3:E$1000)*K735=0,0,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735)</f>
        <v>3.071866344381906E-8</v>
      </c>
      <c r="L738" s="18" cm="1">
        <f t="array" ref="L738">IF(SUMPRODUCT(("Var_fout"=[1]OUT_CO2util!$B$3:$B$1000)*1,("CO2_O"=[1]OUT_CO2util!$A$3:$A$1000)*1,[1]OUT_CO2util!F$3:F$1000)*L735=0,0,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735)</f>
        <v>1.8269050641048687E-4</v>
      </c>
      <c r="M738" s="18" cm="1">
        <f t="array" ref="M738">IF(SUMPRODUCT(("Var_fout"=[1]OUT_CO2util!$B$3:$B$1000)*1,("CO2_O"=[1]OUT_CO2util!$A$3:$A$1000)*1,[1]OUT_CO2util!G$3:G$1000)*M735=0,0,SUMPRODUCT(("SUP_DAC"=[1]OUT_CO2util!$C$3:$C$1000)*1,("Var_fout"=[1]OUT_CO2util!$B$3:$B$1000)*1,("CO2_O"=[1]OUT_CO2util!$A$3:$A$1000)*1,[1]OUT_CO2util!G$3:G$1000)/SUMPRODUCT(("Var_fout"=[1]OUT_CO2util!$B$3:$B$1000)*1,("CO2_O"=[1]OUT_CO2util!$A$3:$A$1000)*1,[1]OUT_CO2util!G$3:G$1000)*M735)</f>
        <v>1.2642637608175505E-3</v>
      </c>
      <c r="N738" s="18" cm="1">
        <f t="array" ref="N738">IF(SUMPRODUCT(("Var_fout"=[1]OUT_CO2util!$B$3:$B$1000)*1,("CO2_O"=[1]OUT_CO2util!$A$3:$A$1000)*1,[1]OUT_CO2util!H$3:H$1000)*N735=0,0,SUMPRODUCT(("SUP_DAC"=[1]OUT_CO2util!$C$3:$C$1000)*1,("Var_fout"=[1]OUT_CO2util!$B$3:$B$1000)*1,("CO2_O"=[1]OUT_CO2util!$A$3:$A$1000)*1,[1]OUT_CO2util!H$3:H$1000)/SUMPRODUCT(("Var_fout"=[1]OUT_CO2util!$B$3:$B$1000)*1,("CO2_O"=[1]OUT_CO2util!$A$3:$A$1000)*1,[1]OUT_CO2util!H$3:H$1000)*N735)</f>
        <v>1.361842601812093E-2</v>
      </c>
      <c r="O738" s="18" cm="1">
        <f t="array" ref="O738">IF(SUMPRODUCT(("Var_fout"=[1]OUT_CO2util!$B$3:$B$1000)*1,("CO2_O"=[1]OUT_CO2util!$A$3:$A$1000)*1,[1]OUT_CO2util!I$3:I$1000)*O735=0,0,SUMPRODUCT(("SUP_DAC"=[1]OUT_CO2util!$C$3:$C$1000)*1,("Var_fout"=[1]OUT_CO2util!$B$3:$B$1000)*1,("CO2_O"=[1]OUT_CO2util!$A$3:$A$1000)*1,[1]OUT_CO2util!I$3:I$1000)/SUMPRODUCT(("Var_fout"=[1]OUT_CO2util!$B$3:$B$1000)*1,("CO2_O"=[1]OUT_CO2util!$A$3:$A$1000)*1,[1]OUT_CO2util!I$3:I$1000)*O735)</f>
        <v>3.3764595146425477E-2</v>
      </c>
      <c r="P738" s="18" cm="1">
        <f t="array" ref="P738">IF(SUMPRODUCT(("Var_fout"=[1]OUT_CO2util!$B$3:$B$1000)*1,("CO2_O"=[1]OUT_CO2util!$A$3:$A$1000)*1,[1]OUT_CO2util!J$3:J$1000)*P735=0,0,SUMPRODUCT(("SUP_DAC"=[1]OUT_CO2util!$C$3:$C$1000)*1,("Var_fout"=[1]OUT_CO2util!$B$3:$B$1000)*1,("CO2_O"=[1]OUT_CO2util!$A$3:$A$1000)*1,[1]OUT_CO2util!J$3:J$1000)/SUMPRODUCT(("Var_fout"=[1]OUT_CO2util!$B$3:$B$1000)*1,("CO2_O"=[1]OUT_CO2util!$A$3:$A$1000)*1,[1]OUT_CO2util!J$3:J$1000)*P735)</f>
        <v>4.7918137544743312E-2</v>
      </c>
      <c r="Q738" s="18" cm="1">
        <f t="array" ref="Q738">IF(SUMPRODUCT(("Var_fout"=[1]OUT_CO2util!$B$3:$B$1000)*1,("CO2_O"=[1]OUT_CO2util!$A$3:$A$1000)*1,[1]OUT_CO2util!K$3:K$1000)*Q735=0,0,SUMPRODUCT(("SUP_DAC"=[1]OUT_CO2util!$C$3:$C$1000)*1,("Var_fout"=[1]OUT_CO2util!$B$3:$B$1000)*1,("CO2_O"=[1]OUT_CO2util!$A$3:$A$1000)*1,[1]OUT_CO2util!K$3:K$1000)/SUMPRODUCT(("Var_fout"=[1]OUT_CO2util!$B$3:$B$1000)*1,("CO2_O"=[1]OUT_CO2util!$A$3:$A$1000)*1,[1]OUT_CO2util!K$3:K$1000)*Q735)</f>
        <v>0</v>
      </c>
      <c r="S738" s="3"/>
    </row>
    <row r="739" spans="2:19" x14ac:dyDescent="0.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57">G740</f>
        <v>0</v>
      </c>
      <c r="H739" s="18">
        <f t="shared" ref="H739" si="858">H740</f>
        <v>0</v>
      </c>
      <c r="I739" s="18">
        <f t="shared" ref="I739" si="859">I740</f>
        <v>0</v>
      </c>
      <c r="J739" s="18">
        <f t="shared" ref="J739" si="860">J740</f>
        <v>0</v>
      </c>
      <c r="K739" s="18">
        <f t="shared" ref="K739:O739" si="861">K740</f>
        <v>3.229781190175887E-5</v>
      </c>
      <c r="L739" s="18">
        <f t="shared" si="861"/>
        <v>1.4368938819584505E-5</v>
      </c>
      <c r="M739" s="18">
        <f t="shared" si="861"/>
        <v>2.0575219925096427E-3</v>
      </c>
      <c r="N739" s="18">
        <f t="shared" si="861"/>
        <v>7.1721452293831478E-2</v>
      </c>
      <c r="O739" s="18">
        <f t="shared" si="861"/>
        <v>0.13345514469501518</v>
      </c>
      <c r="P739" s="18">
        <f>P740</f>
        <v>0.15672464481643647</v>
      </c>
      <c r="Q739" s="18">
        <f>Q740</f>
        <v>0.15781326171503018</v>
      </c>
      <c r="S739" s="3"/>
    </row>
    <row r="740" spans="2:19" x14ac:dyDescent="0.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3.229781190175887E-5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1.4368938819584505E-5</v>
      </c>
      <c r="M740" s="10" cm="1">
        <f t="array" ref="M740">SUMPRODUCT(("SUP_H2NGA"=[1]OUT_SyntheticFuels!$C$4:$C$1000)*1,("CO2_M"=[1]OUT_SyntheticFuels!$A$4:$A$1000)*1,("Var_Fin"=[1]OUT_SyntheticFuels!$B$4:$B$1000)*1,[1]OUT_SyntheticFuels!L$4:L$1000)/1000</f>
        <v>2.0575219925096427E-3</v>
      </c>
      <c r="N740" s="10" cm="1">
        <f t="array" ref="N740">SUMPRODUCT(("SUP_H2NGA"=[1]OUT_SyntheticFuels!$C$4:$C$1000)*1,("CO2_M"=[1]OUT_SyntheticFuels!$A$4:$A$1000)*1,("Var_Fin"=[1]OUT_SyntheticFuels!$B$4:$B$1000)*1,[1]OUT_SyntheticFuels!M$4:M$1000)/1000</f>
        <v>7.1721452293831478E-2</v>
      </c>
      <c r="O740" s="10" cm="1">
        <f t="array" ref="O740">SUMPRODUCT(("SUP_H2NGA"=[1]OUT_SyntheticFuels!$C$4:$C$1000)*1,("CO2_M"=[1]OUT_SyntheticFuels!$A$4:$A$1000)*1,("Var_Fin"=[1]OUT_SyntheticFuels!$B$4:$B$1000)*1,[1]OUT_SyntheticFuels!N$4:N$1000)/1000</f>
        <v>0.13345514469501518</v>
      </c>
      <c r="P740" s="10" cm="1">
        <f t="array" ref="P740">SUMPRODUCT(("SUP_H2NGA"=[1]OUT_SyntheticFuels!$C$4:$C$1000)*1,("CO2_M"=[1]OUT_SyntheticFuels!$A$4:$A$1000)*1,("Var_Fin"=[1]OUT_SyntheticFuels!$B$4:$B$1000)*1,[1]OUT_SyntheticFuels!O$4:O$1000)/1000</f>
        <v>0.15672464481643647</v>
      </c>
      <c r="Q740" s="10" cm="1">
        <f t="array" ref="Q740">SUMPRODUCT(("SUP_H2NGA"=[1]OUT_SyntheticFuels!$C$4:$C$1000)*1,("CO2_M"=[1]OUT_SyntheticFuels!$A$4:$A$1000)*1,("Var_Fin"=[1]OUT_SyntheticFuels!$B$4:$B$1000)*1,[1]OUT_SyntheticFuels!P$4:P$1000)/1000</f>
        <v>0.15781326171503018</v>
      </c>
      <c r="S740" s="3"/>
    </row>
    <row r="741" spans="2:19" x14ac:dyDescent="0.5">
      <c r="B741" s="5" t="str">
        <f t="shared" ref="B741:B744" si="862">B740</f>
        <v>SPS1</v>
      </c>
      <c r="C741" s="5" t="str">
        <f t="shared" ref="C741:C744" si="863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64">SUM(G742:G744)</f>
        <v>0</v>
      </c>
      <c r="H741" s="18">
        <f t="shared" ref="H741" si="865">SUM(H742:H744)</f>
        <v>0</v>
      </c>
      <c r="I741" s="18">
        <f t="shared" ref="I741" si="866">SUM(I742:I744)</f>
        <v>0</v>
      </c>
      <c r="J741" s="18">
        <f t="shared" ref="J741" si="867">SUM(J742:J744)</f>
        <v>0</v>
      </c>
      <c r="K741" s="18">
        <f t="shared" ref="K741" si="868">SUM(K742:K744)</f>
        <v>2.0963713390028119E-2</v>
      </c>
      <c r="L741" s="18">
        <f t="shared" ref="L741:O741" si="869">SUM(L742:L744)</f>
        <v>1.2078118600768555E-2</v>
      </c>
      <c r="M741" s="18">
        <f t="shared" si="869"/>
        <v>2.5916126235278447E-2</v>
      </c>
      <c r="N741" s="18">
        <f t="shared" si="869"/>
        <v>4.9620299951930276E-3</v>
      </c>
      <c r="O741" s="18">
        <f t="shared" si="869"/>
        <v>8.1235176796700843E-3</v>
      </c>
      <c r="P741" s="18">
        <f>SUM(P742:P744)</f>
        <v>7.4078306621260326E-3</v>
      </c>
      <c r="Q741" s="18">
        <f>SUM(Q742:Q744)</f>
        <v>6.4308008143195185E-3</v>
      </c>
      <c r="S741" s="3"/>
    </row>
    <row r="742" spans="2:19" x14ac:dyDescent="0.5">
      <c r="B742" s="5" t="str">
        <f t="shared" si="862"/>
        <v>SPS1</v>
      </c>
      <c r="C742" s="5" t="str">
        <f t="shared" si="863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2.4536188483473986E-4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1.2626865762235587E-4</v>
      </c>
      <c r="M742" s="10" cm="1">
        <f t="array" ref="M742">SUMPRODUCT(("SUP_H2DSL"=[1]OUT_SyntheticFuels!$C$4:$C$1000)*1,("co2_m"=[1]OUT_SyntheticFuels!$A$4:$A$1000)*1,("Var_Fin"=[1]OUT_SyntheticFuels!$B$4:$B$1000)*1,[1]OUT_SyntheticFuels!L$4:L$1000)*IFERROR(M718/SUM(M718,M720),0)/1000</f>
        <v>3.1458020312382936E-5</v>
      </c>
      <c r="N742" s="10" cm="1">
        <f t="array" ref="N742">SUMPRODUCT(("SUP_H2DSL"=[1]OUT_SyntheticFuels!$C$4:$C$1000)*1,("co2_m"=[1]OUT_SyntheticFuels!$A$4:$A$1000)*1,("Var_Fin"=[1]OUT_SyntheticFuels!$B$4:$B$1000)*1,[1]OUT_SyntheticFuels!M$4:M$1000)*IFERROR(N718/SUM(N718,N720),0)/1000</f>
        <v>4.3283442497211878E-5</v>
      </c>
      <c r="O742" s="10" cm="1">
        <f t="array" ref="O742">SUMPRODUCT(("SUP_H2DSL"=[1]OUT_SyntheticFuels!$C$4:$C$1000)*1,("co2_m"=[1]OUT_SyntheticFuels!$A$4:$A$1000)*1,("Var_Fin"=[1]OUT_SyntheticFuels!$B$4:$B$1000)*1,[1]OUT_SyntheticFuels!N$4:N$1000)*IFERROR(O718/SUM(O718,O720),0)/1000</f>
        <v>8.521650067854511E-5</v>
      </c>
      <c r="P742" s="10" cm="1">
        <f t="array" ref="P742">SUMPRODUCT(("SUP_H2DSL"=[1]OUT_SyntheticFuels!$C$4:$C$1000)*1,("co2_m"=[1]OUT_SyntheticFuels!$A$4:$A$1000)*1,("Var_Fin"=[1]OUT_SyntheticFuels!$B$4:$B$1000)*1,[1]OUT_SyntheticFuels!O$4:O$1000)*IFERROR(P718/SUM(P718,P720),0)/1000</f>
        <v>6.1299749136614298E-5</v>
      </c>
      <c r="Q742" s="10" cm="1">
        <f t="array" ref="Q742">SUMPRODUCT(("SUP_H2DSL"=[1]OUT_SyntheticFuels!$C$4:$C$1000)*1,("co2_m"=[1]OUT_SyntheticFuels!$A$4:$A$1000)*1,("Var_Fin"=[1]OUT_SyntheticFuels!$B$4:$B$1000)*1,[1]OUT_SyntheticFuels!P$4:P$1000)*IFERROR(Q718/SUM(Q718,Q720),0)/1000</f>
        <v>1.3710762832259583E-4</v>
      </c>
      <c r="S742" s="3"/>
    </row>
    <row r="743" spans="2:19" x14ac:dyDescent="0.5">
      <c r="B743" s="5" t="str">
        <f t="shared" si="862"/>
        <v>SPS1</v>
      </c>
      <c r="C743" s="5" t="str">
        <f t="shared" si="863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2.0686723825180626E-2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1.193534188763325E-2</v>
      </c>
      <c r="M743" s="10" cm="1">
        <f t="array" ref="M743">SUMPRODUCT(("SUP_H2GSL"=[1]OUT_SyntheticFuels!$C$4:$C$1000)*1,("co2_m"=[1]OUT_SyntheticFuels!$A$4:$A$1000)*1,("Var_Fin"=[1]OUT_SyntheticFuels!$B$4:$B$1000)*1,[1]OUT_SyntheticFuels!L$4:L$1000)/1000</f>
        <v>2.5884668214966065E-2</v>
      </c>
      <c r="N743" s="10" cm="1">
        <f t="array" ref="N743">SUMPRODUCT(("SUP_H2GSL"=[1]OUT_SyntheticFuels!$C$4:$C$1000)*1,("co2_m"=[1]OUT_SyntheticFuels!$A$4:$A$1000)*1,("Var_Fin"=[1]OUT_SyntheticFuels!$B$4:$B$1000)*1,[1]OUT_SyntheticFuels!M$4:M$1000)/1000</f>
        <v>4.9134900345239544E-3</v>
      </c>
      <c r="O743" s="10" cm="1">
        <f t="array" ref="O743">SUMPRODUCT(("SUP_H2GSL"=[1]OUT_SyntheticFuels!$C$4:$C$1000)*1,("co2_m"=[1]OUT_SyntheticFuels!$A$4:$A$1000)*1,("Var_Fin"=[1]OUT_SyntheticFuels!$B$4:$B$1000)*1,[1]OUT_SyntheticFuels!N$4:N$1000)/1000</f>
        <v>8.0270713820588362E-3</v>
      </c>
      <c r="P743" s="10" cm="1">
        <f t="array" ref="P743">SUMPRODUCT(("SUP_H2GSL"=[1]OUT_SyntheticFuels!$C$4:$C$1000)*1,("co2_m"=[1]OUT_SyntheticFuels!$A$4:$A$1000)*1,("Var_Fin"=[1]OUT_SyntheticFuels!$B$4:$B$1000)*1,[1]OUT_SyntheticFuels!O$4:O$1000)/1000</f>
        <v>7.3384924992522934E-3</v>
      </c>
      <c r="Q743" s="10" cm="1">
        <f t="array" ref="Q743">SUMPRODUCT(("SUP_H2GSL"=[1]OUT_SyntheticFuels!$C$4:$C$1000)*1,("co2_m"=[1]OUT_SyntheticFuels!$A$4:$A$1000)*1,("Var_Fin"=[1]OUT_SyntheticFuels!$B$4:$B$1000)*1,[1]OUT_SyntheticFuels!P$4:P$1000)/1000</f>
        <v>6.2764678618216869E-3</v>
      </c>
      <c r="S743" s="3"/>
    </row>
    <row r="744" spans="2:19" x14ac:dyDescent="0.5">
      <c r="B744" s="5" t="str">
        <f t="shared" si="862"/>
        <v>SPS1</v>
      </c>
      <c r="C744" s="5" t="str">
        <f t="shared" si="863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3.1627680012754819E-5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1.6508055512949067E-5</v>
      </c>
      <c r="M744" s="10" cm="1">
        <f t="array" ref="M744">SUMPRODUCT(("SUP_H2DSL"=[1]OUT_SyntheticFuels!$C$4:$C$1000)*1,("co2_m"=[1]OUT_SyntheticFuels!$A$4:$A$1000)*1,("Var_Fin"=[1]OUT_SyntheticFuels!$B$4:$B$1000)*1,[1]OUT_SyntheticFuels!L$4:L$1000)/1000-M742</f>
        <v>0</v>
      </c>
      <c r="N744" s="10" cm="1">
        <f t="array" ref="N744">SUMPRODUCT(("SUP_H2DSL"=[1]OUT_SyntheticFuels!$C$4:$C$1000)*1,("co2_m"=[1]OUT_SyntheticFuels!$A$4:$A$1000)*1,("Var_Fin"=[1]OUT_SyntheticFuels!$B$4:$B$1000)*1,[1]OUT_SyntheticFuels!M$4:M$1000)/1000-N742</f>
        <v>5.2565181718614557E-6</v>
      </c>
      <c r="O744" s="10" cm="1">
        <f t="array" ref="O744">SUMPRODUCT(("SUP_H2DSL"=[1]OUT_SyntheticFuels!$C$4:$C$1000)*1,("co2_m"=[1]OUT_SyntheticFuels!$A$4:$A$1000)*1,("Var_Fin"=[1]OUT_SyntheticFuels!$B$4:$B$1000)*1,[1]OUT_SyntheticFuels!N$4:N$1000)/1000-O742</f>
        <v>1.1229796932704368E-5</v>
      </c>
      <c r="P744" s="10" cm="1">
        <f t="array" ref="P744">SUMPRODUCT(("SUP_H2DSL"=[1]OUT_SyntheticFuels!$C$4:$C$1000)*1,("co2_m"=[1]OUT_SyntheticFuels!$A$4:$A$1000)*1,("Var_Fin"=[1]OUT_SyntheticFuels!$B$4:$B$1000)*1,[1]OUT_SyntheticFuels!O$4:O$1000)/1000-P742</f>
        <v>8.0384137371247402E-6</v>
      </c>
      <c r="Q744" s="10" cm="1">
        <f t="array" ref="Q744">SUMPRODUCT(("SUP_H2DSL"=[1]OUT_SyntheticFuels!$C$4:$C$1000)*1,("co2_m"=[1]OUT_SyntheticFuels!$A$4:$A$1000)*1,("Var_Fin"=[1]OUT_SyntheticFuels!$B$4:$B$1000)*1,[1]OUT_SyntheticFuels!P$4:P$1000)/1000-Q742</f>
        <v>1.7225324175235157E-5</v>
      </c>
      <c r="S744" s="3"/>
    </row>
    <row r="745" spans="2:19" x14ac:dyDescent="0.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70">IFERROR(G$736/G$735,0)*G739</f>
        <v>0</v>
      </c>
      <c r="H745" s="18">
        <f t="shared" si="870"/>
        <v>0</v>
      </c>
      <c r="I745" s="18">
        <f t="shared" si="870"/>
        <v>0</v>
      </c>
      <c r="J745" s="18">
        <f t="shared" si="870"/>
        <v>0</v>
      </c>
      <c r="K745" s="18">
        <f t="shared" si="870"/>
        <v>2.0860010748686843E-5</v>
      </c>
      <c r="L745" s="18">
        <f t="shared" ref="L745:O745" si="871">IFERROR(L$736/L$735,0)*L739</f>
        <v>1.0484650343342413E-5</v>
      </c>
      <c r="M745" s="18">
        <f t="shared" si="871"/>
        <v>1.4593034526382944E-3</v>
      </c>
      <c r="N745" s="18">
        <f t="shared" si="871"/>
        <v>4.3889592883009636E-2</v>
      </c>
      <c r="O745" s="18">
        <f t="shared" si="871"/>
        <v>7.5864189480001662E-2</v>
      </c>
      <c r="P745" s="18">
        <f t="shared" ref="P745:Q750" si="872">IFERROR(P$736/P$735,0)*P739</f>
        <v>8.2906445282537405E-2</v>
      </c>
      <c r="Q745" s="18">
        <f t="shared" si="872"/>
        <v>0</v>
      </c>
      <c r="S745" s="3"/>
    </row>
    <row r="746" spans="2:19" x14ac:dyDescent="0.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73">IFERROR(F$736/F$735,0)*F740</f>
        <v>0</v>
      </c>
      <c r="G746" s="18">
        <f t="shared" si="873"/>
        <v>0</v>
      </c>
      <c r="H746" s="18">
        <f t="shared" si="873"/>
        <v>0</v>
      </c>
      <c r="I746" s="18">
        <f t="shared" si="873"/>
        <v>0</v>
      </c>
      <c r="J746" s="18">
        <f t="shared" si="873"/>
        <v>0</v>
      </c>
      <c r="K746" s="18">
        <f t="shared" si="873"/>
        <v>2.0860010748686843E-5</v>
      </c>
      <c r="L746" s="18">
        <f t="shared" ref="L746:O746" si="874">IFERROR(L$736/L$735,0)*L740</f>
        <v>1.0484650343342413E-5</v>
      </c>
      <c r="M746" s="18">
        <f t="shared" si="874"/>
        <v>1.4593034526382944E-3</v>
      </c>
      <c r="N746" s="18">
        <f t="shared" si="874"/>
        <v>4.3889592883009636E-2</v>
      </c>
      <c r="O746" s="18">
        <f t="shared" si="874"/>
        <v>7.5864189480001662E-2</v>
      </c>
      <c r="P746" s="18">
        <f t="shared" si="872"/>
        <v>8.2906445282537405E-2</v>
      </c>
      <c r="Q746" s="18">
        <f t="shared" si="872"/>
        <v>0</v>
      </c>
      <c r="S746" s="3"/>
    </row>
    <row r="747" spans="2:19" x14ac:dyDescent="0.5">
      <c r="B747" s="5" t="str">
        <f t="shared" ref="B747:B750" si="875">B746</f>
        <v>SPS1</v>
      </c>
      <c r="C747" s="5" t="str">
        <f t="shared" ref="C747:C750" si="876">C746</f>
        <v>CH</v>
      </c>
      <c r="D747" t="s">
        <v>934</v>
      </c>
      <c r="E747" s="5" t="s">
        <v>442</v>
      </c>
      <c r="F747" s="18">
        <f t="shared" ref="F747:K747" si="877">IFERROR(F$736/F$735,0)*F741</f>
        <v>0</v>
      </c>
      <c r="G747" s="18">
        <f t="shared" si="877"/>
        <v>0</v>
      </c>
      <c r="H747" s="18">
        <f t="shared" si="877"/>
        <v>0</v>
      </c>
      <c r="I747" s="18">
        <f t="shared" si="877"/>
        <v>0</v>
      </c>
      <c r="J747" s="18">
        <f t="shared" si="877"/>
        <v>0</v>
      </c>
      <c r="K747" s="18">
        <f t="shared" si="877"/>
        <v>1.3539718665107536E-2</v>
      </c>
      <c r="L747" s="18">
        <f t="shared" ref="L747:O747" si="878">IFERROR(L$736/L$735,0)*L741</f>
        <v>8.8130969116437651E-3</v>
      </c>
      <c r="M747" s="18">
        <f t="shared" si="878"/>
        <v>1.8381087848311044E-2</v>
      </c>
      <c r="N747" s="18">
        <f t="shared" si="878"/>
        <v>3.0364900514017463E-3</v>
      </c>
      <c r="O747" s="18">
        <f t="shared" si="878"/>
        <v>4.6179117777964103E-3</v>
      </c>
      <c r="P747" s="18">
        <f t="shared" si="872"/>
        <v>3.9187002667716063E-3</v>
      </c>
      <c r="Q747" s="18">
        <f t="shared" si="872"/>
        <v>0</v>
      </c>
      <c r="S747" s="3"/>
    </row>
    <row r="748" spans="2:19" x14ac:dyDescent="0.5">
      <c r="B748" s="5" t="str">
        <f t="shared" si="875"/>
        <v>SPS1</v>
      </c>
      <c r="C748" s="5" t="str">
        <f t="shared" si="876"/>
        <v>CH</v>
      </c>
      <c r="D748" t="s">
        <v>457</v>
      </c>
      <c r="E748" s="5" t="s">
        <v>442</v>
      </c>
      <c r="F748" s="18">
        <f t="shared" ref="F748:K748" si="879">IFERROR(F$736/F$735,0)*F742</f>
        <v>0</v>
      </c>
      <c r="G748" s="18">
        <f t="shared" si="879"/>
        <v>0</v>
      </c>
      <c r="H748" s="18">
        <f t="shared" si="879"/>
        <v>0</v>
      </c>
      <c r="I748" s="18">
        <f t="shared" si="879"/>
        <v>0</v>
      </c>
      <c r="J748" s="18">
        <f t="shared" si="879"/>
        <v>0</v>
      </c>
      <c r="K748" s="18">
        <f t="shared" si="879"/>
        <v>1.584705357297597E-4</v>
      </c>
      <c r="L748" s="18">
        <f t="shared" ref="L748:O748" si="880">IFERROR(L$736/L$735,0)*L742</f>
        <v>9.2135038023072373E-5</v>
      </c>
      <c r="M748" s="18">
        <f t="shared" si="880"/>
        <v>2.2311692328027871E-5</v>
      </c>
      <c r="N748" s="18">
        <f t="shared" si="880"/>
        <v>2.6487091504994156E-5</v>
      </c>
      <c r="O748" s="18">
        <f t="shared" si="880"/>
        <v>4.8442349443133258E-5</v>
      </c>
      <c r="P748" s="18">
        <f t="shared" si="872"/>
        <v>3.2427218473396051E-5</v>
      </c>
      <c r="Q748" s="18">
        <f t="shared" si="872"/>
        <v>0</v>
      </c>
      <c r="S748" s="3"/>
    </row>
    <row r="749" spans="2:19" x14ac:dyDescent="0.5">
      <c r="B749" s="5" t="str">
        <f t="shared" si="875"/>
        <v>SPS1</v>
      </c>
      <c r="C749" s="5" t="str">
        <f t="shared" si="876"/>
        <v>CH</v>
      </c>
      <c r="D749" t="s">
        <v>458</v>
      </c>
      <c r="E749" s="5" t="s">
        <v>442</v>
      </c>
      <c r="F749" s="18">
        <f t="shared" ref="F749:K749" si="881">IFERROR(F$736/F$735,0)*F743</f>
        <v>0</v>
      </c>
      <c r="G749" s="18">
        <f t="shared" si="881"/>
        <v>0</v>
      </c>
      <c r="H749" s="18">
        <f t="shared" si="881"/>
        <v>0</v>
      </c>
      <c r="I749" s="18">
        <f t="shared" si="881"/>
        <v>0</v>
      </c>
      <c r="J749" s="18">
        <f t="shared" si="881"/>
        <v>0</v>
      </c>
      <c r="K749" s="18">
        <f t="shared" si="881"/>
        <v>1.3360820933039247E-2</v>
      </c>
      <c r="L749" s="18">
        <f t="shared" ref="L749:O749" si="882">IFERROR(L$736/L$735,0)*L743</f>
        <v>8.7089163640618489E-3</v>
      </c>
      <c r="M749" s="18">
        <f t="shared" si="882"/>
        <v>1.8358776155983015E-2</v>
      </c>
      <c r="N749" s="18">
        <f t="shared" si="882"/>
        <v>3.0067862592421148E-3</v>
      </c>
      <c r="O749" s="18">
        <f t="shared" si="882"/>
        <v>4.5630857146023275E-3</v>
      </c>
      <c r="P749" s="18">
        <f t="shared" si="872"/>
        <v>3.8820207731730316E-3</v>
      </c>
      <c r="Q749" s="18">
        <f t="shared" si="872"/>
        <v>0</v>
      </c>
      <c r="S749" s="3"/>
    </row>
    <row r="750" spans="2:19" x14ac:dyDescent="0.5">
      <c r="B750" s="5" t="str">
        <f t="shared" si="875"/>
        <v>SPS1</v>
      </c>
      <c r="C750" s="5" t="str">
        <f t="shared" si="876"/>
        <v>CH</v>
      </c>
      <c r="D750" t="s">
        <v>459</v>
      </c>
      <c r="E750" s="5" t="s">
        <v>442</v>
      </c>
      <c r="F750" s="18">
        <f t="shared" ref="F750:K750" si="883">IFERROR(F$736/F$735,0)*F744</f>
        <v>0</v>
      </c>
      <c r="G750" s="18">
        <f t="shared" si="883"/>
        <v>0</v>
      </c>
      <c r="H750" s="18">
        <f t="shared" si="883"/>
        <v>0</v>
      </c>
      <c r="I750" s="18">
        <f t="shared" si="883"/>
        <v>0</v>
      </c>
      <c r="J750" s="18">
        <f t="shared" si="883"/>
        <v>0</v>
      </c>
      <c r="K750" s="18">
        <f t="shared" si="883"/>
        <v>2.0427196338528582E-5</v>
      </c>
      <c r="L750" s="18">
        <f t="shared" ref="L750:O750" si="884">IFERROR(L$736/L$735,0)*L744</f>
        <v>1.2045509558844507E-5</v>
      </c>
      <c r="M750" s="18">
        <f t="shared" si="884"/>
        <v>0</v>
      </c>
      <c r="N750" s="18">
        <f t="shared" si="884"/>
        <v>3.216700654637799E-6</v>
      </c>
      <c r="O750" s="18">
        <f t="shared" si="884"/>
        <v>6.3837137509502647E-6</v>
      </c>
      <c r="P750" s="18">
        <f t="shared" si="872"/>
        <v>4.2522751251782507E-6</v>
      </c>
      <c r="Q750" s="18">
        <f t="shared" si="872"/>
        <v>0</v>
      </c>
      <c r="S750" s="3"/>
    </row>
    <row r="751" spans="2:19" x14ac:dyDescent="0.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85">IFERROR(G$737/G$735,0)*G739</f>
        <v>0</v>
      </c>
      <c r="H751" s="18">
        <f t="shared" si="885"/>
        <v>0</v>
      </c>
      <c r="I751" s="18">
        <f t="shared" si="885"/>
        <v>0</v>
      </c>
      <c r="J751" s="18">
        <f t="shared" si="885"/>
        <v>0</v>
      </c>
      <c r="K751" s="18">
        <f t="shared" si="885"/>
        <v>1.1437753899067242E-5</v>
      </c>
      <c r="L751" s="18">
        <f t="shared" ref="L751:O751" si="886">IFERROR(L$737/L$735,0)*L739</f>
        <v>3.6672058701250878E-6</v>
      </c>
      <c r="M751" s="18">
        <f t="shared" si="886"/>
        <v>5.0522922110129737E-4</v>
      </c>
      <c r="N751" s="18">
        <f t="shared" si="886"/>
        <v>1.5094653655162892E-2</v>
      </c>
      <c r="O751" s="18">
        <f t="shared" si="886"/>
        <v>2.5763709108466627E-2</v>
      </c>
      <c r="P751" s="18">
        <f t="shared" ref="P751:Q756" si="887">IFERROR(P$737/P$735,0)*P739</f>
        <v>2.806276286563333E-2</v>
      </c>
      <c r="Q751" s="18">
        <f t="shared" si="887"/>
        <v>0.15781326171503018</v>
      </c>
      <c r="S751" s="3"/>
    </row>
    <row r="752" spans="2:19" x14ac:dyDescent="0.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88">IFERROR(F$737/F$735,0)*F740</f>
        <v>0</v>
      </c>
      <c r="G752" s="18">
        <f t="shared" si="888"/>
        <v>0</v>
      </c>
      <c r="H752" s="18">
        <f t="shared" si="888"/>
        <v>0</v>
      </c>
      <c r="I752" s="18">
        <f t="shared" si="888"/>
        <v>0</v>
      </c>
      <c r="J752" s="18">
        <f t="shared" si="888"/>
        <v>0</v>
      </c>
      <c r="K752" s="18">
        <f t="shared" si="888"/>
        <v>1.1437753899067242E-5</v>
      </c>
      <c r="L752" s="18">
        <f t="shared" ref="L752:O752" si="889">IFERROR(L$737/L$735,0)*L740</f>
        <v>3.6672058701250878E-6</v>
      </c>
      <c r="M752" s="18">
        <f t="shared" si="889"/>
        <v>5.0522922110129737E-4</v>
      </c>
      <c r="N752" s="18">
        <f t="shared" si="889"/>
        <v>1.5094653655162892E-2</v>
      </c>
      <c r="O752" s="18">
        <f t="shared" si="889"/>
        <v>2.5763709108466627E-2</v>
      </c>
      <c r="P752" s="18">
        <f t="shared" si="887"/>
        <v>2.806276286563333E-2</v>
      </c>
      <c r="Q752" s="18">
        <f t="shared" si="887"/>
        <v>0.15781326171503018</v>
      </c>
      <c r="S752" s="3"/>
    </row>
    <row r="753" spans="2:19" x14ac:dyDescent="0.5">
      <c r="B753" s="5" t="str">
        <f t="shared" ref="B753:B756" si="890">B752</f>
        <v>SPS1</v>
      </c>
      <c r="C753" s="5" t="str">
        <f t="shared" ref="C753:C756" si="891">C752</f>
        <v>CH</v>
      </c>
      <c r="D753" t="s">
        <v>936</v>
      </c>
      <c r="E753" s="5" t="s">
        <v>442</v>
      </c>
      <c r="F753" s="18">
        <f t="shared" ref="F753:K753" si="892">IFERROR(F$737/F$735,0)*F741</f>
        <v>0</v>
      </c>
      <c r="G753" s="18">
        <f t="shared" si="892"/>
        <v>0</v>
      </c>
      <c r="H753" s="18">
        <f t="shared" si="892"/>
        <v>0</v>
      </c>
      <c r="I753" s="18">
        <f t="shared" si="892"/>
        <v>0</v>
      </c>
      <c r="J753" s="18">
        <f t="shared" si="892"/>
        <v>0</v>
      </c>
      <c r="K753" s="18">
        <f t="shared" si="892"/>
        <v>7.4239640535111451E-3</v>
      </c>
      <c r="L753" s="18">
        <f t="shared" ref="L753:O753" si="893">IFERROR(L$737/L$735,0)*L741</f>
        <v>3.0825482653204198E-3</v>
      </c>
      <c r="M753" s="18">
        <f t="shared" si="893"/>
        <v>6.3637639449199059E-3</v>
      </c>
      <c r="N753" s="18">
        <f t="shared" si="893"/>
        <v>1.0443196813292952E-3</v>
      </c>
      <c r="O753" s="18">
        <f t="shared" si="893"/>
        <v>1.5682568619950947E-3</v>
      </c>
      <c r="P753" s="18">
        <f t="shared" si="887"/>
        <v>1.3264295188768458E-3</v>
      </c>
      <c r="Q753" s="18">
        <f t="shared" si="887"/>
        <v>6.4308008143195185E-3</v>
      </c>
      <c r="S753" s="3"/>
    </row>
    <row r="754" spans="2:19" x14ac:dyDescent="0.5">
      <c r="B754" s="5" t="str">
        <f t="shared" si="890"/>
        <v>SPS1</v>
      </c>
      <c r="C754" s="5" t="str">
        <f t="shared" si="891"/>
        <v>CH</v>
      </c>
      <c r="D754" t="s">
        <v>461</v>
      </c>
      <c r="E754" s="5" t="s">
        <v>442</v>
      </c>
      <c r="F754" s="18">
        <f t="shared" ref="F754:K754" si="894">IFERROR(F$737/F$735,0)*F742</f>
        <v>0</v>
      </c>
      <c r="G754" s="18">
        <f t="shared" si="894"/>
        <v>0</v>
      </c>
      <c r="H754" s="18">
        <f t="shared" si="894"/>
        <v>0</v>
      </c>
      <c r="I754" s="18">
        <f t="shared" si="894"/>
        <v>0</v>
      </c>
      <c r="J754" s="18">
        <f t="shared" si="894"/>
        <v>0</v>
      </c>
      <c r="K754" s="18">
        <f t="shared" si="894"/>
        <v>8.689099012302452E-5</v>
      </c>
      <c r="L754" s="18">
        <f t="shared" ref="L754:O754" si="895">IFERROR(L$737/L$735,0)*L742</f>
        <v>3.2225981908586629E-5</v>
      </c>
      <c r="M754" s="18">
        <f t="shared" si="895"/>
        <v>7.7245886837049383E-6</v>
      </c>
      <c r="N754" s="18">
        <f t="shared" si="895"/>
        <v>9.1095279390314931E-6</v>
      </c>
      <c r="O754" s="18">
        <f t="shared" si="895"/>
        <v>1.6451168965728838E-5</v>
      </c>
      <c r="P754" s="18">
        <f t="shared" si="887"/>
        <v>1.0976195388788073E-5</v>
      </c>
      <c r="Q754" s="18">
        <f t="shared" si="887"/>
        <v>1.3710762832259583E-4</v>
      </c>
      <c r="S754" s="3"/>
    </row>
    <row r="755" spans="2:19" x14ac:dyDescent="0.5">
      <c r="B755" s="5" t="str">
        <f t="shared" si="890"/>
        <v>SPS1</v>
      </c>
      <c r="C755" s="5" t="str">
        <f t="shared" si="891"/>
        <v>CH</v>
      </c>
      <c r="D755" t="s">
        <v>462</v>
      </c>
      <c r="E755" s="5" t="s">
        <v>442</v>
      </c>
      <c r="F755" s="18">
        <f t="shared" ref="F755:K755" si="896">IFERROR(F$737/F$735,0)*F743</f>
        <v>0</v>
      </c>
      <c r="G755" s="18">
        <f t="shared" si="896"/>
        <v>0</v>
      </c>
      <c r="H755" s="18">
        <f t="shared" si="896"/>
        <v>0</v>
      </c>
      <c r="I755" s="18">
        <f t="shared" si="896"/>
        <v>0</v>
      </c>
      <c r="J755" s="18">
        <f t="shared" si="896"/>
        <v>0</v>
      </c>
      <c r="K755" s="18">
        <f t="shared" si="896"/>
        <v>7.3258726259874483E-3</v>
      </c>
      <c r="L755" s="18">
        <f t="shared" ref="L755:O755" si="897">IFERROR(L$737/L$735,0)*L743</f>
        <v>3.0461091373443641E-3</v>
      </c>
      <c r="M755" s="18">
        <f t="shared" si="897"/>
        <v>6.3560393562362011E-3</v>
      </c>
      <c r="N755" s="18">
        <f t="shared" si="897"/>
        <v>1.0341038550834303E-3</v>
      </c>
      <c r="O755" s="18">
        <f t="shared" si="897"/>
        <v>1.5496377644554432E-3</v>
      </c>
      <c r="P755" s="18">
        <f t="shared" si="887"/>
        <v>1.3140139831801887E-3</v>
      </c>
      <c r="Q755" s="18">
        <f t="shared" si="887"/>
        <v>6.2764678618216869E-3</v>
      </c>
      <c r="S755" s="3"/>
    </row>
    <row r="756" spans="2:19" x14ac:dyDescent="0.5">
      <c r="B756" s="5" t="str">
        <f t="shared" si="890"/>
        <v>SPS1</v>
      </c>
      <c r="C756" s="5" t="str">
        <f t="shared" si="891"/>
        <v>CH</v>
      </c>
      <c r="D756" t="s">
        <v>463</v>
      </c>
      <c r="E756" s="5" t="s">
        <v>442</v>
      </c>
      <c r="F756" s="18">
        <f t="shared" ref="F756:K756" si="898">IFERROR(F$737/F$735,0)*F744</f>
        <v>0</v>
      </c>
      <c r="G756" s="18">
        <f t="shared" si="898"/>
        <v>0</v>
      </c>
      <c r="H756" s="18">
        <f t="shared" si="898"/>
        <v>0</v>
      </c>
      <c r="I756" s="18">
        <f t="shared" si="898"/>
        <v>0</v>
      </c>
      <c r="J756" s="18">
        <f t="shared" si="898"/>
        <v>0</v>
      </c>
      <c r="K756" s="18">
        <f t="shared" si="898"/>
        <v>1.1200437400672254E-5</v>
      </c>
      <c r="L756" s="18">
        <f t="shared" ref="L756:O756" si="899">IFERROR(L$737/L$735,0)*L744</f>
        <v>4.2131460674691757E-6</v>
      </c>
      <c r="M756" s="18">
        <f t="shared" si="899"/>
        <v>0</v>
      </c>
      <c r="N756" s="18">
        <f t="shared" si="899"/>
        <v>1.1062983068336851E-6</v>
      </c>
      <c r="O756" s="18">
        <f t="shared" si="899"/>
        <v>2.1679285739229566E-6</v>
      </c>
      <c r="P756" s="18">
        <f t="shared" si="887"/>
        <v>1.439340307869202E-6</v>
      </c>
      <c r="Q756" s="18">
        <f t="shared" si="887"/>
        <v>1.7225324175235157E-5</v>
      </c>
      <c r="S756" s="3"/>
    </row>
    <row r="757" spans="2:19" x14ac:dyDescent="0.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900">IFERROR(G$738/G$735,0)*G739</f>
        <v>0</v>
      </c>
      <c r="H757" s="18">
        <f t="shared" si="900"/>
        <v>0</v>
      </c>
      <c r="I757" s="18">
        <f t="shared" si="900"/>
        <v>0</v>
      </c>
      <c r="J757" s="18">
        <f t="shared" si="900"/>
        <v>0</v>
      </c>
      <c r="K757" s="18">
        <f t="shared" si="900"/>
        <v>4.7254004784047263E-11</v>
      </c>
      <c r="L757" s="18">
        <f t="shared" ref="L757:O757" si="901">IFERROR(L$738/L$735,0)*L739</f>
        <v>2.1708260611700446E-7</v>
      </c>
      <c r="M757" s="18">
        <f t="shared" si="901"/>
        <v>9.2989318770051073E-5</v>
      </c>
      <c r="N757" s="18">
        <f t="shared" si="901"/>
        <v>1.2737205755658943E-2</v>
      </c>
      <c r="O757" s="18">
        <f t="shared" si="901"/>
        <v>3.1827246106546893E-2</v>
      </c>
      <c r="P757" s="18">
        <f t="shared" ref="P757:Q762" si="902">IFERROR(P$738/P$735,0)*P739</f>
        <v>4.5755436668265731E-2</v>
      </c>
      <c r="Q757" s="18">
        <f t="shared" si="902"/>
        <v>0</v>
      </c>
      <c r="S757" s="3"/>
    </row>
    <row r="758" spans="2:19" x14ac:dyDescent="0.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903">IFERROR(F$738/F$735,0)*F740</f>
        <v>0</v>
      </c>
      <c r="G758" s="18">
        <f t="shared" si="903"/>
        <v>0</v>
      </c>
      <c r="H758" s="18">
        <f t="shared" si="903"/>
        <v>0</v>
      </c>
      <c r="I758" s="18">
        <f t="shared" si="903"/>
        <v>0</v>
      </c>
      <c r="J758" s="18">
        <f t="shared" si="903"/>
        <v>0</v>
      </c>
      <c r="K758" s="18">
        <f t="shared" si="903"/>
        <v>4.7254004784047263E-11</v>
      </c>
      <c r="L758" s="18">
        <f t="shared" ref="L758:O758" si="904">IFERROR(L$738/L$735,0)*L740</f>
        <v>2.1708260611700446E-7</v>
      </c>
      <c r="M758" s="18">
        <f t="shared" si="904"/>
        <v>9.2989318770051073E-5</v>
      </c>
      <c r="N758" s="18">
        <f t="shared" si="904"/>
        <v>1.2737205755658943E-2</v>
      </c>
      <c r="O758" s="18">
        <f t="shared" si="904"/>
        <v>3.1827246106546893E-2</v>
      </c>
      <c r="P758" s="18">
        <f t="shared" si="902"/>
        <v>4.5755436668265731E-2</v>
      </c>
      <c r="Q758" s="18">
        <f t="shared" si="902"/>
        <v>0</v>
      </c>
      <c r="S758" s="3"/>
    </row>
    <row r="759" spans="2:19" x14ac:dyDescent="0.5">
      <c r="B759" s="5" t="str">
        <f t="shared" ref="B759:B762" si="905">B758</f>
        <v>SPS1</v>
      </c>
      <c r="C759" s="5" t="str">
        <f t="shared" ref="C759:C762" si="906">C758</f>
        <v>CH</v>
      </c>
      <c r="D759" t="s">
        <v>938</v>
      </c>
      <c r="E759" s="5" t="s">
        <v>442</v>
      </c>
      <c r="F759" s="18">
        <f t="shared" ref="F759:K759" si="907">IFERROR(F$738/F$735,0)*F741</f>
        <v>0</v>
      </c>
      <c r="G759" s="18">
        <f t="shared" si="907"/>
        <v>0</v>
      </c>
      <c r="H759" s="18">
        <f t="shared" si="907"/>
        <v>0</v>
      </c>
      <c r="I759" s="18">
        <f t="shared" si="907"/>
        <v>0</v>
      </c>
      <c r="J759" s="18">
        <f t="shared" si="907"/>
        <v>0</v>
      </c>
      <c r="K759" s="18">
        <f t="shared" si="907"/>
        <v>3.0671409439035016E-8</v>
      </c>
      <c r="L759" s="18">
        <f t="shared" ref="L759:O759" si="908">IFERROR(L$738/L$735,0)*L741</f>
        <v>1.8247342380436985E-4</v>
      </c>
      <c r="M759" s="18">
        <f t="shared" si="908"/>
        <v>1.1712744420474994E-3</v>
      </c>
      <c r="N759" s="18">
        <f t="shared" si="908"/>
        <v>8.8122026246198557E-4</v>
      </c>
      <c r="O759" s="18">
        <f t="shared" si="908"/>
        <v>1.9373490398785793E-3</v>
      </c>
      <c r="P759" s="18">
        <f t="shared" si="902"/>
        <v>2.1627008764775807E-3</v>
      </c>
      <c r="Q759" s="18">
        <f t="shared" si="902"/>
        <v>0</v>
      </c>
      <c r="S759" s="3"/>
    </row>
    <row r="760" spans="2:19" x14ac:dyDescent="0.5">
      <c r="B760" s="5" t="str">
        <f t="shared" si="905"/>
        <v>SPS1</v>
      </c>
      <c r="C760" s="5" t="str">
        <f t="shared" si="906"/>
        <v>CH</v>
      </c>
      <c r="D760" t="s">
        <v>465</v>
      </c>
      <c r="E760" s="5" t="s">
        <v>442</v>
      </c>
      <c r="F760" s="18">
        <f t="shared" ref="F760:K760" si="909">IFERROR(F$738/F$735,0)*F742</f>
        <v>0</v>
      </c>
      <c r="G760" s="18">
        <f t="shared" si="909"/>
        <v>0</v>
      </c>
      <c r="H760" s="18">
        <f t="shared" si="909"/>
        <v>0</v>
      </c>
      <c r="I760" s="18">
        <f t="shared" si="909"/>
        <v>0</v>
      </c>
      <c r="J760" s="18">
        <f t="shared" si="909"/>
        <v>0</v>
      </c>
      <c r="K760" s="18">
        <f t="shared" si="909"/>
        <v>3.5898195565292298E-10</v>
      </c>
      <c r="L760" s="18">
        <f t="shared" ref="L760:O760" si="910">IFERROR(L$738/L$735,0)*L742</f>
        <v>1.9076376906968683E-6</v>
      </c>
      <c r="M760" s="18">
        <f t="shared" si="910"/>
        <v>1.4217393006501286E-6</v>
      </c>
      <c r="N760" s="18">
        <f t="shared" si="910"/>
        <v>7.6868230531862273E-6</v>
      </c>
      <c r="O760" s="18">
        <f t="shared" si="910"/>
        <v>2.0322982269683021E-5</v>
      </c>
      <c r="P760" s="18">
        <f t="shared" si="902"/>
        <v>1.7896335274430177E-5</v>
      </c>
      <c r="Q760" s="18">
        <f t="shared" si="902"/>
        <v>0</v>
      </c>
      <c r="S760" s="3"/>
    </row>
    <row r="761" spans="2:19" x14ac:dyDescent="0.5">
      <c r="B761" s="5" t="str">
        <f t="shared" si="905"/>
        <v>SPS1</v>
      </c>
      <c r="C761" s="5" t="str">
        <f t="shared" si="906"/>
        <v>CH</v>
      </c>
      <c r="D761" t="s">
        <v>466</v>
      </c>
      <c r="E761" s="5" t="s">
        <v>442</v>
      </c>
      <c r="F761" s="18">
        <f t="shared" ref="F761:K761" si="911">IFERROR(F$738/F$735,0)*F743</f>
        <v>0</v>
      </c>
      <c r="G761" s="18">
        <f t="shared" si="911"/>
        <v>0</v>
      </c>
      <c r="H761" s="18">
        <f t="shared" si="911"/>
        <v>0</v>
      </c>
      <c r="I761" s="18">
        <f t="shared" si="911"/>
        <v>0</v>
      </c>
      <c r="J761" s="18">
        <f t="shared" si="911"/>
        <v>0</v>
      </c>
      <c r="K761" s="18">
        <f t="shared" si="911"/>
        <v>3.0266153929397167E-8</v>
      </c>
      <c r="L761" s="18">
        <f t="shared" ref="L761:O761" si="912">IFERROR(L$738/L$735,0)*L743</f>
        <v>1.803163862270376E-4</v>
      </c>
      <c r="M761" s="18">
        <f t="shared" si="912"/>
        <v>1.1698527027468493E-3</v>
      </c>
      <c r="N761" s="18">
        <f t="shared" si="912"/>
        <v>8.7259992019840939E-4</v>
      </c>
      <c r="O761" s="18">
        <f t="shared" si="912"/>
        <v>1.9143479030010655E-3</v>
      </c>
      <c r="P761" s="18">
        <f t="shared" si="902"/>
        <v>2.1424577428990734E-3</v>
      </c>
      <c r="Q761" s="18">
        <f t="shared" si="902"/>
        <v>0</v>
      </c>
      <c r="S761" s="3"/>
    </row>
    <row r="762" spans="2:19" x14ac:dyDescent="0.5">
      <c r="B762" s="5" t="str">
        <f t="shared" si="905"/>
        <v>SPS1</v>
      </c>
      <c r="C762" s="5" t="str">
        <f t="shared" si="906"/>
        <v>CH</v>
      </c>
      <c r="D762" t="s">
        <v>467</v>
      </c>
      <c r="E762" s="5" t="s">
        <v>442</v>
      </c>
      <c r="F762" s="18">
        <f t="shared" ref="F762:K762" si="913">IFERROR(F$738/F$735,0)*F744</f>
        <v>0</v>
      </c>
      <c r="G762" s="18">
        <f t="shared" si="913"/>
        <v>0</v>
      </c>
      <c r="H762" s="18">
        <f t="shared" si="913"/>
        <v>0</v>
      </c>
      <c r="I762" s="18">
        <f t="shared" si="913"/>
        <v>0</v>
      </c>
      <c r="J762" s="18">
        <f t="shared" si="913"/>
        <v>0</v>
      </c>
      <c r="K762" s="18">
        <f t="shared" si="913"/>
        <v>4.6273553984926238E-11</v>
      </c>
      <c r="L762" s="18">
        <f t="shared" ref="L762:O762" si="914">IFERROR(L$738/L$735,0)*L744</f>
        <v>2.4939988663538557E-7</v>
      </c>
      <c r="M762" s="18">
        <f t="shared" si="914"/>
        <v>0</v>
      </c>
      <c r="N762" s="18">
        <f t="shared" si="914"/>
        <v>9.3351921038997138E-7</v>
      </c>
      <c r="O762" s="18">
        <f t="shared" si="914"/>
        <v>2.6781546078311471E-6</v>
      </c>
      <c r="P762" s="18">
        <f t="shared" si="902"/>
        <v>2.3467983040772874E-6</v>
      </c>
      <c r="Q762" s="18">
        <f t="shared" si="902"/>
        <v>0</v>
      </c>
      <c r="S762" s="3"/>
    </row>
    <row r="763" spans="2:19" x14ac:dyDescent="0.5">
      <c r="B763" s="9" t="str">
        <f t="shared" ref="B763" si="915">B762</f>
        <v>SPS1</v>
      </c>
      <c r="C763" s="9" t="str">
        <f t="shared" ref="C763:C777" si="916">C762</f>
        <v>CH</v>
      </c>
      <c r="D763" s="2" t="s">
        <v>496</v>
      </c>
      <c r="E763" s="9" t="s">
        <v>8</v>
      </c>
      <c r="F763" s="17">
        <f t="shared" ref="F763:K763" si="917">F764+F768+F778+F789+F791+F803+F805+F807+F811+F813+F815</f>
        <v>142.21738207396129</v>
      </c>
      <c r="G763" s="17">
        <f t="shared" si="917"/>
        <v>141.16504051406838</v>
      </c>
      <c r="H763" s="17">
        <f t="shared" si="917"/>
        <v>142.70091781891969</v>
      </c>
      <c r="I763" s="17">
        <f t="shared" si="917"/>
        <v>144.11206580556222</v>
      </c>
      <c r="J763" s="17">
        <f t="shared" si="917"/>
        <v>142.74664370652894</v>
      </c>
      <c r="K763" s="17">
        <f t="shared" si="917"/>
        <v>142.14411855701027</v>
      </c>
      <c r="L763" s="17">
        <f t="shared" ref="L763:O763" si="918">L764+L768+L778+L789+L791+L803+L805+L807+L811+L813+L815</f>
        <v>142.67845720035933</v>
      </c>
      <c r="M763" s="17">
        <f t="shared" si="918"/>
        <v>143.09531607488609</v>
      </c>
      <c r="N763" s="17">
        <f t="shared" si="918"/>
        <v>142.54759403056957</v>
      </c>
      <c r="O763" s="17">
        <f t="shared" si="918"/>
        <v>144.67320501809104</v>
      </c>
      <c r="P763" s="17">
        <f>P764+P768+P778+P789+P791+P803+P805+P807+P811+P813+P815</f>
        <v>141.31926267198691</v>
      </c>
      <c r="Q763" s="17">
        <f>Q764+Q768+Q778+Q789+Q791+Q803+Q805+Q807+Q811+Q813+Q815</f>
        <v>141.41942933903181</v>
      </c>
      <c r="S763" s="3"/>
    </row>
    <row r="764" spans="2:19" x14ac:dyDescent="0.5">
      <c r="B764" s="5" t="str">
        <f>B763</f>
        <v>SPS1</v>
      </c>
      <c r="C764" s="5" t="str">
        <f t="shared" si="916"/>
        <v>CH</v>
      </c>
      <c r="D764" t="s">
        <v>939</v>
      </c>
      <c r="E764" t="s">
        <v>8</v>
      </c>
      <c r="F764" s="18">
        <f>[1]Industry!B$11</f>
        <v>60.070009317984265</v>
      </c>
      <c r="G764" s="18">
        <f>[1]Industry!C$11</f>
        <v>62.576416144283669</v>
      </c>
      <c r="H764" s="18">
        <f>[1]Industry!D$11</f>
        <v>64.915790127256031</v>
      </c>
      <c r="I764" s="18">
        <f>[1]Industry!E$11</f>
        <v>68.385311121110746</v>
      </c>
      <c r="J764" s="18">
        <f>[1]Industry!F$11</f>
        <v>69.120604512424975</v>
      </c>
      <c r="K764" s="18">
        <f>[1]Industry!G$11</f>
        <v>69.503022718838679</v>
      </c>
      <c r="L764" s="18">
        <f>[1]Industry!H$11</f>
        <v>72.992103641481904</v>
      </c>
      <c r="M764" s="18">
        <f>[1]Industry!I$11</f>
        <v>74.274314257166481</v>
      </c>
      <c r="N764" s="18">
        <f>[1]Industry!J$11</f>
        <v>75.013789509794918</v>
      </c>
      <c r="O764" s="18">
        <f>[1]Industry!K$11</f>
        <v>76.744727061829295</v>
      </c>
      <c r="P764" s="18">
        <f>[1]Industry!L$11</f>
        <v>75.294552780225175</v>
      </c>
      <c r="Q764" s="18">
        <f>[1]Industry!M$11</f>
        <v>75.471557524251239</v>
      </c>
      <c r="S764" s="3"/>
    </row>
    <row r="765" spans="2:19" x14ac:dyDescent="0.5">
      <c r="B765" s="5" t="str">
        <f t="shared" ref="B765:B777" si="919">B764</f>
        <v>SPS1</v>
      </c>
      <c r="C765" s="5" t="str">
        <f t="shared" si="916"/>
        <v>CH</v>
      </c>
      <c r="D765" t="s">
        <v>758</v>
      </c>
      <c r="E765" t="s">
        <v>8</v>
      </c>
      <c r="F765" s="1">
        <f t="shared" ref="F765:J765" si="920">F764-F766-F767</f>
        <v>11.646939547627476</v>
      </c>
      <c r="G765" s="1">
        <f t="shared" si="920"/>
        <v>12.258977920262858</v>
      </c>
      <c r="H765" s="1">
        <f t="shared" si="920"/>
        <v>12.255232442241216</v>
      </c>
      <c r="I765" s="1">
        <f t="shared" si="920"/>
        <v>13.663861232941798</v>
      </c>
      <c r="J765" s="1">
        <f t="shared" si="920"/>
        <v>13.645814820360314</v>
      </c>
      <c r="K765" s="1">
        <f>K764-K766-K767</f>
        <v>13.627815871405026</v>
      </c>
      <c r="L765" s="1">
        <f t="shared" ref="L765:O765" si="921">L764-L766-L767</f>
        <v>13.609864474352733</v>
      </c>
      <c r="M765" s="1">
        <f t="shared" si="921"/>
        <v>13.591962422650994</v>
      </c>
      <c r="N765" s="1">
        <f t="shared" si="921"/>
        <v>13.591960503132263</v>
      </c>
      <c r="O765" s="1">
        <f t="shared" si="921"/>
        <v>13.694323607420138</v>
      </c>
      <c r="P765" s="1">
        <f>P764-P766-P767</f>
        <v>13.694323227314314</v>
      </c>
      <c r="Q765" s="1">
        <f>Q764-Q766-Q767</f>
        <v>13.694328100210925</v>
      </c>
      <c r="S765" s="3"/>
    </row>
    <row r="766" spans="2:19" x14ac:dyDescent="0.5">
      <c r="B766" s="5" t="str">
        <f t="shared" si="919"/>
        <v>SPS1</v>
      </c>
      <c r="C766" s="5" t="str">
        <f t="shared" si="916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0.35967211818579353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0.45106240680033471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1.1444275883053114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1.8552312110227631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2.5028939371628418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2.4567022492388104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3.2199464280414674</v>
      </c>
      <c r="M766" s="1" cm="1">
        <f t="array" ref="M766">SUMPRODUCT(([1]OUT_FinalEnergyCons!$B$4:$B$10000="Var_Fin")*1, ([1]OUT_FinalEnergyCons!$C$4:$C$10000="ITOT_ELC")*1, (ISNUMBER(SEARCH("ITOT-SWHELCHP",[1]OUT_FinalEnergyCons!$A$4:$A$10000)))*1,[1]OUT_FinalEnergyCons!K$4:K$10000)</f>
        <v>3.8227429548654266</v>
      </c>
      <c r="N766" s="1" cm="1">
        <f t="array" ref="N766">SUMPRODUCT(([1]OUT_FinalEnergyCons!$B$4:$B$10000="Var_Fin")*1, ([1]OUT_FinalEnergyCons!$C$4:$C$10000="ITOT_ELC")*1, (ISNUMBER(SEARCH("ITOT-SWHELCHP",[1]OUT_FinalEnergyCons!$A$4:$A$10000)))*1,[1]OUT_FinalEnergyCons!L$4:L$10000)</f>
        <v>3.8227441282320869</v>
      </c>
      <c r="O766" s="1" cm="1">
        <f t="array" ref="O766">SUMPRODUCT(([1]OUT_FinalEnergyCons!$B$4:$B$10000="Var_Fin")*1, ([1]OUT_FinalEnergyCons!$C$4:$C$10000="ITOT_ELC")*1, (ISNUMBER(SEARCH("ITOT-SWHELCHP",[1]OUT_FinalEnergyCons!$A$4:$A$10000)))*1,[1]OUT_FinalEnergyCons!M$4:M$10000)</f>
        <v>3.8227490854690673</v>
      </c>
      <c r="P766" s="1" cm="1">
        <f t="array" ref="P766">SUMPRODUCT(([1]OUT_FinalEnergyCons!$B$4:$B$10000="Var_Fin")*1, ([1]OUT_FinalEnergyCons!$C$4:$C$10000="ITOT_ELC")*1, (ISNUMBER(SEARCH("ITOT-SWHELCHP",[1]OUT_FinalEnergyCons!$A$4:$A$10000)))*1,[1]OUT_FinalEnergyCons!N$4:N$10000)</f>
        <v>3.8227516545655829</v>
      </c>
      <c r="Q766" s="1" cm="1">
        <f t="array" ref="Q766">SUMPRODUCT(([1]OUT_FinalEnergyCons!$B$4:$B$10000="Var_Fin")*1, ([1]OUT_FinalEnergyCons!$C$4:$C$10000="ITOT_ELC")*1, (ISNUMBER(SEARCH("ITOT-SWHELCHP",[1]OUT_FinalEnergyCons!$A$4:$A$10000)))*1,[1]OUT_FinalEnergyCons!O$4:O$10000)</f>
        <v>3.8227558421133723</v>
      </c>
      <c r="S766" s="3"/>
    </row>
    <row r="767" spans="2:19" x14ac:dyDescent="0.5">
      <c r="B767" s="5" t="str">
        <f t="shared" si="919"/>
        <v>SPS1</v>
      </c>
      <c r="C767" s="5" t="str">
        <f t="shared" si="916"/>
        <v>CH</v>
      </c>
      <c r="D767" t="s">
        <v>468</v>
      </c>
      <c r="E767" t="s">
        <v>8</v>
      </c>
      <c r="F767" s="1">
        <f>[1]Industry!B$11-[1]Industry!B$33</f>
        <v>48.063397652170998</v>
      </c>
      <c r="G767" s="1">
        <f>[1]Industry!C$11-[1]Industry!C$33</f>
        <v>49.866375817220479</v>
      </c>
      <c r="H767" s="1">
        <f>[1]Industry!D$11-[1]Industry!D$33</f>
        <v>51.516130096709503</v>
      </c>
      <c r="I767" s="1">
        <f>[1]Industry!E$11-[1]Industry!E$33</f>
        <v>52.866218677146179</v>
      </c>
      <c r="J767" s="1">
        <f>[1]Industry!F$11-[1]Industry!F$33</f>
        <v>52.971895754901823</v>
      </c>
      <c r="K767" s="1">
        <f>[1]Industry!G$11-[1]Industry!G$33</f>
        <v>53.418504598194836</v>
      </c>
      <c r="L767" s="1">
        <f>[1]Industry!H$11-[1]Industry!H$33</f>
        <v>56.162292739087704</v>
      </c>
      <c r="M767" s="1">
        <f>[1]Industry!I$11-[1]Industry!I$33</f>
        <v>56.859608879650054</v>
      </c>
      <c r="N767" s="1">
        <f>[1]Industry!J$11-[1]Industry!J$33</f>
        <v>57.599084878430567</v>
      </c>
      <c r="O767" s="1">
        <f>[1]Industry!K$11-[1]Industry!K$33</f>
        <v>59.227654368940087</v>
      </c>
      <c r="P767" s="1">
        <f>[1]Industry!L$11-[1]Industry!L$33</f>
        <v>57.777477898345282</v>
      </c>
      <c r="Q767" s="1">
        <f>[1]Industry!M$11-[1]Industry!M$33</f>
        <v>57.954473581926948</v>
      </c>
      <c r="S767" s="3"/>
    </row>
    <row r="768" spans="2:19" x14ac:dyDescent="0.5">
      <c r="B768" s="5" t="str">
        <f t="shared" si="919"/>
        <v>SPS1</v>
      </c>
      <c r="C768" s="5" t="str">
        <f t="shared" si="916"/>
        <v>CH</v>
      </c>
      <c r="D768" t="s">
        <v>469</v>
      </c>
      <c r="E768" t="s">
        <v>8</v>
      </c>
      <c r="F768" s="1">
        <f>SUM(F771,F776)</f>
        <v>11.627806203401633</v>
      </c>
      <c r="G768" s="1">
        <f t="shared" ref="G768:K768" si="922">SUM(G771,G776)</f>
        <v>10.58512075669881</v>
      </c>
      <c r="H768" s="1">
        <f t="shared" si="922"/>
        <v>8.0037791817085857</v>
      </c>
      <c r="I768" s="1">
        <f t="shared" si="922"/>
        <v>6.4681977030701701</v>
      </c>
      <c r="J768" s="1">
        <f t="shared" si="922"/>
        <v>4.8407887886172158</v>
      </c>
      <c r="K768" s="1">
        <f t="shared" si="922"/>
        <v>3.5595944165568021</v>
      </c>
      <c r="L768" s="1">
        <f t="shared" ref="L768:O768" si="923">SUM(L771,L776)</f>
        <v>1.7867083947180409</v>
      </c>
      <c r="M768" s="1">
        <f t="shared" si="923"/>
        <v>1.4230790513395635</v>
      </c>
      <c r="N768" s="1">
        <f t="shared" si="923"/>
        <v>0.97426804942184098</v>
      </c>
      <c r="O768" s="1">
        <f t="shared" si="923"/>
        <v>0.97425210951173258</v>
      </c>
      <c r="P768" s="1">
        <f>SUM(P771,P776)</f>
        <v>0.77392196035182426</v>
      </c>
      <c r="Q768" s="1">
        <f>SUM(Q771,Q776)</f>
        <v>0.77382941436476826</v>
      </c>
      <c r="S768" s="3"/>
    </row>
    <row r="769" spans="2:19" x14ac:dyDescent="0.5">
      <c r="B769" s="5" t="str">
        <f t="shared" si="919"/>
        <v>SPS1</v>
      </c>
      <c r="C769" s="5" t="str">
        <f t="shared" si="916"/>
        <v>CH</v>
      </c>
      <c r="D769" t="s">
        <v>470</v>
      </c>
      <c r="E769" t="s">
        <v>8</v>
      </c>
      <c r="F769" s="1">
        <f>SUM(F773,F777)</f>
        <v>8.8978048232386175</v>
      </c>
      <c r="G769" s="1">
        <f t="shared" ref="G769:K769" si="924">SUM(G773,G777)</f>
        <v>8.1047220407543765</v>
      </c>
      <c r="H769" s="1">
        <f t="shared" si="924"/>
        <v>8.0014025626027276</v>
      </c>
      <c r="I769" s="1">
        <f t="shared" si="924"/>
        <v>6.4678565401487944</v>
      </c>
      <c r="J769" s="1">
        <f t="shared" si="924"/>
        <v>4.8405624732964334</v>
      </c>
      <c r="K769" s="1">
        <f t="shared" si="924"/>
        <v>3.558375673866438</v>
      </c>
      <c r="L769" s="1">
        <f t="shared" ref="L769:O769" si="925">SUM(L773,L777)</f>
        <v>1.7858545190037023</v>
      </c>
      <c r="M769" s="1">
        <f t="shared" si="925"/>
        <v>1.4230790513395635</v>
      </c>
      <c r="N769" s="1">
        <f t="shared" si="925"/>
        <v>0.97426804942184098</v>
      </c>
      <c r="O769" s="1">
        <f t="shared" si="925"/>
        <v>0.97425210951173258</v>
      </c>
      <c r="P769" s="1">
        <f>SUM(P773,P777)</f>
        <v>0.77392196035182426</v>
      </c>
      <c r="Q769" s="1">
        <f>SUM(Q773,Q777)</f>
        <v>0.77382941436476826</v>
      </c>
      <c r="S769" s="3"/>
    </row>
    <row r="770" spans="2:19" x14ac:dyDescent="0.5">
      <c r="B770" s="5" t="str">
        <f t="shared" si="919"/>
        <v>SPS1</v>
      </c>
      <c r="C770" s="5" t="str">
        <f t="shared" si="916"/>
        <v>CH</v>
      </c>
      <c r="D770" t="s">
        <v>471</v>
      </c>
      <c r="E770" t="s">
        <v>8</v>
      </c>
      <c r="F770" s="1">
        <f>F775</f>
        <v>2.7300013801630145</v>
      </c>
      <c r="G770" s="1">
        <f t="shared" ref="G770:K770" si="926">G775</f>
        <v>2.4803987159444341</v>
      </c>
      <c r="H770" s="1">
        <f t="shared" si="926"/>
        <v>2.3766191058577375E-3</v>
      </c>
      <c r="I770" s="1">
        <f t="shared" si="926"/>
        <v>3.4116292137588775E-4</v>
      </c>
      <c r="J770" s="1">
        <f t="shared" si="926"/>
        <v>2.263153207833083E-4</v>
      </c>
      <c r="K770" s="1">
        <f t="shared" si="926"/>
        <v>1.218742690364144E-3</v>
      </c>
      <c r="L770" s="1">
        <f t="shared" ref="L770:O770" si="927">L775</f>
        <v>8.5387571433848835E-4</v>
      </c>
      <c r="M770" s="1">
        <f t="shared" si="927"/>
        <v>0</v>
      </c>
      <c r="N770" s="1">
        <f t="shared" si="927"/>
        <v>0</v>
      </c>
      <c r="O770" s="1">
        <f t="shared" si="927"/>
        <v>0</v>
      </c>
      <c r="P770" s="1">
        <f>P775</f>
        <v>0</v>
      </c>
      <c r="Q770" s="1">
        <f>Q775</f>
        <v>0</v>
      </c>
      <c r="S770" s="3"/>
    </row>
    <row r="771" spans="2:19" x14ac:dyDescent="0.5">
      <c r="B771" s="5" t="str">
        <f t="shared" si="919"/>
        <v>SPS1</v>
      </c>
      <c r="C771" s="5" t="str">
        <f t="shared" si="916"/>
        <v>CH</v>
      </c>
      <c r="D771" t="s">
        <v>940</v>
      </c>
      <c r="E771" t="s">
        <v>8</v>
      </c>
      <c r="F771" s="1">
        <f>SUM(F772,F774)</f>
        <v>11.627806203401633</v>
      </c>
      <c r="G771" s="1">
        <f t="shared" ref="G771:K771" si="928">SUM(G772,G774)</f>
        <v>10.58512075669881</v>
      </c>
      <c r="H771" s="1">
        <f t="shared" si="928"/>
        <v>8.003722202757702</v>
      </c>
      <c r="I771" s="1">
        <f t="shared" si="928"/>
        <v>5.1749241034619367</v>
      </c>
      <c r="J771" s="1">
        <f t="shared" si="928"/>
        <v>3.5861700238374437</v>
      </c>
      <c r="K771" s="1">
        <f t="shared" si="928"/>
        <v>2.1365141564382726</v>
      </c>
      <c r="L771" s="1">
        <f t="shared" ref="L771:O771" si="929">SUM(L772,L774)</f>
        <v>0.36362994561684453</v>
      </c>
      <c r="M771" s="1">
        <f t="shared" si="929"/>
        <v>0</v>
      </c>
      <c r="N771" s="1">
        <f t="shared" si="929"/>
        <v>1.0805188365775747E-4</v>
      </c>
      <c r="O771" s="1">
        <f t="shared" si="929"/>
        <v>1.8727602683834779E-4</v>
      </c>
      <c r="P771" s="1">
        <f>SUM(P772,P774)</f>
        <v>7.7156050951459812E-5</v>
      </c>
      <c r="Q771" s="1">
        <f>SUM(Q772,Q774)</f>
        <v>3.2189114621997962E-5</v>
      </c>
      <c r="S771" s="3"/>
    </row>
    <row r="772" spans="2:19" x14ac:dyDescent="0.5">
      <c r="B772" s="5" t="str">
        <f t="shared" si="919"/>
        <v>SPS1</v>
      </c>
      <c r="C772" s="5" t="str">
        <f t="shared" si="916"/>
        <v>CH</v>
      </c>
      <c r="D772" t="s">
        <v>525</v>
      </c>
      <c r="E772" t="s">
        <v>8</v>
      </c>
      <c r="F772" s="1">
        <f>[1]Industry!B$34</f>
        <v>8.8978048232386175</v>
      </c>
      <c r="G772" s="1">
        <f>[1]Industry!C$34</f>
        <v>8.1047220407543765</v>
      </c>
      <c r="H772" s="1">
        <f>[1]Industry!D$34</f>
        <v>8.0013455836518439</v>
      </c>
      <c r="I772" s="1">
        <f>[1]Industry!E$34</f>
        <v>5.174582940540561</v>
      </c>
      <c r="J772" s="1">
        <f>[1]Industry!F$34</f>
        <v>3.5859437085166603</v>
      </c>
      <c r="K772" s="1">
        <f>[1]Industry!G$34</f>
        <v>2.1352954137479085</v>
      </c>
      <c r="L772" s="1">
        <f>[1]Industry!H$34</f>
        <v>0.36277606990250605</v>
      </c>
      <c r="M772" s="1">
        <f>[1]Industry!I$34</f>
        <v>0</v>
      </c>
      <c r="N772" s="1">
        <f>[1]Industry!J$34</f>
        <v>1.0805188365775747E-4</v>
      </c>
      <c r="O772" s="1">
        <f>[1]Industry!K$34</f>
        <v>1.8727602683834779E-4</v>
      </c>
      <c r="P772" s="1">
        <f>[1]Industry!L$34</f>
        <v>7.7156050951459812E-5</v>
      </c>
      <c r="Q772" s="1">
        <f>[1]Industry!M$34</f>
        <v>3.2189114621997962E-5</v>
      </c>
      <c r="S772" s="3"/>
    </row>
    <row r="773" spans="2:19" x14ac:dyDescent="0.5">
      <c r="B773" s="5" t="str">
        <f t="shared" si="919"/>
        <v>SPS1</v>
      </c>
      <c r="C773" s="5" t="str">
        <f t="shared" si="916"/>
        <v>CH</v>
      </c>
      <c r="D773" t="s">
        <v>526</v>
      </c>
      <c r="E773" t="s">
        <v>8</v>
      </c>
      <c r="F773" s="1">
        <f>F772</f>
        <v>8.8978048232386175</v>
      </c>
      <c r="G773" s="1">
        <f t="shared" ref="G773:K773" si="930">G772</f>
        <v>8.1047220407543765</v>
      </c>
      <c r="H773" s="1">
        <f t="shared" si="930"/>
        <v>8.0013455836518439</v>
      </c>
      <c r="I773" s="1">
        <f t="shared" si="930"/>
        <v>5.174582940540561</v>
      </c>
      <c r="J773" s="1">
        <f t="shared" si="930"/>
        <v>3.5859437085166603</v>
      </c>
      <c r="K773" s="1">
        <f t="shared" si="930"/>
        <v>2.1352954137479085</v>
      </c>
      <c r="L773" s="1">
        <f t="shared" ref="L773:O773" si="931">L772</f>
        <v>0.36277606990250605</v>
      </c>
      <c r="M773" s="1">
        <f t="shared" si="931"/>
        <v>0</v>
      </c>
      <c r="N773" s="1">
        <f t="shared" si="931"/>
        <v>1.0805188365775747E-4</v>
      </c>
      <c r="O773" s="1">
        <f t="shared" si="931"/>
        <v>1.8727602683834779E-4</v>
      </c>
      <c r="P773" s="1">
        <f>P772</f>
        <v>7.7156050951459812E-5</v>
      </c>
      <c r="Q773" s="1">
        <f>Q772</f>
        <v>3.2189114621997962E-5</v>
      </c>
      <c r="S773" s="3"/>
    </row>
    <row r="774" spans="2:19" x14ac:dyDescent="0.5">
      <c r="B774" s="5" t="str">
        <f t="shared" si="919"/>
        <v>SPS1</v>
      </c>
      <c r="C774" s="5" t="str">
        <f t="shared" si="916"/>
        <v>CH</v>
      </c>
      <c r="D774" t="s">
        <v>527</v>
      </c>
      <c r="E774" t="s">
        <v>8</v>
      </c>
      <c r="F774" s="1">
        <f>[1]Industry!B$35</f>
        <v>2.7300013801630145</v>
      </c>
      <c r="G774" s="1">
        <f>[1]Industry!C$35</f>
        <v>2.4803987159444341</v>
      </c>
      <c r="H774" s="1">
        <f>[1]Industry!D$35</f>
        <v>2.3766191058577375E-3</v>
      </c>
      <c r="I774" s="1">
        <f>[1]Industry!E$35</f>
        <v>3.4116292137588775E-4</v>
      </c>
      <c r="J774" s="1">
        <f>[1]Industry!F$35</f>
        <v>2.263153207833083E-4</v>
      </c>
      <c r="K774" s="1">
        <f>[1]Industry!G$35</f>
        <v>1.218742690364144E-3</v>
      </c>
      <c r="L774" s="1">
        <f>[1]Industry!H$35</f>
        <v>8.5387571433848835E-4</v>
      </c>
      <c r="M774" s="1">
        <f>[1]Industry!I$35</f>
        <v>0</v>
      </c>
      <c r="N774" s="1">
        <f>[1]Industry!J$35</f>
        <v>0</v>
      </c>
      <c r="O774" s="1">
        <f>[1]Industry!K$35</f>
        <v>0</v>
      </c>
      <c r="P774" s="1">
        <f>[1]Industry!L$35</f>
        <v>0</v>
      </c>
      <c r="Q774" s="1">
        <f>[1]Industry!M$35</f>
        <v>0</v>
      </c>
      <c r="S774" s="3"/>
    </row>
    <row r="775" spans="2:19" x14ac:dyDescent="0.5">
      <c r="B775" s="5" t="str">
        <f t="shared" si="919"/>
        <v>SPS1</v>
      </c>
      <c r="C775" s="5" t="str">
        <f t="shared" si="916"/>
        <v>CH</v>
      </c>
      <c r="D775" t="s">
        <v>943</v>
      </c>
      <c r="E775" t="s">
        <v>8</v>
      </c>
      <c r="F775" s="1">
        <f>F774</f>
        <v>2.7300013801630145</v>
      </c>
      <c r="G775" s="1">
        <f t="shared" ref="G775:K775" si="932">G774</f>
        <v>2.4803987159444341</v>
      </c>
      <c r="H775" s="1">
        <f t="shared" si="932"/>
        <v>2.3766191058577375E-3</v>
      </c>
      <c r="I775" s="1">
        <f t="shared" si="932"/>
        <v>3.4116292137588775E-4</v>
      </c>
      <c r="J775" s="1">
        <f t="shared" si="932"/>
        <v>2.263153207833083E-4</v>
      </c>
      <c r="K775" s="1">
        <f t="shared" si="932"/>
        <v>1.218742690364144E-3</v>
      </c>
      <c r="L775" s="1">
        <f t="shared" ref="L775:O775" si="933">L774</f>
        <v>8.5387571433848835E-4</v>
      </c>
      <c r="M775" s="1">
        <f t="shared" si="933"/>
        <v>0</v>
      </c>
      <c r="N775" s="1">
        <f t="shared" si="933"/>
        <v>0</v>
      </c>
      <c r="O775" s="1">
        <f t="shared" si="933"/>
        <v>0</v>
      </c>
      <c r="P775" s="1">
        <f>P774</f>
        <v>0</v>
      </c>
      <c r="Q775" s="1">
        <f>Q774</f>
        <v>0</v>
      </c>
      <c r="S775" s="3"/>
    </row>
    <row r="776" spans="2:19" x14ac:dyDescent="0.5">
      <c r="B776" s="5" t="str">
        <f t="shared" si="919"/>
        <v>SPS1</v>
      </c>
      <c r="C776" s="5" t="str">
        <f t="shared" si="916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5.6978950884111212E-5</v>
      </c>
      <c r="I776" s="1">
        <f>[1]Industry!E$36</f>
        <v>1.2932735996082332</v>
      </c>
      <c r="J776" s="1">
        <f>[1]Industry!F$36</f>
        <v>1.2546187647797726</v>
      </c>
      <c r="K776" s="1">
        <f>[1]Industry!G$36</f>
        <v>1.4230802601185295</v>
      </c>
      <c r="L776" s="1">
        <f>[1]Industry!H$36</f>
        <v>1.4230784491011963</v>
      </c>
      <c r="M776" s="1">
        <f>[1]Industry!I$36</f>
        <v>1.4230790513395635</v>
      </c>
      <c r="N776" s="1">
        <f>[1]Industry!J$36</f>
        <v>0.97415999753818316</v>
      </c>
      <c r="O776" s="1">
        <f>[1]Industry!K$36</f>
        <v>0.97406483348489425</v>
      </c>
      <c r="P776" s="1">
        <f>[1]Industry!L$36</f>
        <v>0.77384480430087277</v>
      </c>
      <c r="Q776" s="1">
        <f>[1]Industry!M$36</f>
        <v>0.77379722525014627</v>
      </c>
      <c r="S776" s="3"/>
    </row>
    <row r="777" spans="2:19" x14ac:dyDescent="0.5">
      <c r="B777" s="5" t="str">
        <f t="shared" si="919"/>
        <v>SPS1</v>
      </c>
      <c r="C777" s="5" t="str">
        <f t="shared" si="916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934">G776</f>
        <v>0</v>
      </c>
      <c r="H777" s="1">
        <f t="shared" si="934"/>
        <v>5.6978950884111212E-5</v>
      </c>
      <c r="I777" s="1">
        <f t="shared" si="934"/>
        <v>1.2932735996082332</v>
      </c>
      <c r="J777" s="1">
        <f t="shared" si="934"/>
        <v>1.2546187647797726</v>
      </c>
      <c r="K777" s="1">
        <f t="shared" si="934"/>
        <v>1.4230802601185295</v>
      </c>
      <c r="L777" s="1">
        <f t="shared" ref="L777:O777" si="935">L776</f>
        <v>1.4230784491011963</v>
      </c>
      <c r="M777" s="1">
        <f t="shared" si="935"/>
        <v>1.4230790513395635</v>
      </c>
      <c r="N777" s="1">
        <f t="shared" si="935"/>
        <v>0.97415999753818316</v>
      </c>
      <c r="O777" s="1">
        <f t="shared" si="935"/>
        <v>0.97406483348489425</v>
      </c>
      <c r="P777" s="1">
        <f>P776</f>
        <v>0.77384480430087277</v>
      </c>
      <c r="Q777" s="1">
        <f>Q776</f>
        <v>0.77379722525014627</v>
      </c>
      <c r="S777" s="3"/>
    </row>
    <row r="778" spans="2:19" x14ac:dyDescent="0.5">
      <c r="B778" s="5" t="str">
        <f t="shared" ref="B778:B779" si="936">B777</f>
        <v>SPS1</v>
      </c>
      <c r="C778" s="5" t="str">
        <f t="shared" ref="C778:C779" si="937">C777</f>
        <v>CH</v>
      </c>
      <c r="D778" t="s">
        <v>472</v>
      </c>
      <c r="E778" t="s">
        <v>8</v>
      </c>
      <c r="F778" s="1">
        <f>SUM([1]Industry!B$37:B$39)</f>
        <v>35.989087838966405</v>
      </c>
      <c r="G778" s="1">
        <f>SUM([1]Industry!C$37:C$39)</f>
        <v>30.437477504323812</v>
      </c>
      <c r="H778" s="1">
        <f>SUM([1]Industry!D$37:D$39)</f>
        <v>37.127404940809072</v>
      </c>
      <c r="I778" s="1">
        <f>SUM([1]Industry!E$37:E$39)</f>
        <v>31.790265531312592</v>
      </c>
      <c r="J778" s="1">
        <f>SUM([1]Industry!F$37:F$39)</f>
        <v>19.0887737008401</v>
      </c>
      <c r="K778" s="1">
        <f>SUM([1]Industry!G$37:G$39)</f>
        <v>17.964975690391178</v>
      </c>
      <c r="L778" s="1">
        <f>SUM([1]Industry!H$37:H$39)</f>
        <v>15.846371086398815</v>
      </c>
      <c r="M778" s="1">
        <f>SUM([1]Industry!I$37:I$39)</f>
        <v>9.2467154003401824</v>
      </c>
      <c r="N778" s="1">
        <f>SUM([1]Industry!J$37:J$39)</f>
        <v>6.9450356260963302</v>
      </c>
      <c r="O778" s="1">
        <f>SUM([1]Industry!K$37:K$39)</f>
        <v>7.2461468638438618</v>
      </c>
      <c r="P778" s="1">
        <f>SUM([1]Industry!L$37:L$39)</f>
        <v>6.9423144975082893</v>
      </c>
      <c r="Q778" s="1">
        <f>SUM([1]Industry!M$37:M$39)</f>
        <v>6.9391462833763358</v>
      </c>
      <c r="S778" s="3"/>
    </row>
    <row r="779" spans="2:19" x14ac:dyDescent="0.5">
      <c r="B779" s="5" t="str">
        <f t="shared" si="936"/>
        <v>SPS1</v>
      </c>
      <c r="C779" s="5" t="str">
        <f t="shared" si="937"/>
        <v>CH</v>
      </c>
      <c r="D779" t="s">
        <v>678</v>
      </c>
      <c r="E779" t="s">
        <v>8</v>
      </c>
      <c r="F779" s="1">
        <f>SUM([1]Industry!B$37:B$38)-F780</f>
        <v>35.5509784092432</v>
      </c>
      <c r="G779" s="1">
        <f>SUM([1]Industry!C$37:C$38)-G780</f>
        <v>28.90553920300577</v>
      </c>
      <c r="H779" s="1">
        <f>SUM([1]Industry!D$37:D$38)-H780</f>
        <v>33.251464520734537</v>
      </c>
      <c r="I779" s="1">
        <f>SUM([1]Industry!E$37:E$38)-I780</f>
        <v>25.434212488332463</v>
      </c>
      <c r="J779" s="1">
        <f>SUM([1]Industry!F$37:F$38)-J780</f>
        <v>12.732708004139132</v>
      </c>
      <c r="K779" s="1">
        <f>SUM([1]Industry!G$37:G$38)-K780</f>
        <v>11.608915325185604</v>
      </c>
      <c r="L779" s="1">
        <f>SUM([1]Industry!H$37:H$38)-L780</f>
        <v>9.4903149271658407</v>
      </c>
      <c r="M779" s="1">
        <f>SUM([1]Industry!I$37:I$38)-M780</f>
        <v>2.8906620275439687</v>
      </c>
      <c r="N779" s="1">
        <f>SUM([1]Industry!J$37:J$38)-N780</f>
        <v>0.61024947464720658</v>
      </c>
      <c r="O779" s="1">
        <f>SUM([1]Industry!K$37:K$38)-O780</f>
        <v>0.9113524217709591</v>
      </c>
      <c r="P779" s="1">
        <f>SUM([1]Industry!L$37:L$38)-P780</f>
        <v>0.60751396767074262</v>
      </c>
      <c r="Q779" s="1">
        <f>SUM([1]Industry!M$37:M$38)-Q780</f>
        <v>0.60431624837325626</v>
      </c>
      <c r="S779" s="3"/>
    </row>
    <row r="780" spans="2:19" x14ac:dyDescent="0.5">
      <c r="B780" s="5" t="str">
        <f t="shared" ref="B780" si="938">B779</f>
        <v>SPS1</v>
      </c>
      <c r="C780" s="5" t="str">
        <f t="shared" ref="C780" si="939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1.3830652749602819E-3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0.97987292806957615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0.98027341866558482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2.1288363433780325E-2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2.1285221327454574E-2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2.1278682999637269E-2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2.1273581204012001E-2</v>
      </c>
      <c r="M780" s="1" cm="1">
        <f t="array" ref="M780">SUMPRODUCT(([1]OUT_FinalEnergyCons!$B$4:$B$10000="Var_Fin")*1,  ([1]OUT_FinalEnergyCons!$C$4:$C$10000="Inga")*1,(ISNUMBER(SEARCH("ITOT-SWHNGAHP",[1]OUT_FinalEnergyCons!$A$4:$A$10000)))*1,[1]OUT_FinalEnergyCons!O$4:O$10000)</f>
        <v>2.1268943355168476E-2</v>
      </c>
      <c r="N780" s="1" cm="1">
        <f t="array" ref="N780">SUMPRODUCT(([1]OUT_FinalEnergyCons!$B$4:$B$10000="Var_Fin")*1,  ([1]OUT_FinalEnergyCons!$C$4:$C$10000="Inga")*1,(ISNUMBER(SEARCH("ITOT-SWHNGAHP",[1]OUT_FinalEnergyCons!$A$4:$A$10000)))*1,[1]OUT_FinalEnergyCons!P$4:P$10000)</f>
        <v>0</v>
      </c>
      <c r="O780" s="1" cm="1">
        <f t="array" ref="O780">SUMPRODUCT(([1]OUT_FinalEnergyCons!$B$4:$B$10000="Var_Fin")*1,  ([1]OUT_FinalEnergyCons!$C$4:$C$10000="Inga")*1,(ISNUMBER(SEARCH("ITOT-SWHNGAHP",[1]OUT_FinalEnergyCons!$A$4:$A$10000)))*1,[1]OUT_FinalEnergyCons!Q$4:Q$10000)</f>
        <v>0</v>
      </c>
      <c r="P780" s="1" cm="1">
        <f t="array" ref="P780">SUMPRODUCT(([1]OUT_FinalEnergyCons!$B$4:$B$10000="Var_Fin")*1,  ([1]OUT_FinalEnergyCons!$C$4:$C$10000="Inga")*1,(ISNUMBER(SEARCH("ITOT-SWHNGAHP",[1]OUT_FinalEnergyCons!$A$4:$A$10000)))*1,[1]OUT_FinalEnergyCons!R$4:R$10000)</f>
        <v>0</v>
      </c>
      <c r="Q780" s="1" cm="1">
        <f t="array" ref="Q780">SUMPRODUCT(([1]OUT_FinalEnergyCons!$B$4:$B$10000="Var_Fin")*1,  ([1]OUT_FinalEnergyCons!$C$4:$C$10000="Inga")*1,(ISNUMBER(SEARCH("ITOT-SWHNGAHP",[1]OUT_FinalEnergyCons!$A$4:$A$10000)))*1,[1]OUT_FinalEnergyCons!S$4:S$10000)</f>
        <v>0</v>
      </c>
      <c r="S780" s="3"/>
    </row>
    <row r="781" spans="2:19" x14ac:dyDescent="0.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940">F778-F779</f>
        <v>0.43810942972320532</v>
      </c>
      <c r="G781" s="1">
        <f t="shared" si="940"/>
        <v>1.5319383013180428</v>
      </c>
      <c r="H781" s="1">
        <f t="shared" si="940"/>
        <v>3.8759404200745351</v>
      </c>
      <c r="I781" s="1">
        <f t="shared" si="940"/>
        <v>6.356053042980129</v>
      </c>
      <c r="J781" s="1">
        <f t="shared" si="940"/>
        <v>6.3560656967009681</v>
      </c>
      <c r="K781" s="1">
        <f t="shared" si="940"/>
        <v>6.3560603652055736</v>
      </c>
      <c r="L781" s="1">
        <f t="shared" ref="L781:O781" si="941">L778-L779</f>
        <v>6.3560561592329741</v>
      </c>
      <c r="M781" s="1">
        <f t="shared" si="941"/>
        <v>6.3560533727962136</v>
      </c>
      <c r="N781" s="1">
        <f t="shared" si="941"/>
        <v>6.3347861514491237</v>
      </c>
      <c r="O781" s="1">
        <f t="shared" si="941"/>
        <v>6.3347944420729023</v>
      </c>
      <c r="P781" s="1">
        <f>P778-P779</f>
        <v>6.3348005298375467</v>
      </c>
      <c r="Q781" s="1">
        <f>Q778-Q779</f>
        <v>6.3348300350030797</v>
      </c>
      <c r="S781" s="3"/>
    </row>
    <row r="782" spans="2:19" x14ac:dyDescent="0.5">
      <c r="B782" s="5" t="str">
        <f t="shared" ref="B782:B790" si="942">B781</f>
        <v>SPS1</v>
      </c>
      <c r="C782" s="5" t="str">
        <f t="shared" ref="C782:C790" si="943">C781</f>
        <v>CH</v>
      </c>
      <c r="D782" t="s">
        <v>944</v>
      </c>
      <c r="E782" t="s">
        <v>8</v>
      </c>
      <c r="F782" s="1">
        <f>[1]Industry!B$37</f>
        <v>35.24346850097745</v>
      </c>
      <c r="G782" s="1">
        <f>[1]Industry!C$37</f>
        <v>29.885364528964534</v>
      </c>
      <c r="H782" s="1">
        <f>[1]Industry!D$37</f>
        <v>32.043761661515056</v>
      </c>
      <c r="I782" s="1">
        <f>[1]Industry!E$37</f>
        <v>22.995595313513579</v>
      </c>
      <c r="J782" s="1">
        <f>[1]Industry!F$37</f>
        <v>10.388436027189602</v>
      </c>
      <c r="K782" s="1">
        <f>[1]Industry!G$37</f>
        <v>9.4688669430227552</v>
      </c>
      <c r="L782" s="1">
        <f>[1]Industry!H$37</f>
        <v>7.4277690013267517</v>
      </c>
      <c r="M782" s="1">
        <f>[1]Industry!I$37</f>
        <v>1.3964196620949103</v>
      </c>
      <c r="N782" s="1">
        <f>[1]Industry!J$37</f>
        <v>2.1884944035908954E-4</v>
      </c>
      <c r="O782" s="1">
        <f>[1]Industry!K$37</f>
        <v>2.6297083244807717E-4</v>
      </c>
      <c r="P782" s="1">
        <f>[1]Industry!L$37</f>
        <v>8.1604020624882702E-5</v>
      </c>
      <c r="Q782" s="1">
        <f>[1]Industry!M$37</f>
        <v>3.3338675093991592E-5</v>
      </c>
      <c r="S782" s="3"/>
    </row>
    <row r="783" spans="2:19" x14ac:dyDescent="0.5">
      <c r="B783" s="5" t="str">
        <f t="shared" si="942"/>
        <v>SPS1</v>
      </c>
      <c r="C783" s="5" t="str">
        <f t="shared" si="943"/>
        <v>CH</v>
      </c>
      <c r="D783" t="s">
        <v>679</v>
      </c>
      <c r="E783" t="s">
        <v>8</v>
      </c>
      <c r="F783" s="1">
        <f>[1]Industry!B$37*F779/SUM(F779:F780)</f>
        <v>35.242097452320451</v>
      </c>
      <c r="G783" s="1">
        <f>[1]Industry!C$37*G779/SUM(G779:G780)</f>
        <v>28.905493161657095</v>
      </c>
      <c r="H783" s="1">
        <f>[1]Industry!D$37*H779/SUM(H779:H780)</f>
        <v>31.126143986173943</v>
      </c>
      <c r="I783" s="1">
        <f>[1]Industry!E$37*I779/SUM(I779:I780)</f>
        <v>22.976364162130587</v>
      </c>
      <c r="J783" s="1">
        <f>[1]Industry!F$37*J779/SUM(J779:J780)</f>
        <v>10.371098699485577</v>
      </c>
      <c r="K783" s="1">
        <f>[1]Industry!G$37*K779/SUM(K779:K780)</f>
        <v>9.4515426388963988</v>
      </c>
      <c r="L783" s="1">
        <f>[1]Industry!H$37*L779/SUM(L779:L780)</f>
        <v>7.4111560825829139</v>
      </c>
      <c r="M783" s="1">
        <f>[1]Industry!I$37*M779/SUM(M779:M780)</f>
        <v>1.3862201171915609</v>
      </c>
      <c r="N783" s="1">
        <f>[1]Industry!J$37*N779/SUM(N779:N780)</f>
        <v>2.1884944035908957E-4</v>
      </c>
      <c r="O783" s="1">
        <f>[1]Industry!K$37*O779/SUM(O779:O780)</f>
        <v>2.6297083244807717E-4</v>
      </c>
      <c r="P783" s="1">
        <f>[1]Industry!L$37*P779/SUM(P779:P780)</f>
        <v>8.1604020624882702E-5</v>
      </c>
      <c r="Q783" s="1">
        <f>[1]Industry!M$37*Q779/SUM(Q779:Q780)</f>
        <v>3.3338675093991592E-5</v>
      </c>
      <c r="S783" s="3"/>
    </row>
    <row r="784" spans="2:19" x14ac:dyDescent="0.5">
      <c r="B784" s="5" t="str">
        <f t="shared" ref="B784" si="944">B783</f>
        <v>SPS1</v>
      </c>
      <c r="C784" s="5" t="str">
        <f t="shared" ref="C784" si="945">C783</f>
        <v>CH</v>
      </c>
      <c r="D784" t="s">
        <v>723</v>
      </c>
      <c r="E784" t="s">
        <v>8</v>
      </c>
      <c r="F784" s="1">
        <f>F782-F783</f>
        <v>1.3710486569991076E-3</v>
      </c>
      <c r="G784" s="1">
        <f t="shared" ref="G784:K784" si="946">G782-G783</f>
        <v>0.97987136730743885</v>
      </c>
      <c r="H784" s="1">
        <f t="shared" si="946"/>
        <v>0.91761767534111272</v>
      </c>
      <c r="I784" s="1">
        <f t="shared" si="946"/>
        <v>1.9231151382992806E-2</v>
      </c>
      <c r="J784" s="1">
        <f t="shared" si="946"/>
        <v>1.7337327704025185E-2</v>
      </c>
      <c r="K784" s="1">
        <f t="shared" si="946"/>
        <v>1.7324304126356438E-2</v>
      </c>
      <c r="L784" s="1">
        <f t="shared" ref="L784:O784" si="947">L782-L783</f>
        <v>1.6612918743837746E-2</v>
      </c>
      <c r="M784" s="1">
        <f t="shared" si="947"/>
        <v>1.01995449033494E-2</v>
      </c>
      <c r="N784" s="1">
        <f t="shared" si="947"/>
        <v>0</v>
      </c>
      <c r="O784" s="1">
        <f t="shared" si="947"/>
        <v>0</v>
      </c>
      <c r="P784" s="1">
        <f>P782-P783</f>
        <v>0</v>
      </c>
      <c r="Q784" s="1">
        <f>Q782-Q783</f>
        <v>0</v>
      </c>
      <c r="S784" s="3"/>
    </row>
    <row r="785" spans="2:19" x14ac:dyDescent="0.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0.74561933798895896</v>
      </c>
      <c r="G785" s="1">
        <f t="shared" ref="G785:K785" si="948">SUM(G786:G788)</f>
        <v>0.55211297535927772</v>
      </c>
      <c r="H785" s="1">
        <f t="shared" si="948"/>
        <v>5.0836432792940185</v>
      </c>
      <c r="I785" s="1">
        <f t="shared" si="948"/>
        <v>8.7946702177990126</v>
      </c>
      <c r="J785" s="1">
        <f t="shared" si="948"/>
        <v>8.7003376736504983</v>
      </c>
      <c r="K785" s="1">
        <f t="shared" si="948"/>
        <v>8.4961087473684245</v>
      </c>
      <c r="L785" s="1">
        <f t="shared" ref="L785:O785" si="949">SUM(L786:L788)</f>
        <v>8.4186020850720631</v>
      </c>
      <c r="M785" s="1">
        <f t="shared" si="949"/>
        <v>7.8502957382452712</v>
      </c>
      <c r="N785" s="1">
        <f t="shared" si="949"/>
        <v>6.944816776655971</v>
      </c>
      <c r="O785" s="1">
        <f t="shared" si="949"/>
        <v>7.2458838930114133</v>
      </c>
      <c r="P785" s="1">
        <f>SUM(P786:P788)</f>
        <v>6.9422328934876649</v>
      </c>
      <c r="Q785" s="1">
        <f>SUM(Q786:Q788)</f>
        <v>6.9391129447012423</v>
      </c>
      <c r="S785" s="3"/>
    </row>
    <row r="786" spans="2:19" x14ac:dyDescent="0.5">
      <c r="B786" s="5" t="str">
        <f t="shared" si="942"/>
        <v>SPS1</v>
      </c>
      <c r="C786" s="5" t="str">
        <f t="shared" si="943"/>
        <v>CH</v>
      </c>
      <c r="D786" t="s">
        <v>680</v>
      </c>
      <c r="E786" t="s">
        <v>8</v>
      </c>
      <c r="F786" s="1">
        <f>[1]Industry!B$38*F779/SUM(F779:F780)</f>
        <v>0.30888095692274969</v>
      </c>
      <c r="G786" s="1">
        <f>[1]Industry!C$38*G779/SUM(G779:G780)</f>
        <v>4.6041348673345393E-5</v>
      </c>
      <c r="H786" s="1">
        <f>[1]Industry!D$38*H779/SUM(H779:H780)</f>
        <v>2.1253205345605948</v>
      </c>
      <c r="I786" s="1">
        <f>[1]Industry!E$38*I779/SUM(I779:I780)</f>
        <v>2.4578483262018738</v>
      </c>
      <c r="J786" s="1">
        <f>[1]Industry!F$38*J779/SUM(J779:J780)</f>
        <v>2.3616093046535567</v>
      </c>
      <c r="K786" s="1">
        <f>[1]Industry!G$38*K779/SUM(K779:K780)</f>
        <v>2.1573726862892069</v>
      </c>
      <c r="L786" s="1">
        <f>[1]Industry!H$38*L779/SUM(L779:L780)</f>
        <v>2.0791588445829263</v>
      </c>
      <c r="M786" s="1">
        <f>[1]Industry!I$38*M779/SUM(M779:M780)</f>
        <v>1.5044419103524076</v>
      </c>
      <c r="N786" s="1">
        <f>[1]Industry!J$38*N779/SUM(N779:N780)</f>
        <v>0.61003062520684748</v>
      </c>
      <c r="O786" s="1">
        <f>[1]Industry!K$38*O779/SUM(O779:O780)</f>
        <v>0.91108945093851101</v>
      </c>
      <c r="P786" s="1">
        <f>[1]Industry!L$38*P779/SUM(P779:P780)</f>
        <v>0.60743236365011777</v>
      </c>
      <c r="Q786" s="1">
        <f>[1]Industry!M$38*Q779/SUM(Q779:Q780)</f>
        <v>0.60428290969816223</v>
      </c>
      <c r="S786" s="3"/>
    </row>
    <row r="787" spans="2:19" x14ac:dyDescent="0.5">
      <c r="B787" s="5" t="str">
        <f t="shared" ref="B787" si="950">B786</f>
        <v>SPS1</v>
      </c>
      <c r="C787" s="5" t="str">
        <f t="shared" ref="C787" si="951">C786</f>
        <v>CH</v>
      </c>
      <c r="D787" t="s">
        <v>724</v>
      </c>
      <c r="E787" t="s">
        <v>8</v>
      </c>
      <c r="F787" s="1">
        <f>[1]Industry!B$38-F786</f>
        <v>1.2016617959076381E-5</v>
      </c>
      <c r="G787" s="1">
        <f>[1]Industry!C$38-G786</f>
        <v>1.5607621369724135E-6</v>
      </c>
      <c r="H787" s="1">
        <f>[1]Industry!D$38-H786</f>
        <v>6.2655743324470325E-2</v>
      </c>
      <c r="I787" s="1">
        <f>[1]Industry!E$38-I786</f>
        <v>2.0572120507877933E-3</v>
      </c>
      <c r="J787" s="1">
        <f>[1]Industry!F$38-J786</f>
        <v>3.9478936234291773E-3</v>
      </c>
      <c r="K787" s="1">
        <f>[1]Industry!G$38-K786</f>
        <v>3.9543788732809837E-3</v>
      </c>
      <c r="L787" s="1">
        <f>[1]Industry!H$38-L786</f>
        <v>4.6606624601746027E-3</v>
      </c>
      <c r="M787" s="1">
        <f>[1]Industry!I$38-M786</f>
        <v>1.1069398451818868E-2</v>
      </c>
      <c r="N787" s="1">
        <f>[1]Industry!J$38-N786</f>
        <v>0</v>
      </c>
      <c r="O787" s="1">
        <f>[1]Industry!K$38-O786</f>
        <v>0</v>
      </c>
      <c r="P787" s="1">
        <f>[1]Industry!L$38-P786</f>
        <v>0</v>
      </c>
      <c r="Q787" s="1">
        <f>[1]Industry!M$38-Q786</f>
        <v>0</v>
      </c>
      <c r="S787" s="3"/>
    </row>
    <row r="788" spans="2:19" x14ac:dyDescent="0.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0.43672636444825019</v>
      </c>
      <c r="G788" s="1">
        <f>[1]Industry!C$39</f>
        <v>0.55206537324846738</v>
      </c>
      <c r="H788" s="1">
        <f>[1]Industry!D$39</f>
        <v>2.8956670014089534</v>
      </c>
      <c r="I788" s="1">
        <f>[1]Industry!E$39</f>
        <v>6.3347646795463506</v>
      </c>
      <c r="J788" s="1">
        <f>[1]Industry!F$39</f>
        <v>6.3347804753735115</v>
      </c>
      <c r="K788" s="1">
        <f>[1]Industry!G$39</f>
        <v>6.3347816822059366</v>
      </c>
      <c r="L788" s="1">
        <f>[1]Industry!H$39</f>
        <v>6.3347825780289613</v>
      </c>
      <c r="M788" s="1">
        <f>[1]Industry!I$39</f>
        <v>6.3347844294410445</v>
      </c>
      <c r="N788" s="1">
        <f>[1]Industry!J$39</f>
        <v>6.3347861514491237</v>
      </c>
      <c r="O788" s="1">
        <f>[1]Industry!K$39</f>
        <v>6.3347944420729023</v>
      </c>
      <c r="P788" s="1">
        <f>[1]Industry!L$39</f>
        <v>6.3348005298375467</v>
      </c>
      <c r="Q788" s="1">
        <f>[1]Industry!M$39</f>
        <v>6.3348300350030797</v>
      </c>
      <c r="S788" s="3"/>
    </row>
    <row r="789" spans="2:19" x14ac:dyDescent="0.5">
      <c r="B789" s="5" t="str">
        <f t="shared" si="942"/>
        <v>SPS1</v>
      </c>
      <c r="C789" s="5" t="str">
        <f t="shared" si="943"/>
        <v>CH</v>
      </c>
      <c r="D789" t="s">
        <v>946</v>
      </c>
      <c r="E789" t="s">
        <v>8</v>
      </c>
      <c r="F789" s="1">
        <f>[1]Industry!B$18</f>
        <v>3.5600028325641038</v>
      </c>
      <c r="G789" s="1">
        <f>[1]Industry!C$18</f>
        <v>3.4647171086466249</v>
      </c>
      <c r="H789" s="1">
        <f>[1]Industry!D$18</f>
        <v>0.54004899139227924</v>
      </c>
      <c r="I789" s="1">
        <f>[1]Industry!E$18</f>
        <v>2.6735405715085325E-4</v>
      </c>
      <c r="J789" s="1">
        <f>[1]Industry!F$18</f>
        <v>1.6295852648125556E-4</v>
      </c>
      <c r="K789" s="1">
        <f>[1]Industry!G$18</f>
        <v>1.0140654488555371E-3</v>
      </c>
      <c r="L789" s="1">
        <f>[1]Industry!H$18</f>
        <v>6.2856077447267849E-4</v>
      </c>
      <c r="M789" s="1">
        <f>[1]Industry!I$18</f>
        <v>3.7613076015022593E-4</v>
      </c>
      <c r="N789" s="1">
        <f>[1]Industry!J$18</f>
        <v>2.8935843068367116E-4</v>
      </c>
      <c r="O789" s="1">
        <f>[1]Industry!K$18</f>
        <v>6.2114297043794483E-4</v>
      </c>
      <c r="P789" s="1">
        <f>[1]Industry!L$18</f>
        <v>3.275712252769094E-4</v>
      </c>
      <c r="Q789" s="1">
        <f>[1]Industry!M$18</f>
        <v>1.3090628940185694E-4</v>
      </c>
      <c r="S789" s="3"/>
    </row>
    <row r="790" spans="2:19" x14ac:dyDescent="0.5">
      <c r="B790" s="5" t="str">
        <f t="shared" si="942"/>
        <v>SPS1</v>
      </c>
      <c r="C790" s="5" t="str">
        <f t="shared" si="943"/>
        <v>CH</v>
      </c>
      <c r="D790" t="s">
        <v>947</v>
      </c>
      <c r="E790" t="s">
        <v>8</v>
      </c>
      <c r="F790" s="1">
        <f>F789</f>
        <v>3.5600028325641038</v>
      </c>
      <c r="G790" s="1">
        <f t="shared" ref="G790:K790" si="952">G789</f>
        <v>3.4647171086466249</v>
      </c>
      <c r="H790" s="1">
        <f t="shared" si="952"/>
        <v>0.54004899139227924</v>
      </c>
      <c r="I790" s="1">
        <f t="shared" si="952"/>
        <v>2.6735405715085325E-4</v>
      </c>
      <c r="J790" s="1">
        <f t="shared" si="952"/>
        <v>1.6295852648125556E-4</v>
      </c>
      <c r="K790" s="1">
        <f t="shared" si="952"/>
        <v>1.0140654488555371E-3</v>
      </c>
      <c r="L790" s="1">
        <f t="shared" ref="L790:O790" si="953">L789</f>
        <v>6.2856077447267849E-4</v>
      </c>
      <c r="M790" s="1">
        <f t="shared" si="953"/>
        <v>3.7613076015022593E-4</v>
      </c>
      <c r="N790" s="1">
        <f t="shared" si="953"/>
        <v>2.8935843068367116E-4</v>
      </c>
      <c r="O790" s="1">
        <f t="shared" si="953"/>
        <v>6.2114297043794483E-4</v>
      </c>
      <c r="P790" s="1">
        <f>P789</f>
        <v>3.275712252769094E-4</v>
      </c>
      <c r="Q790" s="1">
        <f>Q789</f>
        <v>1.3090628940185694E-4</v>
      </c>
      <c r="S790" s="3"/>
    </row>
    <row r="791" spans="2:19" x14ac:dyDescent="0.5">
      <c r="B791" s="5" t="str">
        <f t="shared" ref="B791:B792" si="954">B790</f>
        <v>SPS1</v>
      </c>
      <c r="C791" s="5" t="str">
        <f t="shared" ref="C791:C792" si="955">C790</f>
        <v>CH</v>
      </c>
      <c r="D791" t="s">
        <v>948</v>
      </c>
      <c r="E791" t="s">
        <v>8</v>
      </c>
      <c r="F791" s="1">
        <f>[1]Industry!B$19</f>
        <v>12.728646246329831</v>
      </c>
      <c r="G791" s="1">
        <f>[1]Industry!C$19</f>
        <v>13.638427426482071</v>
      </c>
      <c r="H791" s="1">
        <f>[1]Industry!D$19</f>
        <v>13.376433130448511</v>
      </c>
      <c r="I791" s="1">
        <f>[1]Industry!E$19</f>
        <v>15.469380666082223</v>
      </c>
      <c r="J791" s="1">
        <f>[1]Industry!F$19</f>
        <v>14.972138668788279</v>
      </c>
      <c r="K791" s="1">
        <f>[1]Industry!G$19</f>
        <v>17.972654650258633</v>
      </c>
      <c r="L791" s="1">
        <f>[1]Industry!H$19</f>
        <v>22.420766484932997</v>
      </c>
      <c r="M791" s="1">
        <f>[1]Industry!I$19</f>
        <v>21.763145623741821</v>
      </c>
      <c r="N791" s="1">
        <f>[1]Industry!J$19</f>
        <v>23.396331902795172</v>
      </c>
      <c r="O791" s="1">
        <f>[1]Industry!K$19</f>
        <v>22.7625432849186</v>
      </c>
      <c r="P791" s="1">
        <f>[1]Industry!L$19</f>
        <v>22.202556485557473</v>
      </c>
      <c r="Q791" s="1">
        <f>[1]Industry!M$19</f>
        <v>22.17840428062166</v>
      </c>
      <c r="S791" s="3"/>
    </row>
    <row r="792" spans="2:19" x14ac:dyDescent="0.5">
      <c r="B792" s="5" t="str">
        <f t="shared" si="954"/>
        <v>SPS1</v>
      </c>
      <c r="C792" s="5" t="str">
        <f t="shared" si="955"/>
        <v>CH</v>
      </c>
      <c r="D792" t="s">
        <v>949</v>
      </c>
      <c r="E792" t="s">
        <v>8</v>
      </c>
      <c r="F792" s="1">
        <f>SUM(F793:F801)</f>
        <v>4.2930443366399977</v>
      </c>
      <c r="G792" s="1">
        <f t="shared" ref="G792:K792" si="956">SUM(G793:G801)</f>
        <v>5.2629448854177232</v>
      </c>
      <c r="H792" s="1">
        <f t="shared" si="956"/>
        <v>6.065169935313282</v>
      </c>
      <c r="I792" s="1">
        <f t="shared" si="956"/>
        <v>7.2710216359963828</v>
      </c>
      <c r="J792" s="1">
        <f t="shared" si="956"/>
        <v>6.9745431597227006</v>
      </c>
      <c r="K792" s="1">
        <f t="shared" si="956"/>
        <v>10.911455765194184</v>
      </c>
      <c r="L792" s="1">
        <f t="shared" ref="L792:O792" si="957">SUM(L793:L801)</f>
        <v>13.651977042294478</v>
      </c>
      <c r="M792" s="1">
        <f t="shared" si="957"/>
        <v>13.95994276611883</v>
      </c>
      <c r="N792" s="1">
        <f t="shared" si="957"/>
        <v>14.145226741085882</v>
      </c>
      <c r="O792" s="1">
        <f t="shared" si="957"/>
        <v>14.102500948061415</v>
      </c>
      <c r="P792" s="1">
        <f>SUM(P793:P801)</f>
        <v>14.315748693956859</v>
      </c>
      <c r="Q792" s="1">
        <f>SUM(Q793:Q801)</f>
        <v>14.335832729945402</v>
      </c>
      <c r="S792" s="3"/>
    </row>
    <row r="793" spans="2:19" x14ac:dyDescent="0.5">
      <c r="B793" s="5" t="str">
        <f t="shared" ref="B793:B802" si="958">B792</f>
        <v>SPS1</v>
      </c>
      <c r="C793" s="5" t="str">
        <f t="shared" ref="C793:C810" si="959">C792</f>
        <v>CH</v>
      </c>
      <c r="D793" t="s">
        <v>481</v>
      </c>
      <c r="E793" t="s">
        <v>8</v>
      </c>
      <c r="F793" s="1">
        <f>F235</f>
        <v>0.92933060974984127</v>
      </c>
      <c r="G793" s="1">
        <f t="shared" ref="G793:K793" si="960">G235</f>
        <v>2.072278539732801</v>
      </c>
      <c r="H793" s="1">
        <f t="shared" si="960"/>
        <v>9.0992925945108813E-2</v>
      </c>
      <c r="I793" s="1">
        <f t="shared" si="960"/>
        <v>1.3164212358740199</v>
      </c>
      <c r="J793" s="1">
        <f t="shared" si="960"/>
        <v>0.84865969751812875</v>
      </c>
      <c r="K793" s="1">
        <f t="shared" si="960"/>
        <v>0</v>
      </c>
      <c r="L793" s="1">
        <f t="shared" ref="L793:O793" si="961">L235</f>
        <v>0</v>
      </c>
      <c r="M793" s="1">
        <f t="shared" si="961"/>
        <v>0</v>
      </c>
      <c r="N793" s="1">
        <f t="shared" si="961"/>
        <v>0.26171623929181637</v>
      </c>
      <c r="O793" s="1">
        <f t="shared" si="961"/>
        <v>0.26122462936035468</v>
      </c>
      <c r="P793" s="1">
        <f>P235</f>
        <v>0.37781685127118259</v>
      </c>
      <c r="Q793" s="1">
        <f>Q235</f>
        <v>0.3752068843669456</v>
      </c>
      <c r="S793" s="3"/>
    </row>
    <row r="794" spans="2:19" x14ac:dyDescent="0.5">
      <c r="B794" s="5" t="str">
        <f t="shared" si="958"/>
        <v>SPS1</v>
      </c>
      <c r="C794" s="5" t="str">
        <f t="shared" si="959"/>
        <v>CH</v>
      </c>
      <c r="D794" t="s">
        <v>482</v>
      </c>
      <c r="E794" t="s">
        <v>8</v>
      </c>
      <c r="F794" s="1">
        <f>F241</f>
        <v>0.76930782645403428</v>
      </c>
      <c r="G794" s="1">
        <f t="shared" ref="G794:K794" si="962">G241</f>
        <v>0.47353281410956449</v>
      </c>
      <c r="H794" s="1">
        <f t="shared" si="962"/>
        <v>6.0773067599211895E-2</v>
      </c>
      <c r="I794" s="1">
        <f t="shared" si="962"/>
        <v>0.45068866016299114</v>
      </c>
      <c r="J794" s="1">
        <f t="shared" si="962"/>
        <v>0.4239291129499419</v>
      </c>
      <c r="K794" s="1">
        <f t="shared" si="962"/>
        <v>0.74884096896742181</v>
      </c>
      <c r="L794" s="1">
        <f t="shared" ref="L794:O794" si="963">L241</f>
        <v>0.47290811392110488</v>
      </c>
      <c r="M794" s="1">
        <f t="shared" si="963"/>
        <v>0.46851197849068937</v>
      </c>
      <c r="N794" s="1">
        <f t="shared" si="963"/>
        <v>0.46824721783694156</v>
      </c>
      <c r="O794" s="1">
        <f t="shared" si="963"/>
        <v>0.39292596101320387</v>
      </c>
      <c r="P794" s="1">
        <f t="shared" ref="P794:Q796" si="964">P241</f>
        <v>0.46835211710008873</v>
      </c>
      <c r="Q794" s="1">
        <f t="shared" si="964"/>
        <v>0.46865682275968257</v>
      </c>
      <c r="S794" s="3"/>
    </row>
    <row r="795" spans="2:19" x14ac:dyDescent="0.5">
      <c r="B795" s="5" t="str">
        <f t="shared" si="958"/>
        <v>SPS1</v>
      </c>
      <c r="C795" s="5" t="str">
        <f t="shared" si="959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65">G242</f>
        <v>0</v>
      </c>
      <c r="H795" s="1">
        <f t="shared" si="965"/>
        <v>0</v>
      </c>
      <c r="I795" s="1">
        <f t="shared" si="965"/>
        <v>0</v>
      </c>
      <c r="J795" s="1">
        <f t="shared" si="965"/>
        <v>0</v>
      </c>
      <c r="K795" s="1">
        <f t="shared" si="965"/>
        <v>5.1398991182091186E-3</v>
      </c>
      <c r="L795" s="1">
        <f t="shared" ref="L795:O795" si="966">L242</f>
        <v>0.27341908598960152</v>
      </c>
      <c r="M795" s="1">
        <f t="shared" si="966"/>
        <v>0.27090006439131809</v>
      </c>
      <c r="N795" s="1">
        <f t="shared" si="966"/>
        <v>0.27073918177023493</v>
      </c>
      <c r="O795" s="1">
        <f t="shared" si="966"/>
        <v>0.22719489778061638</v>
      </c>
      <c r="P795" s="1">
        <f t="shared" si="964"/>
        <v>0.27080474356481188</v>
      </c>
      <c r="Q795" s="1">
        <f t="shared" si="964"/>
        <v>0.27097900858774271</v>
      </c>
      <c r="S795" s="3"/>
    </row>
    <row r="796" spans="2:19" x14ac:dyDescent="0.5">
      <c r="B796" s="5" t="str">
        <f t="shared" si="958"/>
        <v>SPS1</v>
      </c>
      <c r="C796" s="5" t="str">
        <f t="shared" si="959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67">G243</f>
        <v>0</v>
      </c>
      <c r="H796" s="1">
        <f t="shared" si="967"/>
        <v>0</v>
      </c>
      <c r="I796" s="1">
        <f t="shared" si="967"/>
        <v>1.4879417098979028E-4</v>
      </c>
      <c r="J796" s="1">
        <f t="shared" si="967"/>
        <v>2.2432635994312834E-4</v>
      </c>
      <c r="K796" s="1">
        <f t="shared" si="967"/>
        <v>1.9217257539161515E-3</v>
      </c>
      <c r="L796" s="1">
        <f t="shared" ref="L796:O796" si="968">L243</f>
        <v>1.2738342101888038E-3</v>
      </c>
      <c r="M796" s="1">
        <f t="shared" si="968"/>
        <v>3.9569551350233185E-4</v>
      </c>
      <c r="N796" s="1">
        <f t="shared" si="968"/>
        <v>5.5205535408067317E-4</v>
      </c>
      <c r="O796" s="1">
        <f t="shared" si="968"/>
        <v>1.1430045131604226E-3</v>
      </c>
      <c r="P796" s="1">
        <f t="shared" si="964"/>
        <v>4.9050050728856179E-4</v>
      </c>
      <c r="Q796" s="1">
        <f t="shared" si="964"/>
        <v>3.1865124747921652E-4</v>
      </c>
      <c r="S796" s="3"/>
    </row>
    <row r="797" spans="2:19" x14ac:dyDescent="0.5">
      <c r="B797" s="5" t="str">
        <f t="shared" si="958"/>
        <v>SPS1</v>
      </c>
      <c r="C797" s="5" t="str">
        <f t="shared" si="959"/>
        <v>CH</v>
      </c>
      <c r="D797" t="s">
        <v>485</v>
      </c>
      <c r="E797" t="s">
        <v>8</v>
      </c>
      <c r="F797" s="1">
        <f>F274</f>
        <v>1.9347926511265963</v>
      </c>
      <c r="G797" s="1">
        <f t="shared" ref="G797:K797" si="969">G274</f>
        <v>1.8587665077795834</v>
      </c>
      <c r="H797" s="1">
        <f t="shared" si="969"/>
        <v>2.5502871241423537</v>
      </c>
      <c r="I797" s="1">
        <f t="shared" si="969"/>
        <v>2.243330358406173</v>
      </c>
      <c r="J797" s="1">
        <f t="shared" si="969"/>
        <v>1.9426654011197206</v>
      </c>
      <c r="K797" s="1">
        <f t="shared" si="969"/>
        <v>1.4005971568376532</v>
      </c>
      <c r="L797" s="1">
        <f t="shared" ref="L797:O797" si="970">L274</f>
        <v>6.7147067915840353E-4</v>
      </c>
      <c r="M797" s="1">
        <f t="shared" si="970"/>
        <v>2.1770382624408668E-4</v>
      </c>
      <c r="N797" s="1">
        <f t="shared" si="970"/>
        <v>3.4806126947684035E-4</v>
      </c>
      <c r="O797" s="1">
        <f t="shared" si="970"/>
        <v>6.0501356727904465E-4</v>
      </c>
      <c r="P797" s="1">
        <f>P274</f>
        <v>3.7638536261130895E-4</v>
      </c>
      <c r="Q797" s="1">
        <f>Q274</f>
        <v>1.3771980697629971E-4</v>
      </c>
      <c r="S797" s="3"/>
    </row>
    <row r="798" spans="2:19" x14ac:dyDescent="0.5">
      <c r="B798" s="5" t="str">
        <f t="shared" si="958"/>
        <v>SPS1</v>
      </c>
      <c r="C798" s="5" t="str">
        <f t="shared" si="959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71">G275</f>
        <v>0</v>
      </c>
      <c r="H798" s="1">
        <f t="shared" si="971"/>
        <v>0</v>
      </c>
      <c r="I798" s="1">
        <f t="shared" si="971"/>
        <v>0</v>
      </c>
      <c r="J798" s="1">
        <f t="shared" si="971"/>
        <v>0</v>
      </c>
      <c r="K798" s="1">
        <f t="shared" si="971"/>
        <v>0.23250266559817523</v>
      </c>
      <c r="L798" s="1">
        <f t="shared" ref="L798:O798" si="972">L275</f>
        <v>2.5182503714797058</v>
      </c>
      <c r="M798" s="1">
        <f t="shared" si="972"/>
        <v>2.0112017474551771</v>
      </c>
      <c r="N798" s="1">
        <f t="shared" si="972"/>
        <v>2.0110276548687871</v>
      </c>
      <c r="O798" s="1">
        <f t="shared" si="972"/>
        <v>2.0105661980244065</v>
      </c>
      <c r="P798" s="1">
        <f>P275</f>
        <v>2.0110108008605314</v>
      </c>
      <c r="Q798" s="1">
        <f>Q275</f>
        <v>2.0113396572010749</v>
      </c>
      <c r="S798" s="3"/>
    </row>
    <row r="799" spans="2:19" x14ac:dyDescent="0.5">
      <c r="B799" s="5" t="str">
        <f t="shared" si="958"/>
        <v>SPS1</v>
      </c>
      <c r="C799" s="5" t="str">
        <f t="shared" si="959"/>
        <v>CH</v>
      </c>
      <c r="D799" t="s">
        <v>487</v>
      </c>
      <c r="E799" t="s">
        <v>8</v>
      </c>
      <c r="F799" s="1">
        <f>F283</f>
        <v>0.65961324930952603</v>
      </c>
      <c r="G799" s="1">
        <f t="shared" ref="G799:K799" si="973">G283</f>
        <v>0.85836702379577445</v>
      </c>
      <c r="H799" s="1">
        <f t="shared" si="973"/>
        <v>3.3631168176266075</v>
      </c>
      <c r="I799" s="1">
        <f t="shared" si="973"/>
        <v>3.2550987573717522</v>
      </c>
      <c r="J799" s="1">
        <f t="shared" si="973"/>
        <v>3.2510340481196658</v>
      </c>
      <c r="K799" s="1">
        <f t="shared" si="973"/>
        <v>1.3748546125207026</v>
      </c>
      <c r="L799" s="1">
        <f t="shared" ref="L799:O799" si="974">L283</f>
        <v>0.39953018709216703</v>
      </c>
      <c r="M799" s="1">
        <f t="shared" si="974"/>
        <v>2.2297266027546669E-3</v>
      </c>
      <c r="N799" s="1">
        <f t="shared" si="974"/>
        <v>1.9573379075197295E-3</v>
      </c>
      <c r="O799" s="1">
        <f t="shared" si="974"/>
        <v>2.3551423005621075E-3</v>
      </c>
      <c r="P799" s="1">
        <f>P283</f>
        <v>1.9261179344649548E-3</v>
      </c>
      <c r="Q799" s="1">
        <f>Q283</f>
        <v>2.6984648005559109E-3</v>
      </c>
      <c r="S799" s="3"/>
    </row>
    <row r="800" spans="2:19" x14ac:dyDescent="0.5">
      <c r="B800" s="5" t="str">
        <f t="shared" si="958"/>
        <v>SPS1</v>
      </c>
      <c r="C800" s="5" t="str">
        <f t="shared" si="959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75">G284</f>
        <v>0</v>
      </c>
      <c r="H800" s="1">
        <f t="shared" si="975"/>
        <v>0</v>
      </c>
      <c r="I800" s="1">
        <f t="shared" si="975"/>
        <v>0</v>
      </c>
      <c r="J800" s="1">
        <f t="shared" si="975"/>
        <v>0</v>
      </c>
      <c r="K800" s="1">
        <f t="shared" si="975"/>
        <v>5.3797053215624198</v>
      </c>
      <c r="L800" s="1">
        <f t="shared" ref="L800:O800" si="976">L284</f>
        <v>7.7695007451479112</v>
      </c>
      <c r="M800" s="1">
        <f t="shared" si="976"/>
        <v>9.1915550665586672</v>
      </c>
      <c r="N800" s="1">
        <f t="shared" si="976"/>
        <v>9.1157078297473522</v>
      </c>
      <c r="O800" s="1">
        <f t="shared" si="976"/>
        <v>9.1915556356874113</v>
      </c>
      <c r="P800" s="1">
        <f>P284</f>
        <v>9.1700403403817159</v>
      </c>
      <c r="Q800" s="1">
        <f>Q284</f>
        <v>9.1915636085258292</v>
      </c>
      <c r="S800" s="3"/>
    </row>
    <row r="801" spans="2:19" x14ac:dyDescent="0.5">
      <c r="B801" s="5" t="str">
        <f t="shared" si="958"/>
        <v>SPS1</v>
      </c>
      <c r="C801" s="5" t="str">
        <f t="shared" si="959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77">G289</f>
        <v>0</v>
      </c>
      <c r="H801" s="1">
        <f t="shared" si="977"/>
        <v>0</v>
      </c>
      <c r="I801" s="1">
        <f t="shared" si="977"/>
        <v>5.3338300104569846E-3</v>
      </c>
      <c r="J801" s="1">
        <f t="shared" si="977"/>
        <v>0.50803057365529991</v>
      </c>
      <c r="K801" s="1">
        <f t="shared" si="977"/>
        <v>1.7678934148356868</v>
      </c>
      <c r="L801" s="1">
        <f t="shared" ref="L801:O801" si="978">L289</f>
        <v>2.2164232337746399</v>
      </c>
      <c r="M801" s="1">
        <f t="shared" si="978"/>
        <v>2.0149307832804788</v>
      </c>
      <c r="N801" s="1">
        <f t="shared" si="978"/>
        <v>2.0149311630396722</v>
      </c>
      <c r="O801" s="1">
        <f t="shared" si="978"/>
        <v>2.0149304658144209</v>
      </c>
      <c r="P801" s="1">
        <f>P289</f>
        <v>2.0149308369741639</v>
      </c>
      <c r="Q801" s="1">
        <f>Q289</f>
        <v>2.0149319126491148</v>
      </c>
      <c r="S801" s="3"/>
    </row>
    <row r="802" spans="2:19" x14ac:dyDescent="0.5">
      <c r="B802" s="5" t="str">
        <f t="shared" si="958"/>
        <v>SPS1</v>
      </c>
      <c r="C802" s="5" t="str">
        <f t="shared" si="959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7.1200037690718032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7.6289064229247332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7.2463971357543437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7.7665283827889073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7.9986122061409928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7.1287515532291019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7.969176088037492</v>
      </c>
      <c r="M802" s="1" cm="1">
        <f t="array" ref="M802">SUMPRODUCT(([1]OUT_FinalEnergyCons!$B$4:$B$10000="Var_Fin")*1, ([1]OUT_FinalEnergyCons!$C$4:$C$10000="ITOT_LTH_DH")*1, (ISNUMBER(SEARCH("ITOT-SWHLTHDH",[1]OUT_FinalEnergyCons!$A$4:$A$10000)))*1,[1]OUT_FinalEnergyCons!K$4:K$10000)</f>
        <v>7.2969356058891313</v>
      </c>
      <c r="N802" s="1" cm="1">
        <f t="array" ref="N802">SUMPRODUCT(([1]OUT_FinalEnergyCons!$B$4:$B$10000="Var_Fin")*1, ([1]OUT_FinalEnergyCons!$C$4:$C$10000="ITOT_LTH_DH")*1, (ISNUMBER(SEARCH("ITOT-SWHLTHDH",[1]OUT_FinalEnergyCons!$A$4:$A$10000)))*1,[1]OUT_FinalEnergyCons!L$4:L$10000)</f>
        <v>8.5621816822846011</v>
      </c>
      <c r="O802" s="1" cm="1">
        <f t="array" ref="O802">SUMPRODUCT(([1]OUT_FinalEnergyCons!$B$4:$B$10000="Var_Fin")*1, ([1]OUT_FinalEnergyCons!$C$4:$C$10000="ITOT_LTH_DH")*1, (ISNUMBER(SEARCH("ITOT-SWHLTHDH",[1]OUT_FinalEnergyCons!$A$4:$A$10000)))*1,[1]OUT_FinalEnergyCons!M$4:M$10000)</f>
        <v>7.9997673567957754</v>
      </c>
      <c r="P802" s="1" cm="1">
        <f t="array" ref="P802">SUMPRODUCT(([1]OUT_FinalEnergyCons!$B$4:$B$10000="Var_Fin")*1, ([1]OUT_FinalEnergyCons!$C$4:$C$10000="ITOT_LTH_DH")*1, (ISNUMBER(SEARCH("ITOT-SWHLTHDH",[1]OUT_FinalEnergyCons!$A$4:$A$10000)))*1,[1]OUT_FinalEnergyCons!N$4:N$10000)</f>
        <v>7.1996823839228616</v>
      </c>
      <c r="Q802" s="1" cm="1">
        <f t="array" ref="Q802">SUMPRODUCT(([1]OUT_FinalEnergyCons!$B$4:$B$10000="Var_Fin")*1, ([1]OUT_FinalEnergyCons!$C$4:$C$10000="ITOT_LTH_DH")*1, (ISNUMBER(SEARCH("ITOT-SWHLTHDH",[1]OUT_FinalEnergyCons!$A$4:$A$10000)))*1,[1]OUT_FinalEnergyCons!O$4:O$10000)</f>
        <v>7.1776409483287065</v>
      </c>
      <c r="S802" s="3"/>
    </row>
    <row r="803" spans="2:19" x14ac:dyDescent="0.5">
      <c r="B803" s="5" t="str">
        <f>B802</f>
        <v>SPS1</v>
      </c>
      <c r="C803" s="5" t="str">
        <f t="shared" si="959"/>
        <v>CH</v>
      </c>
      <c r="D803" t="s">
        <v>951</v>
      </c>
      <c r="E803" t="s">
        <v>8</v>
      </c>
      <c r="F803" s="1">
        <f>F804</f>
        <v>9.0018974514284036</v>
      </c>
      <c r="G803" s="1">
        <f t="shared" ref="G803:O803" si="979">G804</f>
        <v>10.609942173348333</v>
      </c>
      <c r="H803" s="1">
        <f t="shared" si="979"/>
        <v>9.8539996771365761</v>
      </c>
      <c r="I803" s="1">
        <f t="shared" si="979"/>
        <v>11.484952394973844</v>
      </c>
      <c r="J803" s="1">
        <f t="shared" si="979"/>
        <v>12.279370529774878</v>
      </c>
      <c r="K803" s="1">
        <f t="shared" si="979"/>
        <v>9.7905745054252655</v>
      </c>
      <c r="L803" s="1">
        <f t="shared" si="979"/>
        <v>9.8079785995911255</v>
      </c>
      <c r="M803" s="1">
        <f t="shared" si="979"/>
        <v>9.8216481449172619</v>
      </c>
      <c r="N803" s="1">
        <f t="shared" si="979"/>
        <v>9.7330692567378563</v>
      </c>
      <c r="O803" s="1">
        <f t="shared" si="979"/>
        <v>10.459915618981343</v>
      </c>
      <c r="P803" s="1">
        <f>P804</f>
        <v>9.6786167729137826</v>
      </c>
      <c r="Q803" s="1">
        <f>Q804</f>
        <v>9.646199546527173</v>
      </c>
      <c r="S803" s="3"/>
    </row>
    <row r="804" spans="2:19" x14ac:dyDescent="0.5">
      <c r="B804" s="5" t="str">
        <f t="shared" ref="B804:B806" si="980">B803</f>
        <v>SPS1</v>
      </c>
      <c r="C804" s="5" t="str">
        <f t="shared" si="959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9.0018974514284036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10.609942173348333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9.8539996771365761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11.484952394973844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12.279370529774878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9.7905745054252655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9.8079785995911255</v>
      </c>
      <c r="M804" s="1" cm="1">
        <f t="array" ref="M804">SUMPRODUCT(([1]OUT_FinalEnergyCons!$B$4:$B$10000="Var_Fin")*1, ([1]OUT_FinalEnergyCons!$C$4:$C$10000="iWOD")*1, (ISNUMBER(SEARCH("ITOT-SWHWOD*BR",[1]OUT_FinalEnergyCons!$A$4:$A$10000)))*1,[1]OUT_FinalEnergyCons!K$4:K$10000)</f>
        <v>9.8216481449172619</v>
      </c>
      <c r="N804" s="1" cm="1">
        <f t="array" ref="N804">SUMPRODUCT(([1]OUT_FinalEnergyCons!$B$4:$B$10000="Var_Fin")*1, ([1]OUT_FinalEnergyCons!$C$4:$C$10000="iWOD")*1, (ISNUMBER(SEARCH("ITOT-SWHWOD*BR",[1]OUT_FinalEnergyCons!$A$4:$A$10000)))*1,[1]OUT_FinalEnergyCons!L$4:L$10000)</f>
        <v>9.7330692567378563</v>
      </c>
      <c r="O804" s="1" cm="1">
        <f t="array" ref="O804">SUMPRODUCT(([1]OUT_FinalEnergyCons!$B$4:$B$10000="Var_Fin")*1, ([1]OUT_FinalEnergyCons!$C$4:$C$10000="iWOD")*1, (ISNUMBER(SEARCH("ITOT-SWHWOD*BR",[1]OUT_FinalEnergyCons!$A$4:$A$10000)))*1,[1]OUT_FinalEnergyCons!M$4:M$10000)</f>
        <v>10.459915618981343</v>
      </c>
      <c r="P804" s="1" cm="1">
        <f t="array" ref="P804">SUMPRODUCT(([1]OUT_FinalEnergyCons!$B$4:$B$10000="Var_Fin")*1, ([1]OUT_FinalEnergyCons!$C$4:$C$10000="iWOD")*1, (ISNUMBER(SEARCH("ITOT-SWHWOD*BR",[1]OUT_FinalEnergyCons!$A$4:$A$10000)))*1,[1]OUT_FinalEnergyCons!N$4:N$10000)</f>
        <v>9.6786167729137826</v>
      </c>
      <c r="Q804" s="1" cm="1">
        <f t="array" ref="Q804">SUMPRODUCT(([1]OUT_FinalEnergyCons!$B$4:$B$10000="Var_Fin")*1, ([1]OUT_FinalEnergyCons!$C$4:$C$10000="iWOD")*1, (ISNUMBER(SEARCH("ITOT-SWHWOD*BR",[1]OUT_FinalEnergyCons!$A$4:$A$10000)))*1,[1]OUT_FinalEnergyCons!O$4:O$10000)</f>
        <v>9.646199546527173</v>
      </c>
      <c r="S804" s="3"/>
    </row>
    <row r="805" spans="2:19" x14ac:dyDescent="0.5">
      <c r="B805" s="5" t="str">
        <f t="shared" si="980"/>
        <v>SPS1</v>
      </c>
      <c r="C805" s="5" t="str">
        <f t="shared" si="959"/>
        <v>CH</v>
      </c>
      <c r="D805" t="s">
        <v>953</v>
      </c>
      <c r="E805" t="s">
        <v>8</v>
      </c>
      <c r="F805" s="1">
        <f>F806</f>
        <v>0.6257879821030542</v>
      </c>
      <c r="G805" s="1">
        <f t="shared" ref="G805:O805" si="981">G806</f>
        <v>0.73757354672874675</v>
      </c>
      <c r="H805" s="1">
        <f t="shared" si="981"/>
        <v>0.73632801748532106</v>
      </c>
      <c r="I805" s="1">
        <f t="shared" si="981"/>
        <v>0.73426768274152909</v>
      </c>
      <c r="J805" s="1">
        <f t="shared" si="981"/>
        <v>0.73221803512839168</v>
      </c>
      <c r="K805" s="1">
        <f t="shared" si="981"/>
        <v>0.73017874151122597</v>
      </c>
      <c r="L805" s="1">
        <f t="shared" si="981"/>
        <v>0.72815484527287844</v>
      </c>
      <c r="M805" s="1">
        <f t="shared" si="981"/>
        <v>0.72615702023876794</v>
      </c>
      <c r="N805" s="1">
        <f t="shared" si="981"/>
        <v>0.7261604413958147</v>
      </c>
      <c r="O805" s="1">
        <f t="shared" si="981"/>
        <v>0.72617501536957185</v>
      </c>
      <c r="P805" s="1">
        <f>P806</f>
        <v>0.7261821399824383</v>
      </c>
      <c r="Q805" s="1">
        <f>Q806</f>
        <v>0.72619896695013231</v>
      </c>
      <c r="S805" s="3"/>
    </row>
    <row r="806" spans="2:19" x14ac:dyDescent="0.5">
      <c r="B806" s="5" t="str">
        <f t="shared" si="980"/>
        <v>SPS1</v>
      </c>
      <c r="C806" s="5" t="str">
        <f t="shared" si="959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0.6257879821030542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0.73757354672874675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0.73632801748532106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0.73426768274152909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0.73221803512839168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0.73017874151122597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0.72815484527287844</v>
      </c>
      <c r="M806" s="1" cm="1">
        <f t="array" ref="M806">SUMPRODUCT(([1]OUT_FinalEnergyCons!$B$4:$B$10000="Var_Fin")*1, ([1]OUT_FinalEnergyCons!$C$4:$C$10000="IPLT")*1, (ISNUMBER(SEARCH("ITOT-SWHPLT*BR",[1]OUT_FinalEnergyCons!$A$4:$A$10000)))*1,[1]OUT_FinalEnergyCons!K$4:K$10000)</f>
        <v>0.72615702023876794</v>
      </c>
      <c r="N806" s="1" cm="1">
        <f t="array" ref="N806">SUMPRODUCT(([1]OUT_FinalEnergyCons!$B$4:$B$10000="Var_Fin")*1, ([1]OUT_FinalEnergyCons!$C$4:$C$10000="IPLT")*1, (ISNUMBER(SEARCH("ITOT-SWHPLT*BR",[1]OUT_FinalEnergyCons!$A$4:$A$10000)))*1,[1]OUT_FinalEnergyCons!L$4:L$10000)</f>
        <v>0.7261604413958147</v>
      </c>
      <c r="O806" s="1" cm="1">
        <f t="array" ref="O806">SUMPRODUCT(([1]OUT_FinalEnergyCons!$B$4:$B$10000="Var_Fin")*1, ([1]OUT_FinalEnergyCons!$C$4:$C$10000="IPLT")*1, (ISNUMBER(SEARCH("ITOT-SWHPLT*BR",[1]OUT_FinalEnergyCons!$A$4:$A$10000)))*1,[1]OUT_FinalEnergyCons!M$4:M$10000)</f>
        <v>0.72617501536957185</v>
      </c>
      <c r="P806" s="1" cm="1">
        <f t="array" ref="P806">SUMPRODUCT(([1]OUT_FinalEnergyCons!$B$4:$B$10000="Var_Fin")*1, ([1]OUT_FinalEnergyCons!$C$4:$C$10000="IPLT")*1, (ISNUMBER(SEARCH("ITOT-SWHPLT*BR",[1]OUT_FinalEnergyCons!$A$4:$A$10000)))*1,[1]OUT_FinalEnergyCons!N$4:N$10000)</f>
        <v>0.7261821399824383</v>
      </c>
      <c r="Q806" s="1" cm="1">
        <f t="array" ref="Q806">SUMPRODUCT(([1]OUT_FinalEnergyCons!$B$4:$B$10000="Var_Fin")*1, ([1]OUT_FinalEnergyCons!$C$4:$C$10000="IPLT")*1, (ISNUMBER(SEARCH("ITOT-SWHPLT*BR",[1]OUT_FinalEnergyCons!$A$4:$A$10000)))*1,[1]OUT_FinalEnergyCons!O$4:O$10000)</f>
        <v>0.72619896695013231</v>
      </c>
      <c r="S806" s="3"/>
    </row>
    <row r="807" spans="2:19" x14ac:dyDescent="0.5">
      <c r="B807" s="5" t="str">
        <f>B806</f>
        <v>SPS1</v>
      </c>
      <c r="C807" s="5" t="str">
        <f t="shared" si="959"/>
        <v>CH</v>
      </c>
      <c r="D807" t="s">
        <v>492</v>
      </c>
      <c r="E807" t="s">
        <v>8</v>
      </c>
      <c r="F807" s="1">
        <f>[1]Industry!B$21</f>
        <v>7.7980417748089961</v>
      </c>
      <c r="G807" s="1">
        <f>[1]Industry!C$21</f>
        <v>8.08014674040618</v>
      </c>
      <c r="H807" s="1">
        <f>[1]Industry!D$21</f>
        <v>5.6082667903510144</v>
      </c>
      <c r="I807" s="1">
        <f>[1]Industry!E$21</f>
        <v>5.5456294751597977</v>
      </c>
      <c r="J807" s="1">
        <f>[1]Industry!F$21</f>
        <v>5.48300093078835</v>
      </c>
      <c r="K807" s="1">
        <f>[1]Industry!G$21</f>
        <v>5.4553180242622492</v>
      </c>
      <c r="L807" s="1">
        <f>[1]Industry!H$21</f>
        <v>6.1307245514918554E-3</v>
      </c>
      <c r="M807" s="1">
        <f>[1]Industry!I$21</f>
        <v>5.1253909176746614E-4</v>
      </c>
      <c r="N807" s="1">
        <f>[1]Industry!J$21</f>
        <v>7.8162035431057568E-4</v>
      </c>
      <c r="O807" s="1">
        <f>[1]Industry!K$21</f>
        <v>2.0287094040718381E-3</v>
      </c>
      <c r="P807" s="1">
        <f>[1]Industry!L$21</f>
        <v>7.511806436125535E-4</v>
      </c>
      <c r="Q807" s="1">
        <f>[1]Industry!M$21</f>
        <v>1.589391740367427E-4</v>
      </c>
      <c r="S807" s="3"/>
    </row>
    <row r="808" spans="2:19" x14ac:dyDescent="0.5">
      <c r="B808" s="5" t="str">
        <f t="shared" ref="B808:B810" si="982">B807</f>
        <v>SPS1</v>
      </c>
      <c r="C808" s="5" t="str">
        <f t="shared" si="959"/>
        <v>CH</v>
      </c>
      <c r="D808" t="s">
        <v>495</v>
      </c>
      <c r="E808" t="s">
        <v>8</v>
      </c>
      <c r="F808" s="1">
        <f>F807</f>
        <v>7.7980417748089961</v>
      </c>
      <c r="G808" s="1">
        <f t="shared" ref="G808:K808" si="983">G807</f>
        <v>8.08014674040618</v>
      </c>
      <c r="H808" s="1">
        <f t="shared" si="983"/>
        <v>5.6082667903510144</v>
      </c>
      <c r="I808" s="1">
        <f t="shared" si="983"/>
        <v>5.5456294751597977</v>
      </c>
      <c r="J808" s="1">
        <f t="shared" si="983"/>
        <v>5.48300093078835</v>
      </c>
      <c r="K808" s="1">
        <f t="shared" si="983"/>
        <v>5.4553180242622492</v>
      </c>
      <c r="L808" s="1">
        <f t="shared" ref="L808:O808" si="984">L807</f>
        <v>6.1307245514918554E-3</v>
      </c>
      <c r="M808" s="1">
        <f t="shared" si="984"/>
        <v>5.1253909176746614E-4</v>
      </c>
      <c r="N808" s="1">
        <f t="shared" si="984"/>
        <v>7.8162035431057568E-4</v>
      </c>
      <c r="O808" s="1">
        <f t="shared" si="984"/>
        <v>2.0287094040718381E-3</v>
      </c>
      <c r="P808" s="1">
        <f>P807</f>
        <v>7.511806436125535E-4</v>
      </c>
      <c r="Q808" s="1">
        <f>Q807</f>
        <v>1.589391740367427E-4</v>
      </c>
      <c r="S808" s="3"/>
    </row>
    <row r="809" spans="2:19" x14ac:dyDescent="0.5">
      <c r="B809" s="5" t="str">
        <f t="shared" si="982"/>
        <v>SPS1</v>
      </c>
      <c r="C809" s="5" t="str">
        <f t="shared" si="959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S809" s="3"/>
    </row>
    <row r="810" spans="2:19" x14ac:dyDescent="0.5">
      <c r="B810" s="5" t="str">
        <f t="shared" si="982"/>
        <v>SPS1</v>
      </c>
      <c r="C810" s="5" t="str">
        <f t="shared" si="959"/>
        <v>CH</v>
      </c>
      <c r="D810" t="s">
        <v>494</v>
      </c>
      <c r="E810" t="s">
        <v>8</v>
      </c>
      <c r="F810" s="1">
        <f>F808</f>
        <v>7.7980417748089961</v>
      </c>
      <c r="G810" s="1">
        <f t="shared" ref="G810:K810" si="985">G808</f>
        <v>8.08014674040618</v>
      </c>
      <c r="H810" s="1">
        <f t="shared" si="985"/>
        <v>5.6082667903510144</v>
      </c>
      <c r="I810" s="1">
        <f t="shared" si="985"/>
        <v>5.5456294751597977</v>
      </c>
      <c r="J810" s="1">
        <f t="shared" si="985"/>
        <v>5.48300093078835</v>
      </c>
      <c r="K810" s="1">
        <f t="shared" si="985"/>
        <v>5.4553180242622492</v>
      </c>
      <c r="L810" s="1">
        <f t="shared" ref="L810:O810" si="986">L808</f>
        <v>6.1307245514918554E-3</v>
      </c>
      <c r="M810" s="1">
        <f t="shared" si="986"/>
        <v>5.1253909176746614E-4</v>
      </c>
      <c r="N810" s="1">
        <f t="shared" si="986"/>
        <v>7.8162035431057568E-4</v>
      </c>
      <c r="O810" s="1">
        <f t="shared" si="986"/>
        <v>2.0287094040718381E-3</v>
      </c>
      <c r="P810" s="1">
        <f>P808</f>
        <v>7.511806436125535E-4</v>
      </c>
      <c r="Q810" s="1">
        <f>Q808</f>
        <v>1.589391740367427E-4</v>
      </c>
      <c r="S810" s="3"/>
    </row>
    <row r="811" spans="2:19" x14ac:dyDescent="0.5">
      <c r="B811" s="5" t="str">
        <f>B810</f>
        <v>SPS1</v>
      </c>
      <c r="C811" s="5" t="str">
        <f t="shared" ref="C811:C812" si="987">C810</f>
        <v>CH</v>
      </c>
      <c r="D811" t="s">
        <v>955</v>
      </c>
      <c r="E811" t="s">
        <v>8</v>
      </c>
      <c r="F811" s="1">
        <f>[1]Industry!B$22</f>
        <v>6.7631876321587028E-2</v>
      </c>
      <c r="G811" s="1">
        <f>[1]Industry!C$22</f>
        <v>8.5490310982655707E-2</v>
      </c>
      <c r="H811" s="1">
        <f>[1]Industry!D$22</f>
        <v>8.4131742236063761E-2</v>
      </c>
      <c r="I811" s="1">
        <f>[1]Industry!E$22</f>
        <v>8.5802905691877776E-2</v>
      </c>
      <c r="J811" s="1">
        <f>[1]Industry!F$22</f>
        <v>8.5792429311437823E-2</v>
      </c>
      <c r="K811" s="1">
        <f>[1]Industry!G$22</f>
        <v>5.9139034626635438E-2</v>
      </c>
      <c r="L811" s="1">
        <f>[1]Industry!H$22</f>
        <v>5.9870474676014675E-2</v>
      </c>
      <c r="M811" s="1">
        <f>[1]Industry!I$22</f>
        <v>5.658712858573163E-2</v>
      </c>
      <c r="N811" s="1">
        <f>[1]Industry!J$22</f>
        <v>5.298908523133216E-2</v>
      </c>
      <c r="O811" s="1">
        <f>[1]Industry!K$22</f>
        <v>5.0125400229749609E-2</v>
      </c>
      <c r="P811" s="1">
        <f>[1]Industry!L$22</f>
        <v>9.5066754204313625E-3</v>
      </c>
      <c r="Q811" s="1">
        <f>[1]Industry!M$22</f>
        <v>1.0185431668041319E-3</v>
      </c>
      <c r="S811" s="3"/>
    </row>
    <row r="812" spans="2:19" x14ac:dyDescent="0.5">
      <c r="B812" s="5" t="str">
        <f t="shared" ref="B812" si="988">B811</f>
        <v>SPS1</v>
      </c>
      <c r="C812" s="5" t="str">
        <f t="shared" si="987"/>
        <v>CH</v>
      </c>
      <c r="D812" t="s">
        <v>956</v>
      </c>
      <c r="E812" t="s">
        <v>8</v>
      </c>
      <c r="F812" s="1">
        <f>F811</f>
        <v>6.7631876321587028E-2</v>
      </c>
      <c r="G812" s="1">
        <f t="shared" ref="G812:K812" si="989">G811</f>
        <v>8.5490310982655707E-2</v>
      </c>
      <c r="H812" s="1">
        <f t="shared" si="989"/>
        <v>8.4131742236063761E-2</v>
      </c>
      <c r="I812" s="1">
        <f t="shared" si="989"/>
        <v>8.5802905691877776E-2</v>
      </c>
      <c r="J812" s="1">
        <f t="shared" si="989"/>
        <v>8.5792429311437823E-2</v>
      </c>
      <c r="K812" s="1">
        <f t="shared" si="989"/>
        <v>5.9139034626635438E-2</v>
      </c>
      <c r="L812" s="1">
        <f t="shared" ref="L812:O812" si="990">L811</f>
        <v>5.9870474676014675E-2</v>
      </c>
      <c r="M812" s="1">
        <f t="shared" si="990"/>
        <v>5.658712858573163E-2</v>
      </c>
      <c r="N812" s="1">
        <f t="shared" si="990"/>
        <v>5.298908523133216E-2</v>
      </c>
      <c r="O812" s="1">
        <f t="shared" si="990"/>
        <v>5.0125400229749609E-2</v>
      </c>
      <c r="P812" s="1">
        <f>P811</f>
        <v>9.5066754204313625E-3</v>
      </c>
      <c r="Q812" s="1">
        <f>Q811</f>
        <v>1.0185431668041319E-3</v>
      </c>
      <c r="S812" s="3"/>
    </row>
    <row r="813" spans="2:19" x14ac:dyDescent="0.5">
      <c r="B813" s="5" t="str">
        <f>B812</f>
        <v>SPS1</v>
      </c>
      <c r="C813" s="5" t="str">
        <f t="shared" ref="C813:C814" si="991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5.8185574277451926E-2</v>
      </c>
      <c r="J813" s="1">
        <f>[1]Industry!F$23</f>
        <v>10.473011689844128</v>
      </c>
      <c r="K813" s="1">
        <f>[1]Industry!G$23</f>
        <v>10.416111705201072</v>
      </c>
      <c r="L813" s="1">
        <f>[1]Industry!H$23</f>
        <v>10.3282901535067</v>
      </c>
      <c r="M813" s="1">
        <f>[1]Industry!I$23</f>
        <v>16.396814928394644</v>
      </c>
      <c r="N813" s="1">
        <f>[1]Industry!J$23</f>
        <v>16.318913816836947</v>
      </c>
      <c r="O813" s="1">
        <f>[1]Industry!K$23</f>
        <v>16.320699299021179</v>
      </c>
      <c r="P813" s="1">
        <f>[1]Industry!L$23</f>
        <v>16.304561260457348</v>
      </c>
      <c r="Q813" s="1">
        <f>[1]Industry!M$23</f>
        <v>16.296808290542913</v>
      </c>
      <c r="S813" s="3"/>
    </row>
    <row r="814" spans="2:19" x14ac:dyDescent="0.5">
      <c r="B814" s="5" t="str">
        <f t="shared" ref="B814" si="992">B813</f>
        <v>SPS1</v>
      </c>
      <c r="C814" s="5" t="str">
        <f t="shared" si="991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93">G813</f>
        <v>0</v>
      </c>
      <c r="H814" s="1">
        <f t="shared" si="993"/>
        <v>0</v>
      </c>
      <c r="I814" s="1">
        <f t="shared" si="993"/>
        <v>5.8185574277451926E-2</v>
      </c>
      <c r="J814" s="1">
        <f t="shared" si="993"/>
        <v>10.473011689844128</v>
      </c>
      <c r="K814" s="1">
        <f t="shared" si="993"/>
        <v>10.416111705201072</v>
      </c>
      <c r="L814" s="1">
        <f t="shared" ref="L814:O814" si="994">L813</f>
        <v>10.3282901535067</v>
      </c>
      <c r="M814" s="1">
        <f t="shared" si="994"/>
        <v>16.396814928394644</v>
      </c>
      <c r="N814" s="1">
        <f t="shared" si="994"/>
        <v>16.318913816836947</v>
      </c>
      <c r="O814" s="1">
        <f t="shared" si="994"/>
        <v>16.320699299021179</v>
      </c>
      <c r="P814" s="1">
        <f>P813</f>
        <v>16.304561260457348</v>
      </c>
      <c r="Q814" s="1">
        <f>Q813</f>
        <v>16.296808290542913</v>
      </c>
      <c r="S814" s="3"/>
    </row>
    <row r="815" spans="2:19" x14ac:dyDescent="0.5">
      <c r="B815" s="5" t="str">
        <f>B814</f>
        <v>SPS1</v>
      </c>
      <c r="C815" s="5" t="str">
        <f t="shared" ref="C815:C816" si="995">C814</f>
        <v>CH</v>
      </c>
      <c r="D815" t="s">
        <v>959</v>
      </c>
      <c r="E815" t="s">
        <v>8</v>
      </c>
      <c r="F815" s="1">
        <f>[1]Industry!B$24</f>
        <v>0.74847055005299556</v>
      </c>
      <c r="G815" s="1">
        <f>[1]Industry!C$24</f>
        <v>0.94972880216746713</v>
      </c>
      <c r="H815" s="1">
        <f>[1]Industry!D$24</f>
        <v>2.4547352200962114</v>
      </c>
      <c r="I815" s="1">
        <f>[1]Industry!E$24</f>
        <v>4.0898053970848682</v>
      </c>
      <c r="J815" s="1">
        <f>[1]Industry!F$24</f>
        <v>5.6707814624846788</v>
      </c>
      <c r="K815" s="1">
        <f>[1]Industry!G$24</f>
        <v>6.6915350044896931</v>
      </c>
      <c r="L815" s="1">
        <f>[1]Industry!H$24</f>
        <v>8.7014542344548822</v>
      </c>
      <c r="M815" s="1">
        <f>[1]Industry!I$24</f>
        <v>9.3859658503096899</v>
      </c>
      <c r="N815" s="1">
        <f>[1]Industry!J$24</f>
        <v>9.3859653634743729</v>
      </c>
      <c r="O815" s="1">
        <f>[1]Industry!K$24</f>
        <v>9.3859705120112</v>
      </c>
      <c r="P815" s="1">
        <f>[1]Industry!L$24</f>
        <v>9.3859713477012328</v>
      </c>
      <c r="Q815" s="1">
        <f>[1]Industry!M$24</f>
        <v>9.3859766437673215</v>
      </c>
      <c r="S815" s="3"/>
    </row>
    <row r="816" spans="2:19" x14ac:dyDescent="0.5">
      <c r="B816" s="5" t="str">
        <f t="shared" ref="B816" si="996">B815</f>
        <v>SPS1</v>
      </c>
      <c r="C816" s="5" t="str">
        <f t="shared" si="995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0.74847055005299556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0.94972880216746713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2.4517912464605502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4.0884966857871952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5.6694549701980961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5.7156483167976777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7.6890593898975297</v>
      </c>
      <c r="M816" s="1" cm="1">
        <f t="array" ref="M816">SUMPRODUCT(([1]OUT_FinalEnergyCons!$B$4:$B$10000="Var_FOut")*1, ([1]OUT_FinalEnergyCons!$C$4:$C$10000="ITOT-SWHAelch")*1, (ISNUMBER(SEARCH("ITOT-SWHELCHP",[1]OUT_FinalEnergyCons!$A$4:$A$10000)))*1,[1]OUT_FinalEnergyCons!K$4:K$10000)-M766</f>
        <v>9.3631957366142409</v>
      </c>
      <c r="N816" s="1" cm="1">
        <f t="array" ref="N816">SUMPRODUCT(([1]OUT_FinalEnergyCons!$B$4:$B$10000="Var_FOut")*1, ([1]OUT_FinalEnergyCons!$C$4:$C$10000="ITOT-SWHAelch")*1, (ISNUMBER(SEARCH("ITOT-SWHELCHP",[1]OUT_FinalEnergyCons!$A$4:$A$10000)))*1,[1]OUT_FinalEnergyCons!L$4:L$10000)-N766</f>
        <v>9.3631986105876823</v>
      </c>
      <c r="O816" s="1" cm="1">
        <f t="array" ref="O816">SUMPRODUCT(([1]OUT_FinalEnergyCons!$B$4:$B$10000="Var_FOut")*1, ([1]OUT_FinalEnergyCons!$C$4:$C$10000="ITOT-SWHAelch")*1, (ISNUMBER(SEARCH("ITOT-SWHELCHP",[1]OUT_FinalEnergyCons!$A$4:$A$10000)))*1,[1]OUT_FinalEnergyCons!M$4:M$10000)-O766</f>
        <v>9.3632107525445676</v>
      </c>
      <c r="P816" s="1" cm="1">
        <f t="array" ref="P816">SUMPRODUCT(([1]OUT_FinalEnergyCons!$B$4:$B$10000="Var_FOut")*1, ([1]OUT_FinalEnergyCons!$C$4:$C$10000="ITOT-SWHAelch")*1, (ISNUMBER(SEARCH("ITOT-SWHELCHP",[1]OUT_FinalEnergyCons!$A$4:$A$10000)))*1,[1]OUT_FinalEnergyCons!N$4:N$10000)-P766</f>
        <v>9.3632170451344106</v>
      </c>
      <c r="Q816" s="1" cm="1">
        <f t="array" ref="Q816">SUMPRODUCT(([1]OUT_FinalEnergyCons!$B$4:$B$10000="Var_FOut")*1, ([1]OUT_FinalEnergyCons!$C$4:$C$10000="ITOT-SWHAelch")*1, (ISNUMBER(SEARCH("ITOT-SWHELCHP",[1]OUT_FinalEnergyCons!$A$4:$A$10000)))*1,[1]OUT_FinalEnergyCons!O$4:O$10000)-Q766</f>
        <v>9.3632273018610892</v>
      </c>
      <c r="S816" s="3"/>
    </row>
    <row r="817" spans="2:19" x14ac:dyDescent="0.5">
      <c r="B817" s="5" t="str">
        <f t="shared" ref="B817:B818" si="997">B816</f>
        <v>SPS1</v>
      </c>
      <c r="C817" s="5" t="str">
        <f t="shared" ref="C817:C825" si="998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99">G815-G816</f>
        <v>0</v>
      </c>
      <c r="H817" s="1">
        <f t="shared" si="999"/>
        <v>2.9439736356611235E-3</v>
      </c>
      <c r="I817" s="1">
        <f t="shared" si="999"/>
        <v>1.3087112976730708E-3</v>
      </c>
      <c r="J817" s="1">
        <f t="shared" si="999"/>
        <v>1.32649228658277E-3</v>
      </c>
      <c r="K817" s="1">
        <f t="shared" si="999"/>
        <v>0.97588668769201536</v>
      </c>
      <c r="L817" s="1">
        <f t="shared" ref="L817:O817" si="1000">L815-L816</f>
        <v>1.0123948445573525</v>
      </c>
      <c r="M817" s="1">
        <f t="shared" si="1000"/>
        <v>2.2770113695449012E-2</v>
      </c>
      <c r="N817" s="1">
        <f t="shared" si="1000"/>
        <v>2.2766752886690611E-2</v>
      </c>
      <c r="O817" s="1">
        <f t="shared" si="1000"/>
        <v>2.2759759466632445E-2</v>
      </c>
      <c r="P817" s="1">
        <f>P815-P816</f>
        <v>2.2754302566822204E-2</v>
      </c>
      <c r="Q817" s="1">
        <f>Q815-Q816</f>
        <v>2.2749341906232345E-2</v>
      </c>
      <c r="S817" s="3"/>
    </row>
    <row r="818" spans="2:19" x14ac:dyDescent="0.5">
      <c r="B818" s="9" t="str">
        <f t="shared" si="997"/>
        <v>SPS1</v>
      </c>
      <c r="C818" s="9" t="str">
        <f t="shared" si="998"/>
        <v>CH</v>
      </c>
      <c r="D818" s="2" t="s">
        <v>684</v>
      </c>
      <c r="E818" s="9" t="s">
        <v>8</v>
      </c>
      <c r="F818" s="17">
        <f>[1]Industry!B$71</f>
        <v>72.708213247234227</v>
      </c>
      <c r="G818" s="17">
        <f>[1]Industry!C$71</f>
        <v>74.352759050035814</v>
      </c>
      <c r="H818" s="17">
        <f>[1]Industry!D$71</f>
        <v>76.119953314295572</v>
      </c>
      <c r="I818" s="17">
        <f>[1]Industry!E$71</f>
        <v>77.130671698614364</v>
      </c>
      <c r="J818" s="17">
        <f>[1]Industry!F$71</f>
        <v>77.660154918990642</v>
      </c>
      <c r="K818" s="17">
        <f>[1]Industry!G$71</f>
        <v>78.306953694849227</v>
      </c>
      <c r="L818" s="17">
        <f>[1]Industry!H$71</f>
        <v>78.562435270242645</v>
      </c>
      <c r="M818" s="17">
        <f>[1]Industry!I$71</f>
        <v>78.766602711450744</v>
      </c>
      <c r="N818" s="17">
        <f>[1]Industry!J$71</f>
        <v>77.827214433754051</v>
      </c>
      <c r="O818" s="17">
        <f>[1]Industry!K$71</f>
        <v>78.082883478836166</v>
      </c>
      <c r="P818" s="17">
        <f>[1]Industry!L$71</f>
        <v>76.592019485180444</v>
      </c>
      <c r="Q818" s="17">
        <f>[1]Industry!M$71</f>
        <v>76.537258610432715</v>
      </c>
      <c r="S818" s="3"/>
    </row>
    <row r="819" spans="2:19" x14ac:dyDescent="0.5">
      <c r="B819" s="5" t="str">
        <f>B818</f>
        <v>SPS1</v>
      </c>
      <c r="C819" s="5" t="str">
        <f t="shared" si="998"/>
        <v>CH</v>
      </c>
      <c r="D819" t="s">
        <v>2031</v>
      </c>
      <c r="E819" t="s">
        <v>8</v>
      </c>
      <c r="F819" s="18">
        <f>SUM(F820:F822)</f>
        <v>58.985431288684481</v>
      </c>
      <c r="G819" s="18">
        <f t="shared" ref="G819:K819" si="1001">SUM(G820:G822)</f>
        <v>61.602249698479106</v>
      </c>
      <c r="H819" s="18">
        <f t="shared" si="1001"/>
        <v>65.452489871505719</v>
      </c>
      <c r="I819" s="18">
        <f t="shared" si="1001"/>
        <v>70.353928855654942</v>
      </c>
      <c r="J819" s="18">
        <f t="shared" si="1001"/>
        <v>72.688477878053803</v>
      </c>
      <c r="K819" s="18">
        <f t="shared" si="1001"/>
        <v>73.136288721464865</v>
      </c>
      <c r="L819" s="18">
        <f t="shared" ref="L819:O819" si="1002">SUM(L820:L822)</f>
        <v>76.491460248548194</v>
      </c>
      <c r="M819" s="18">
        <f t="shared" si="1002"/>
        <v>79.485103484597957</v>
      </c>
      <c r="N819" s="18">
        <f t="shared" si="1002"/>
        <v>80.224432415656977</v>
      </c>
      <c r="O819" s="18">
        <f t="shared" si="1002"/>
        <v>81.939318712866196</v>
      </c>
      <c r="P819" s="18">
        <f>SUM(P820:P822)</f>
        <v>80.466925457737773</v>
      </c>
      <c r="Q819" s="18">
        <f>SUM(Q820:Q822)</f>
        <v>80.587287371190826</v>
      </c>
      <c r="S819" s="3"/>
    </row>
    <row r="820" spans="2:19" x14ac:dyDescent="0.5">
      <c r="B820" s="5" t="str">
        <f t="shared" ref="B820:B825" si="1003">B819</f>
        <v>SPS1</v>
      </c>
      <c r="C820" s="5" t="str">
        <f t="shared" si="998"/>
        <v>CH</v>
      </c>
      <c r="D820" t="s">
        <v>2032</v>
      </c>
      <c r="E820" t="s">
        <v>8</v>
      </c>
      <c r="F820" s="1">
        <f>[1]Industry!B$55</f>
        <v>9.8138909682746931</v>
      </c>
      <c r="G820" s="1">
        <f>[1]Industry!C$55</f>
        <v>10.335082919654059</v>
      </c>
      <c r="H820" s="1">
        <f>[1]Industry!D$55</f>
        <v>10.34014119991831</v>
      </c>
      <c r="I820" s="1">
        <f>[1]Industry!E$55</f>
        <v>11.543914638978208</v>
      </c>
      <c r="J820" s="1">
        <f>[1]Industry!F$55</f>
        <v>11.543915130762308</v>
      </c>
      <c r="K820" s="1">
        <f>[1]Industry!G$55</f>
        <v>11.543915500329513</v>
      </c>
      <c r="L820" s="1">
        <f>[1]Industry!H$55</f>
        <v>11.543915981655257</v>
      </c>
      <c r="M820" s="1">
        <f>[1]Industry!I$55</f>
        <v>11.54391825734435</v>
      </c>
      <c r="N820" s="1">
        <f>[1]Industry!J$55</f>
        <v>11.543916627059719</v>
      </c>
      <c r="O820" s="1">
        <f>[1]Industry!K$55</f>
        <v>11.630855604061143</v>
      </c>
      <c r="P820" s="1">
        <f>[1]Industry!L$55</f>
        <v>11.630855281229858</v>
      </c>
      <c r="Q820" s="1">
        <f>[1]Industry!M$55</f>
        <v>11.63085941987581</v>
      </c>
      <c r="S820" s="3"/>
    </row>
    <row r="821" spans="2:19" x14ac:dyDescent="0.5">
      <c r="B821" s="5" t="str">
        <f t="shared" si="1003"/>
        <v>SPS1</v>
      </c>
      <c r="C821" s="5" t="str">
        <f t="shared" si="998"/>
        <v>CH</v>
      </c>
      <c r="D821" t="s">
        <v>2033</v>
      </c>
      <c r="E821" t="s">
        <v>8</v>
      </c>
      <c r="F821" s="1">
        <f>[1]Industry!B$56</f>
        <v>1.1081426682387892</v>
      </c>
      <c r="G821" s="1">
        <f>[1]Industry!C$56</f>
        <v>1.4007912089678018</v>
      </c>
      <c r="H821" s="1">
        <f>[1]Industry!D$56</f>
        <v>3.5962188347658617</v>
      </c>
      <c r="I821" s="1">
        <f>[1]Industry!E$56</f>
        <v>5.9437278968099578</v>
      </c>
      <c r="J821" s="1">
        <f>[1]Industry!F$56</f>
        <v>8.1723489073609379</v>
      </c>
      <c r="K821" s="1">
        <f>[1]Industry!G$56</f>
        <v>8.1723505660364886</v>
      </c>
      <c r="L821" s="1">
        <f>[1]Industry!H$56</f>
        <v>10.909005817938997</v>
      </c>
      <c r="M821" s="1">
        <f>[1]Industry!I$56</f>
        <v>13.185938691479668</v>
      </c>
      <c r="N821" s="1">
        <f>[1]Industry!J$56</f>
        <v>13.185942738819769</v>
      </c>
      <c r="O821" s="1">
        <f>[1]Industry!K$56</f>
        <v>13.185959838013634</v>
      </c>
      <c r="P821" s="1">
        <f>[1]Industry!L$56</f>
        <v>13.185968699699993</v>
      </c>
      <c r="Q821" s="1">
        <f>[1]Industry!M$56</f>
        <v>13.185983143974461</v>
      </c>
      <c r="S821" s="3"/>
    </row>
    <row r="822" spans="2:19" x14ac:dyDescent="0.5">
      <c r="B822" s="5" t="str">
        <f t="shared" si="1003"/>
        <v>SPS1</v>
      </c>
      <c r="C822" s="5" t="str">
        <f t="shared" si="998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49.866375569857247</v>
      </c>
      <c r="H822" s="1">
        <f>[1]Industry!D$3-([1]Industry!D$6-[1]Industry!D$70)</f>
        <v>51.516129836821548</v>
      </c>
      <c r="I822" s="1">
        <f>[1]Industry!E$3-([1]Industry!E$6-[1]Industry!E$70)</f>
        <v>52.866286319866774</v>
      </c>
      <c r="J822" s="1">
        <f>[1]Industry!F$3-([1]Industry!F$6-[1]Industry!F$70)</f>
        <v>52.972213839930554</v>
      </c>
      <c r="K822" s="1">
        <f>[1]Industry!G$3-([1]Industry!G$6-[1]Industry!G$70)</f>
        <v>53.420022655098869</v>
      </c>
      <c r="L822" s="1">
        <f>[1]Industry!H$3-([1]Industry!H$6-[1]Industry!H$70)</f>
        <v>54.038538448953936</v>
      </c>
      <c r="M822" s="1">
        <f>[1]Industry!I$3-([1]Industry!I$6-[1]Industry!I$70)</f>
        <v>54.755246535773935</v>
      </c>
      <c r="N822" s="1">
        <f>[1]Industry!J$3-([1]Industry!J$6-[1]Industry!J$70)</f>
        <v>55.494573049777486</v>
      </c>
      <c r="O822" s="1">
        <f>[1]Industry!K$3-([1]Industry!K$6-[1]Industry!K$70)</f>
        <v>57.12250327079142</v>
      </c>
      <c r="P822" s="1">
        <f>[1]Industry!L$3-([1]Industry!L$6-[1]Industry!L$70)</f>
        <v>55.650101476807919</v>
      </c>
      <c r="Q822" s="1">
        <f>[1]Industry!M$3-([1]Industry!M$6-[1]Industry!M$70)</f>
        <v>55.770444807340546</v>
      </c>
      <c r="S822" s="3"/>
    </row>
    <row r="823" spans="2:19" x14ac:dyDescent="0.5">
      <c r="B823" s="5" t="str">
        <f t="shared" si="1003"/>
        <v>SPS1</v>
      </c>
      <c r="C823" s="5" t="str">
        <f t="shared" si="998"/>
        <v>CH</v>
      </c>
      <c r="D823" t="s">
        <v>2035</v>
      </c>
      <c r="E823" t="s">
        <v>8</v>
      </c>
      <c r="F823" s="1">
        <f>SUM(F824:F825)</f>
        <v>8.7635284933255093</v>
      </c>
      <c r="G823" s="1">
        <f t="shared" ref="G823:K823" si="1004">SUM(G824:G825)</f>
        <v>7.9956229688578651</v>
      </c>
      <c r="H823" s="1">
        <f t="shared" si="1004"/>
        <v>6.2475712461894561</v>
      </c>
      <c r="I823" s="1">
        <f t="shared" si="1004"/>
        <v>5.069424037992337</v>
      </c>
      <c r="J823" s="1">
        <f t="shared" si="1004"/>
        <v>3.809173758507955</v>
      </c>
      <c r="K823" s="1">
        <f t="shared" si="1004"/>
        <v>2.8121176005785418</v>
      </c>
      <c r="L823" s="1">
        <f t="shared" ref="L823:O823" si="1005">SUM(L824:L825)</f>
        <v>1.4171198663114726</v>
      </c>
      <c r="M823" s="1">
        <f t="shared" si="1005"/>
        <v>1.1332383114564986</v>
      </c>
      <c r="N823" s="1">
        <f t="shared" si="1005"/>
        <v>0.7758373494385572</v>
      </c>
      <c r="O823" s="1">
        <f t="shared" si="1005"/>
        <v>0.77582465603491391</v>
      </c>
      <c r="P823" s="1">
        <f>SUM(P824:P825)</f>
        <v>0.61629606220584554</v>
      </c>
      <c r="Q823" s="1">
        <f>SUM(Q824:Q825)</f>
        <v>0.61622236520496276</v>
      </c>
      <c r="S823" s="3"/>
    </row>
    <row r="824" spans="2:19" x14ac:dyDescent="0.5">
      <c r="B824" s="5" t="str">
        <f t="shared" si="1003"/>
        <v>SPS1</v>
      </c>
      <c r="C824" s="5" t="str">
        <f t="shared" si="998"/>
        <v>CH</v>
      </c>
      <c r="D824" t="s">
        <v>2036</v>
      </c>
      <c r="E824" t="s">
        <v>8</v>
      </c>
      <c r="F824" s="1">
        <f>[1]Industry!B$57</f>
        <v>6.9177063101627905</v>
      </c>
      <c r="G824" s="1">
        <f>[1]Industry!C$57</f>
        <v>6.311308220795798</v>
      </c>
      <c r="H824" s="1">
        <f>[1]Industry!D$57</f>
        <v>6.2459469755692965</v>
      </c>
      <c r="I824" s="1">
        <f>[1]Industry!E$57</f>
        <v>5.0691883797043964</v>
      </c>
      <c r="J824" s="1">
        <f>[1]Industry!F$57</f>
        <v>3.8090157762693408</v>
      </c>
      <c r="K824" s="1">
        <f>[1]Industry!G$57</f>
        <v>2.8112579299533262</v>
      </c>
      <c r="L824" s="1">
        <f>[1]Industry!H$57</f>
        <v>1.4165113197633099</v>
      </c>
      <c r="M824" s="1">
        <f>[1]Industry!I$57</f>
        <v>1.1332383114564986</v>
      </c>
      <c r="N824" s="1">
        <f>[1]Industry!J$57</f>
        <v>0.7758373494385572</v>
      </c>
      <c r="O824" s="1">
        <f>[1]Industry!K$57</f>
        <v>0.77582465603491391</v>
      </c>
      <c r="P824" s="1">
        <f>[1]Industry!L$57</f>
        <v>0.61629606220584554</v>
      </c>
      <c r="Q824" s="1">
        <f>[1]Industry!M$57</f>
        <v>0.61622236520496276</v>
      </c>
      <c r="S824" s="3"/>
    </row>
    <row r="825" spans="2:19" x14ac:dyDescent="0.5">
      <c r="B825" s="5" t="str">
        <f t="shared" si="1003"/>
        <v>SPS1</v>
      </c>
      <c r="C825" s="5" t="str">
        <f t="shared" si="998"/>
        <v>CH</v>
      </c>
      <c r="D825" t="s">
        <v>2037</v>
      </c>
      <c r="E825" t="s">
        <v>8</v>
      </c>
      <c r="F825" s="1">
        <f>[1]Industry!B$58</f>
        <v>1.8458221831627193</v>
      </c>
      <c r="G825" s="1">
        <f>[1]Industry!C$58</f>
        <v>1.684314748062067</v>
      </c>
      <c r="H825" s="1">
        <f>[1]Industry!D$58</f>
        <v>1.6242706201596493E-3</v>
      </c>
      <c r="I825" s="1">
        <f>[1]Industry!E$58</f>
        <v>2.3565828794039454E-4</v>
      </c>
      <c r="J825" s="1">
        <f>[1]Industry!F$58</f>
        <v>1.5798223861429811E-4</v>
      </c>
      <c r="K825" s="1">
        <f>[1]Industry!G$58</f>
        <v>8.5967062521560779E-4</v>
      </c>
      <c r="L825" s="1">
        <f>[1]Industry!H$58</f>
        <v>6.0854654816261118E-4</v>
      </c>
      <c r="M825" s="1">
        <f>[1]Industry!I$58</f>
        <v>0</v>
      </c>
      <c r="N825" s="1">
        <f>[1]Industry!J$58</f>
        <v>0</v>
      </c>
      <c r="O825" s="1">
        <f>[1]Industry!K$58</f>
        <v>0</v>
      </c>
      <c r="P825" s="1">
        <f>[1]Industry!L$58</f>
        <v>0</v>
      </c>
      <c r="Q825" s="1">
        <f>[1]Industry!M$58</f>
        <v>0</v>
      </c>
      <c r="S825" s="3"/>
    </row>
    <row r="826" spans="2:19" x14ac:dyDescent="0.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28.930281860392753</v>
      </c>
      <c r="G826" s="1">
        <f t="shared" ref="G826:K826" si="1006">SUM(G827:G829)</f>
        <v>24.471432769507064</v>
      </c>
      <c r="H826" s="1">
        <f t="shared" si="1006"/>
        <v>29.679370018002182</v>
      </c>
      <c r="I826" s="1">
        <f t="shared" si="1006"/>
        <v>25.114746252347842</v>
      </c>
      <c r="J826" s="1">
        <f t="shared" si="1006"/>
        <v>15.159285981795705</v>
      </c>
      <c r="K826" s="1">
        <f t="shared" si="1006"/>
        <v>15.399958720755651</v>
      </c>
      <c r="L826" s="1">
        <f t="shared" ref="L826:O826" si="1007">SUM(L827:L829)</f>
        <v>13.706612269611565</v>
      </c>
      <c r="M826" s="1">
        <f t="shared" si="1007"/>
        <v>7.0357120502335224</v>
      </c>
      <c r="N826" s="1">
        <f t="shared" si="1007"/>
        <v>5.1007917887165739</v>
      </c>
      <c r="O826" s="1">
        <f t="shared" si="1007"/>
        <v>5.3535780660938688</v>
      </c>
      <c r="P826" s="1">
        <f>SUM(P827:P829)</f>
        <v>5.098385460795309</v>
      </c>
      <c r="Q826" s="1">
        <f>SUM(Q827:Q829)</f>
        <v>5.0952145384200547</v>
      </c>
      <c r="S826" s="3"/>
    </row>
    <row r="827" spans="2:19" x14ac:dyDescent="0.5">
      <c r="B827" s="5" t="str">
        <f t="shared" ref="B827:B856" si="1008">B826</f>
        <v>SPS1</v>
      </c>
      <c r="C827" s="5" t="str">
        <f t="shared" ref="C827:C856" si="1009">C826</f>
        <v>CH</v>
      </c>
      <c r="D827" t="s">
        <v>2039</v>
      </c>
      <c r="E827" t="s">
        <v>8</v>
      </c>
      <c r="F827" s="1">
        <f>[1]Industry!B$59</f>
        <v>28.619769415270046</v>
      </c>
      <c r="G827" s="1">
        <f>[1]Industry!C$59</f>
        <v>24.078914289127404</v>
      </c>
      <c r="H827" s="1">
        <f>[1]Industry!D$59</f>
        <v>27.614281875639495</v>
      </c>
      <c r="I827" s="1">
        <f>[1]Industry!E$59</f>
        <v>20.608000827473884</v>
      </c>
      <c r="J827" s="1">
        <f>[1]Industry!F$59</f>
        <v>10.652547506243597</v>
      </c>
      <c r="K827" s="1">
        <f>[1]Industry!G$59</f>
        <v>8.9401693289456325</v>
      </c>
      <c r="L827" s="1">
        <f>[1]Industry!H$59</f>
        <v>7.1814070718089127</v>
      </c>
      <c r="M827" s="1">
        <f>[1]Industry!I$59</f>
        <v>2.4306087839067412</v>
      </c>
      <c r="N827" s="1">
        <f>[1]Industry!J$59</f>
        <v>0.4956937854590624</v>
      </c>
      <c r="O827" s="1">
        <f>[1]Industry!K$59</f>
        <v>0.74848762533510815</v>
      </c>
      <c r="P827" s="1">
        <f>[1]Industry!L$59</f>
        <v>0.49330119554144192</v>
      </c>
      <c r="Q827" s="1">
        <f>[1]Industry!M$59</f>
        <v>0.49011862795643263</v>
      </c>
      <c r="S827" s="3"/>
    </row>
    <row r="828" spans="2:19" x14ac:dyDescent="0.5">
      <c r="B828" s="5" t="str">
        <f t="shared" si="1008"/>
        <v>SPS1</v>
      </c>
      <c r="C828" s="5" t="str">
        <f t="shared" si="1009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6.2689043609235467E-3</v>
      </c>
      <c r="I828" s="1">
        <f>[1]Industry!E$60</f>
        <v>2.7277377165026003E-3</v>
      </c>
      <c r="J828" s="1">
        <f>[1]Industry!F$60</f>
        <v>2.7095575615424415E-3</v>
      </c>
      <c r="K828" s="1">
        <f>[1]Industry!G$60</f>
        <v>1.9557596157615909</v>
      </c>
      <c r="L828" s="1">
        <f>[1]Industry!H$60</f>
        <v>1.9926682632229369</v>
      </c>
      <c r="M828" s="1">
        <f>[1]Industry!I$60</f>
        <v>4.4058477129228675E-2</v>
      </c>
      <c r="N828" s="1">
        <f>[1]Industry!J$60</f>
        <v>4.405197421414455E-2</v>
      </c>
      <c r="O828" s="1">
        <f>[1]Industry!K$60</f>
        <v>4.4038442466272136E-2</v>
      </c>
      <c r="P828" s="1">
        <f>[1]Industry!L$60</f>
        <v>4.4027883770833963E-2</v>
      </c>
      <c r="Q828" s="1">
        <f>[1]Industry!M$60</f>
        <v>4.4018285261402383E-2</v>
      </c>
      <c r="S828" s="3"/>
    </row>
    <row r="829" spans="2:19" x14ac:dyDescent="0.5">
      <c r="B829" s="5" t="str">
        <f t="shared" si="1008"/>
        <v>SPS1</v>
      </c>
      <c r="C829" s="5" t="str">
        <f t="shared" si="1009"/>
        <v>CH</v>
      </c>
      <c r="D829" t="s">
        <v>2041</v>
      </c>
      <c r="E829" t="s">
        <v>8</v>
      </c>
      <c r="F829" s="1">
        <f>[1]Industry!B$68</f>
        <v>0.31051244512270615</v>
      </c>
      <c r="G829" s="1">
        <f>[1]Industry!C$68</f>
        <v>0.3925184803796602</v>
      </c>
      <c r="H829" s="1">
        <f>[1]Industry!D$68</f>
        <v>2.0588192380017634</v>
      </c>
      <c r="I829" s="1">
        <f>[1]Industry!E$68</f>
        <v>4.5040176871574573</v>
      </c>
      <c r="J829" s="1">
        <f>[1]Industry!F$68</f>
        <v>4.5040289179905661</v>
      </c>
      <c r="K829" s="1">
        <f>[1]Industry!G$68</f>
        <v>4.5040297760484265</v>
      </c>
      <c r="L829" s="1">
        <f>[1]Industry!H$68</f>
        <v>4.5325369345797144</v>
      </c>
      <c r="M829" s="1">
        <f>[1]Industry!I$68</f>
        <v>4.5610447891975525</v>
      </c>
      <c r="N829" s="1">
        <f>[1]Industry!J$68</f>
        <v>4.561046029043367</v>
      </c>
      <c r="O829" s="1">
        <f>[1]Industry!K$68</f>
        <v>4.5610519982924886</v>
      </c>
      <c r="P829" s="1">
        <f>[1]Industry!L$68</f>
        <v>4.5610563814830334</v>
      </c>
      <c r="Q829" s="1">
        <f>[1]Industry!M$68</f>
        <v>4.5610776252022198</v>
      </c>
      <c r="S829" s="3"/>
    </row>
    <row r="830" spans="2:19" x14ac:dyDescent="0.5">
      <c r="B830" s="5" t="str">
        <f t="shared" si="1008"/>
        <v>SPS1</v>
      </c>
      <c r="C830" s="5" t="str">
        <f t="shared" si="1009"/>
        <v>CH</v>
      </c>
      <c r="D830" t="s">
        <v>2042</v>
      </c>
      <c r="E830" t="s">
        <v>8</v>
      </c>
      <c r="F830" s="1">
        <f>F831</f>
        <v>2.3674018836551256</v>
      </c>
      <c r="G830" s="1">
        <f t="shared" ref="G830:O830" si="1010">G831</f>
        <v>2.307501594358655</v>
      </c>
      <c r="H830" s="1">
        <f t="shared" si="1010"/>
        <v>0.36048270175434666</v>
      </c>
      <c r="I830" s="1">
        <f t="shared" si="1010"/>
        <v>1.791272182910718E-4</v>
      </c>
      <c r="J830" s="1">
        <f t="shared" si="1010"/>
        <v>1.0958960905864447E-4</v>
      </c>
      <c r="K830" s="1">
        <f t="shared" si="1010"/>
        <v>6.8449417797748736E-4</v>
      </c>
      <c r="L830" s="1">
        <f t="shared" si="1010"/>
        <v>4.258499247052392E-4</v>
      </c>
      <c r="M830" s="1">
        <f t="shared" si="1010"/>
        <v>2.5576891690215335E-4</v>
      </c>
      <c r="N830" s="1">
        <f t="shared" si="1010"/>
        <v>1.9676373286489664E-4</v>
      </c>
      <c r="O830" s="1">
        <f t="shared" si="1010"/>
        <v>4.2237721989780243E-4</v>
      </c>
      <c r="P830" s="1">
        <f>P831</f>
        <v>2.2274843318829853E-4</v>
      </c>
      <c r="Q830" s="1">
        <f>Q831</f>
        <v>8.9016276793262792E-5</v>
      </c>
      <c r="S830" s="3"/>
    </row>
    <row r="831" spans="2:19" x14ac:dyDescent="0.5">
      <c r="B831" s="5" t="str">
        <f t="shared" si="1008"/>
        <v>SPS1</v>
      </c>
      <c r="C831" s="5" t="str">
        <f t="shared" si="1009"/>
        <v>CH</v>
      </c>
      <c r="D831" t="s">
        <v>2043</v>
      </c>
      <c r="E831" t="s">
        <v>8</v>
      </c>
      <c r="F831" s="1">
        <f>[1]Industry!B$61</f>
        <v>2.3674018836551256</v>
      </c>
      <c r="G831" s="1">
        <f>[1]Industry!C$61</f>
        <v>2.307501594358655</v>
      </c>
      <c r="H831" s="1">
        <f>[1]Industry!D$61</f>
        <v>0.36048270175434666</v>
      </c>
      <c r="I831" s="1">
        <f>[1]Industry!E$61</f>
        <v>1.791272182910718E-4</v>
      </c>
      <c r="J831" s="1">
        <f>[1]Industry!F$61</f>
        <v>1.0958960905864447E-4</v>
      </c>
      <c r="K831" s="1">
        <f>[1]Industry!G$61</f>
        <v>6.8449417797748736E-4</v>
      </c>
      <c r="L831" s="1">
        <f>[1]Industry!H$61</f>
        <v>4.258499247052392E-4</v>
      </c>
      <c r="M831" s="1">
        <f>[1]Industry!I$61</f>
        <v>2.5576891690215335E-4</v>
      </c>
      <c r="N831" s="1">
        <f>[1]Industry!J$61</f>
        <v>1.9676373286489664E-4</v>
      </c>
      <c r="O831" s="1">
        <f>[1]Industry!K$61</f>
        <v>4.2237721989780243E-4</v>
      </c>
      <c r="P831" s="1">
        <f>[1]Industry!L$61</f>
        <v>2.2274843318829853E-4</v>
      </c>
      <c r="Q831" s="1">
        <f>[1]Industry!M$61</f>
        <v>8.9016276793262792E-5</v>
      </c>
      <c r="S831" s="3"/>
    </row>
    <row r="832" spans="2:19" x14ac:dyDescent="0.5">
      <c r="B832" s="5" t="str">
        <f t="shared" si="1008"/>
        <v>SPS1</v>
      </c>
      <c r="C832" s="5" t="str">
        <f t="shared" si="1009"/>
        <v>CH</v>
      </c>
      <c r="D832" t="s">
        <v>2044</v>
      </c>
      <c r="E832" t="s">
        <v>8</v>
      </c>
      <c r="F832" s="1">
        <f>F833+F843</f>
        <v>11.767331306782845</v>
      </c>
      <c r="G832" s="1">
        <f t="shared" ref="G832:K832" si="1011">G833+G843</f>
        <v>12.6354078859659</v>
      </c>
      <c r="H832" s="1">
        <f t="shared" si="1011"/>
        <v>12.432411651267067</v>
      </c>
      <c r="I832" s="1">
        <f t="shared" si="1011"/>
        <v>14.454229958902843</v>
      </c>
      <c r="J832" s="1">
        <f t="shared" si="1011"/>
        <v>14.063734482393992</v>
      </c>
      <c r="K832" s="1">
        <f t="shared" si="1011"/>
        <v>16.972106258025246</v>
      </c>
      <c r="L832" s="1">
        <f t="shared" ref="L832:O832" si="1012">L833+L843</f>
        <v>20.429127043003369</v>
      </c>
      <c r="M832" s="1">
        <f t="shared" si="1012"/>
        <v>20.157423198373575</v>
      </c>
      <c r="N832" s="1">
        <f t="shared" si="1012"/>
        <v>21.522625600582408</v>
      </c>
      <c r="O832" s="1">
        <f t="shared" si="1012"/>
        <v>20.941145952336335</v>
      </c>
      <c r="P832" s="1">
        <f>P833+P843</f>
        <v>20.375374572402194</v>
      </c>
      <c r="Q832" s="1">
        <f>Q833+Q843</f>
        <v>20.35212756296038</v>
      </c>
      <c r="S832" s="3"/>
    </row>
    <row r="833" spans="2:19" x14ac:dyDescent="0.5">
      <c r="B833" s="5" t="str">
        <f t="shared" si="1008"/>
        <v>SPS1</v>
      </c>
      <c r="C833" s="5" t="str">
        <f t="shared" si="1009"/>
        <v>CH</v>
      </c>
      <c r="D833" t="s">
        <v>2045</v>
      </c>
      <c r="E833" t="s">
        <v>8</v>
      </c>
      <c r="F833" s="1">
        <f>[1]Industry!B$62</f>
        <v>5.1850568343212844</v>
      </c>
      <c r="G833" s="1">
        <f>[1]Industry!C$62</f>
        <v>5.5675589791082221</v>
      </c>
      <c r="H833" s="1">
        <f>[1]Industry!D$62</f>
        <v>5.6974180022359118</v>
      </c>
      <c r="I833" s="1">
        <f>[1]Industry!E$62</f>
        <v>7.1973662453274585</v>
      </c>
      <c r="J833" s="1">
        <f>[1]Industry!F$62</f>
        <v>6.5504218699944037</v>
      </c>
      <c r="K833" s="1">
        <f>[1]Industry!G$62</f>
        <v>10.240588131610693</v>
      </c>
      <c r="L833" s="1">
        <f>[1]Industry!H$62</f>
        <v>12.881212441095022</v>
      </c>
      <c r="M833" s="1">
        <f>[1]Industry!I$62</f>
        <v>13.225334372778903</v>
      </c>
      <c r="N833" s="1">
        <f>[1]Industry!J$62</f>
        <v>13.388553002412044</v>
      </c>
      <c r="O833" s="1">
        <f>[1]Industry!K$62</f>
        <v>13.34136696338035</v>
      </c>
      <c r="P833" s="1">
        <f>[1]Industry!L$62</f>
        <v>13.53567630767548</v>
      </c>
      <c r="Q833" s="1">
        <f>[1]Industry!M$62</f>
        <v>13.533368662048108</v>
      </c>
      <c r="S833" s="3"/>
    </row>
    <row r="834" spans="2:19" x14ac:dyDescent="0.5">
      <c r="B834" s="5" t="str">
        <f t="shared" si="1008"/>
        <v>SPS1</v>
      </c>
      <c r="C834" s="5" t="str">
        <f t="shared" si="1009"/>
        <v>CH</v>
      </c>
      <c r="D834" t="s">
        <v>2046</v>
      </c>
      <c r="E834" t="s">
        <v>8</v>
      </c>
      <c r="F834" s="1">
        <f>IFERROR(F793/F$792,0)*F$833</f>
        <v>1.1224277346268314</v>
      </c>
      <c r="G834" s="1">
        <f t="shared" ref="G834:K834" si="1013">IFERROR(G793/G$792,0)*G$833</f>
        <v>2.1922199913341651</v>
      </c>
      <c r="H834" s="1">
        <f t="shared" si="1013"/>
        <v>8.5475714594137608E-2</v>
      </c>
      <c r="I834" s="1">
        <f t="shared" si="1013"/>
        <v>1.3030858993467367</v>
      </c>
      <c r="J834" s="1">
        <f t="shared" si="1013"/>
        <v>0.79705278403160795</v>
      </c>
      <c r="K834" s="1">
        <f t="shared" si="1013"/>
        <v>0</v>
      </c>
      <c r="L834" s="1">
        <f t="shared" ref="L834:O834" si="1014">IFERROR(L793/L$792,0)*L$833</f>
        <v>0</v>
      </c>
      <c r="M834" s="1">
        <f t="shared" si="1014"/>
        <v>0</v>
      </c>
      <c r="N834" s="1">
        <f t="shared" si="1014"/>
        <v>0.24771619469151374</v>
      </c>
      <c r="O834" s="1">
        <f t="shared" si="1014"/>
        <v>0.24712592844381881</v>
      </c>
      <c r="P834" s="1">
        <f t="shared" ref="P834:Q842" si="1015">IFERROR(P793/P$792,0)*P$833</f>
        <v>0.35722941997093621</v>
      </c>
      <c r="Q834" s="1">
        <f t="shared" si="1015"/>
        <v>0.35420426467934024</v>
      </c>
      <c r="S834" s="3"/>
    </row>
    <row r="835" spans="2:19" x14ac:dyDescent="0.5">
      <c r="B835" s="5" t="str">
        <f t="shared" si="1008"/>
        <v>SPS1</v>
      </c>
      <c r="C835" s="5" t="str">
        <f t="shared" si="1009"/>
        <v>CH</v>
      </c>
      <c r="D835" t="s">
        <v>2047</v>
      </c>
      <c r="E835" t="s">
        <v>8</v>
      </c>
      <c r="F835" s="1">
        <f t="shared" ref="F835:K842" si="1016">IFERROR(F794/F$792,0)*F$833</f>
        <v>0.92915527780789398</v>
      </c>
      <c r="G835" s="1">
        <f t="shared" si="1016"/>
        <v>0.50094042945479866</v>
      </c>
      <c r="H835" s="1">
        <f t="shared" si="1016"/>
        <v>5.7088189297859332E-2</v>
      </c>
      <c r="I835" s="1">
        <f t="shared" si="1016"/>
        <v>0.44612318766184789</v>
      </c>
      <c r="J835" s="1">
        <f t="shared" si="1016"/>
        <v>0.39815002491217416</v>
      </c>
      <c r="K835" s="1">
        <f t="shared" si="1016"/>
        <v>0.70280007583709958</v>
      </c>
      <c r="L835" s="1">
        <f t="shared" ref="L835:O835" si="1017">IFERROR(L794/L$792,0)*L$833</f>
        <v>0.44620862323919513</v>
      </c>
      <c r="M835" s="1">
        <f t="shared" si="1017"/>
        <v>0.44385766310088187</v>
      </c>
      <c r="N835" s="1">
        <f t="shared" si="1017"/>
        <v>0.44319916597961923</v>
      </c>
      <c r="O835" s="1">
        <f t="shared" si="1017"/>
        <v>0.37171913369285348</v>
      </c>
      <c r="P835" s="1">
        <f t="shared" si="1015"/>
        <v>0.44283137337814654</v>
      </c>
      <c r="Q835" s="1">
        <f t="shared" si="1015"/>
        <v>0.44242323957522062</v>
      </c>
      <c r="S835" s="3"/>
    </row>
    <row r="836" spans="2:19" x14ac:dyDescent="0.5">
      <c r="B836" s="5" t="str">
        <f t="shared" si="1008"/>
        <v>SPS1</v>
      </c>
      <c r="C836" s="5" t="str">
        <f t="shared" si="1009"/>
        <v>CH</v>
      </c>
      <c r="D836" t="s">
        <v>2048</v>
      </c>
      <c r="E836" t="s">
        <v>8</v>
      </c>
      <c r="F836" s="1">
        <f t="shared" si="1016"/>
        <v>0</v>
      </c>
      <c r="G836" s="1">
        <f t="shared" si="1016"/>
        <v>0</v>
      </c>
      <c r="H836" s="1">
        <f t="shared" si="1016"/>
        <v>0</v>
      </c>
      <c r="I836" s="1">
        <f t="shared" si="1016"/>
        <v>0</v>
      </c>
      <c r="J836" s="1">
        <f t="shared" si="1016"/>
        <v>0</v>
      </c>
      <c r="K836" s="1">
        <f t="shared" si="1016"/>
        <v>4.823883360780123E-3</v>
      </c>
      <c r="L836" s="1">
        <f t="shared" ref="L836:O836" si="1018">IFERROR(L795/L$792,0)*L$833</f>
        <v>0.25798236557026538</v>
      </c>
      <c r="M836" s="1">
        <f t="shared" si="1018"/>
        <v>0.25664460042615189</v>
      </c>
      <c r="N836" s="1">
        <f t="shared" si="1018"/>
        <v>0.25625647091480946</v>
      </c>
      <c r="O836" s="1">
        <f t="shared" si="1018"/>
        <v>0.21493283458460297</v>
      </c>
      <c r="P836" s="1">
        <f t="shared" si="1015"/>
        <v>0.25604845613304844</v>
      </c>
      <c r="Q836" s="1">
        <f t="shared" si="1015"/>
        <v>0.25581065934411118</v>
      </c>
      <c r="S836" s="3"/>
    </row>
    <row r="837" spans="2:19" x14ac:dyDescent="0.5">
      <c r="B837" s="5" t="str">
        <f t="shared" si="1008"/>
        <v>SPS1</v>
      </c>
      <c r="C837" s="5" t="str">
        <f t="shared" si="1009"/>
        <v>CH</v>
      </c>
      <c r="D837" t="s">
        <v>2049</v>
      </c>
      <c r="E837" t="s">
        <v>8</v>
      </c>
      <c r="F837" s="1">
        <f t="shared" si="1016"/>
        <v>0</v>
      </c>
      <c r="G837" s="1">
        <f t="shared" si="1016"/>
        <v>0</v>
      </c>
      <c r="H837" s="1">
        <f t="shared" si="1016"/>
        <v>0</v>
      </c>
      <c r="I837" s="1">
        <f t="shared" si="1016"/>
        <v>1.4728688723488368E-4</v>
      </c>
      <c r="J837" s="1">
        <f t="shared" si="1016"/>
        <v>2.1068509586026098E-4</v>
      </c>
      <c r="K837" s="1">
        <f t="shared" si="1016"/>
        <v>1.8035725361724112E-3</v>
      </c>
      <c r="L837" s="1">
        <f t="shared" ref="L837:O837" si="1019">IFERROR(L796/L$792,0)*L$833</f>
        <v>1.2019159587905884E-3</v>
      </c>
      <c r="M837" s="1">
        <f t="shared" si="1019"/>
        <v>3.7487298934906263E-4</v>
      </c>
      <c r="N837" s="1">
        <f t="shared" si="1019"/>
        <v>5.2252413507844844E-4</v>
      </c>
      <c r="O837" s="1">
        <f t="shared" si="1019"/>
        <v>1.0813147758000558E-3</v>
      </c>
      <c r="P837" s="1">
        <f t="shared" si="1015"/>
        <v>4.6377288658407616E-4</v>
      </c>
      <c r="Q837" s="1">
        <f t="shared" si="1015"/>
        <v>3.0081439201991783E-4</v>
      </c>
      <c r="S837" s="3"/>
    </row>
    <row r="838" spans="2:19" x14ac:dyDescent="0.5">
      <c r="B838" s="5" t="str">
        <f t="shared" si="1008"/>
        <v>SPS1</v>
      </c>
      <c r="C838" s="5" t="str">
        <f t="shared" si="1009"/>
        <v>CH</v>
      </c>
      <c r="D838" t="s">
        <v>2050</v>
      </c>
      <c r="E838" t="s">
        <v>8</v>
      </c>
      <c r="F838" s="1">
        <f t="shared" si="1016"/>
        <v>2.3368055561639567</v>
      </c>
      <c r="G838" s="1">
        <f t="shared" si="1016"/>
        <v>1.9663500921561452</v>
      </c>
      <c r="H838" s="1">
        <f t="shared" si="1016"/>
        <v>2.395654520306294</v>
      </c>
      <c r="I838" s="1">
        <f t="shared" si="1016"/>
        <v>2.2206054399256874</v>
      </c>
      <c r="J838" s="1">
        <f t="shared" si="1016"/>
        <v>1.8245321074308201</v>
      </c>
      <c r="K838" s="1">
        <f t="shared" si="1016"/>
        <v>1.3144844217057685</v>
      </c>
      <c r="L838" s="1">
        <f t="shared" ref="L838:O838" si="1020">IFERROR(L797/L$792,0)*L$833</f>
        <v>6.3356072453166538E-4</v>
      </c>
      <c r="M838" s="1">
        <f t="shared" si="1020"/>
        <v>2.0624768629419585E-4</v>
      </c>
      <c r="N838" s="1">
        <f t="shared" si="1020"/>
        <v>3.294423511036461E-4</v>
      </c>
      <c r="O838" s="1">
        <f t="shared" si="1020"/>
        <v>5.7236004086233441E-4</v>
      </c>
      <c r="P838" s="1">
        <f t="shared" si="1015"/>
        <v>3.5587593385209029E-4</v>
      </c>
      <c r="Q838" s="1">
        <f t="shared" si="1015"/>
        <v>1.300107886989462E-4</v>
      </c>
      <c r="S838" s="3"/>
    </row>
    <row r="839" spans="2:19" x14ac:dyDescent="0.5">
      <c r="B839" s="5" t="str">
        <f t="shared" si="1008"/>
        <v>SPS1</v>
      </c>
      <c r="C839" s="5" t="str">
        <f t="shared" si="1009"/>
        <v>CH</v>
      </c>
      <c r="D839" t="s">
        <v>2051</v>
      </c>
      <c r="E839" t="s">
        <v>8</v>
      </c>
      <c r="F839" s="1">
        <f t="shared" si="1016"/>
        <v>0</v>
      </c>
      <c r="G839" s="1">
        <f t="shared" si="1016"/>
        <v>0</v>
      </c>
      <c r="H839" s="1">
        <f t="shared" si="1016"/>
        <v>0</v>
      </c>
      <c r="I839" s="1">
        <f t="shared" si="1016"/>
        <v>0</v>
      </c>
      <c r="J839" s="1">
        <f t="shared" si="1016"/>
        <v>0</v>
      </c>
      <c r="K839" s="1">
        <f t="shared" si="1016"/>
        <v>0.21820773406674307</v>
      </c>
      <c r="L839" s="1">
        <f t="shared" ref="L839:O839" si="1021">IFERROR(L798/L$792,0)*L$833</f>
        <v>2.3760747556490687</v>
      </c>
      <c r="M839" s="1">
        <f t="shared" si="1021"/>
        <v>1.905367095470335</v>
      </c>
      <c r="N839" s="1">
        <f t="shared" si="1021"/>
        <v>1.9034513083005007</v>
      </c>
      <c r="O839" s="1">
        <f t="shared" si="1021"/>
        <v>1.9020528026058627</v>
      </c>
      <c r="P839" s="1">
        <f t="shared" si="1015"/>
        <v>1.9014298052869563</v>
      </c>
      <c r="Q839" s="1">
        <f t="shared" si="1015"/>
        <v>1.8987526987979357</v>
      </c>
      <c r="S839" s="3"/>
    </row>
    <row r="840" spans="2:19" x14ac:dyDescent="0.5">
      <c r="B840" s="5" t="str">
        <f t="shared" si="1008"/>
        <v>SPS1</v>
      </c>
      <c r="C840" s="5" t="str">
        <f t="shared" si="1009"/>
        <v>CH</v>
      </c>
      <c r="D840" t="s">
        <v>2052</v>
      </c>
      <c r="E840" t="s">
        <v>8</v>
      </c>
      <c r="F840" s="1">
        <f t="shared" si="1016"/>
        <v>0.79666826572260241</v>
      </c>
      <c r="G840" s="1">
        <f t="shared" si="1016"/>
        <v>0.90804846616311319</v>
      </c>
      <c r="H840" s="1">
        <f t="shared" si="1016"/>
        <v>3.1591995780376205</v>
      </c>
      <c r="I840" s="1">
        <f t="shared" si="1016"/>
        <v>3.2221246331505839</v>
      </c>
      <c r="J840" s="1">
        <f t="shared" si="1016"/>
        <v>3.053338984534463</v>
      </c>
      <c r="K840" s="1">
        <f t="shared" si="1016"/>
        <v>1.2903246029352495</v>
      </c>
      <c r="L840" s="1">
        <f t="shared" ref="L840:O840" si="1022">IFERROR(L799/L$792,0)*L$833</f>
        <v>0.37697347429026196</v>
      </c>
      <c r="M840" s="1">
        <f t="shared" si="1022"/>
        <v>2.112392606141707E-3</v>
      </c>
      <c r="N840" s="1">
        <f t="shared" si="1022"/>
        <v>1.8526335984661948E-3</v>
      </c>
      <c r="O840" s="1">
        <f t="shared" si="1022"/>
        <v>2.228031595140444E-3</v>
      </c>
      <c r="P840" s="1">
        <f t="shared" si="1015"/>
        <v>1.8211627941144054E-3</v>
      </c>
      <c r="Q840" s="1">
        <f t="shared" si="1015"/>
        <v>2.5474152534718051E-3</v>
      </c>
      <c r="S840" s="3"/>
    </row>
    <row r="841" spans="2:19" x14ac:dyDescent="0.5">
      <c r="B841" s="5" t="str">
        <f t="shared" si="1008"/>
        <v>SPS1</v>
      </c>
      <c r="C841" s="5" t="str">
        <f t="shared" si="1009"/>
        <v>CH</v>
      </c>
      <c r="D841" t="s">
        <v>2053</v>
      </c>
      <c r="E841" t="s">
        <v>8</v>
      </c>
      <c r="F841" s="1">
        <f t="shared" si="1016"/>
        <v>0</v>
      </c>
      <c r="G841" s="1">
        <f t="shared" si="1016"/>
        <v>0</v>
      </c>
      <c r="H841" s="1">
        <f t="shared" si="1016"/>
        <v>0</v>
      </c>
      <c r="I841" s="1">
        <f t="shared" si="1016"/>
        <v>0</v>
      </c>
      <c r="J841" s="1">
        <f t="shared" si="1016"/>
        <v>0</v>
      </c>
      <c r="K841" s="1">
        <f t="shared" si="1016"/>
        <v>5.0489455901280991</v>
      </c>
      <c r="L841" s="1">
        <f t="shared" ref="L841:O841" si="1023">IFERROR(L800/L$792,0)*L$833</f>
        <v>7.3308495428494975</v>
      </c>
      <c r="M841" s="1">
        <f t="shared" si="1023"/>
        <v>8.7078716007404608</v>
      </c>
      <c r="N841" s="1">
        <f t="shared" si="1023"/>
        <v>8.6280792571944183</v>
      </c>
      <c r="O841" s="1">
        <f t="shared" si="1023"/>
        <v>8.6954730335890833</v>
      </c>
      <c r="P841" s="1">
        <f t="shared" si="1015"/>
        <v>8.6703602046415771</v>
      </c>
      <c r="Q841" s="1">
        <f t="shared" si="1015"/>
        <v>8.6770556854369101</v>
      </c>
      <c r="S841" s="3"/>
    </row>
    <row r="842" spans="2:19" x14ac:dyDescent="0.5">
      <c r="B842" s="5" t="str">
        <f t="shared" si="1008"/>
        <v>SPS1</v>
      </c>
      <c r="C842" s="5" t="str">
        <f t="shared" si="1009"/>
        <v>CH</v>
      </c>
      <c r="D842" t="s">
        <v>2054</v>
      </c>
      <c r="E842" t="s">
        <v>8</v>
      </c>
      <c r="F842" s="1">
        <f t="shared" si="1016"/>
        <v>0</v>
      </c>
      <c r="G842" s="1">
        <f t="shared" si="1016"/>
        <v>0</v>
      </c>
      <c r="H842" s="1">
        <f t="shared" si="1016"/>
        <v>0</v>
      </c>
      <c r="I842" s="1">
        <f t="shared" si="1016"/>
        <v>5.2797983553678433E-3</v>
      </c>
      <c r="J842" s="1">
        <f t="shared" si="1016"/>
        <v>0.47713728398947769</v>
      </c>
      <c r="K842" s="1">
        <f t="shared" si="1016"/>
        <v>1.6591982510407808</v>
      </c>
      <c r="L842" s="1">
        <f t="shared" ref="L842:O842" si="1024">IFERROR(L801/L$792,0)*L$833</f>
        <v>2.0912882028134101</v>
      </c>
      <c r="M842" s="1">
        <f t="shared" si="1024"/>
        <v>1.9088998997592883</v>
      </c>
      <c r="N842" s="1">
        <f t="shared" si="1024"/>
        <v>1.9071460052465345</v>
      </c>
      <c r="O842" s="1">
        <f t="shared" si="1024"/>
        <v>1.906181524052327</v>
      </c>
      <c r="P842" s="1">
        <f t="shared" si="1015"/>
        <v>1.9051362366502651</v>
      </c>
      <c r="Q842" s="1">
        <f t="shared" si="1015"/>
        <v>1.9021438737803995</v>
      </c>
      <c r="S842" s="3"/>
    </row>
    <row r="843" spans="2:19" x14ac:dyDescent="0.5">
      <c r="B843" s="5" t="str">
        <f t="shared" si="1008"/>
        <v>SPS1</v>
      </c>
      <c r="C843" s="5" t="str">
        <f t="shared" si="1009"/>
        <v>CH</v>
      </c>
      <c r="D843" t="s">
        <v>2055</v>
      </c>
      <c r="E843" t="s">
        <v>8</v>
      </c>
      <c r="F843" s="1">
        <f>[1]Industry!B$63</f>
        <v>6.5822744724615605</v>
      </c>
      <c r="G843" s="1">
        <f>[1]Industry!C$63</f>
        <v>7.0678489068576793</v>
      </c>
      <c r="H843" s="1">
        <f>[1]Industry!D$63</f>
        <v>6.7349936490311553</v>
      </c>
      <c r="I843" s="1">
        <f>[1]Industry!E$63</f>
        <v>7.2568637135753855</v>
      </c>
      <c r="J843" s="1">
        <f>[1]Industry!F$63</f>
        <v>7.5133126123995879</v>
      </c>
      <c r="K843" s="1">
        <f>[1]Industry!G$63</f>
        <v>6.7315181264145538</v>
      </c>
      <c r="L843" s="1">
        <f>[1]Industry!H$63</f>
        <v>7.5479146019083494</v>
      </c>
      <c r="M843" s="1">
        <f>[1]Industry!I$63</f>
        <v>6.9320888255946729</v>
      </c>
      <c r="N843" s="1">
        <f>[1]Industry!J$63</f>
        <v>8.1340725981703663</v>
      </c>
      <c r="O843" s="1">
        <f>[1]Industry!K$63</f>
        <v>7.5997789889559826</v>
      </c>
      <c r="P843" s="1">
        <f>[1]Industry!L$63</f>
        <v>6.8396982647267146</v>
      </c>
      <c r="Q843" s="1">
        <f>[1]Industry!M$63</f>
        <v>6.8187589009122718</v>
      </c>
      <c r="S843" s="3"/>
    </row>
    <row r="844" spans="2:19" x14ac:dyDescent="0.5">
      <c r="B844" s="5" t="str">
        <f t="shared" si="1008"/>
        <v>SPS1</v>
      </c>
      <c r="C844" s="5" t="str">
        <f t="shared" si="1009"/>
        <v>CH</v>
      </c>
      <c r="D844" t="s">
        <v>2056</v>
      </c>
      <c r="E844" t="s">
        <v>8</v>
      </c>
      <c r="F844" s="1">
        <f>F845</f>
        <v>5.3111194963427604</v>
      </c>
      <c r="G844" s="1">
        <f t="shared" ref="G844:O844" si="1025">G845</f>
        <v>6.2669391770577469</v>
      </c>
      <c r="H844" s="1">
        <f t="shared" si="1025"/>
        <v>5.830283142305805</v>
      </c>
      <c r="I844" s="1">
        <f t="shared" si="1025"/>
        <v>6.814405087684472</v>
      </c>
      <c r="J844" s="1">
        <f t="shared" si="1025"/>
        <v>7.3062254652160581</v>
      </c>
      <c r="K844" s="1">
        <f t="shared" si="1025"/>
        <v>5.841709454903742</v>
      </c>
      <c r="L844" s="1">
        <f t="shared" si="1025"/>
        <v>5.8684405287553574</v>
      </c>
      <c r="M844" s="1">
        <f t="shared" si="1025"/>
        <v>5.8929888869503593</v>
      </c>
      <c r="N844" s="1">
        <f t="shared" si="1025"/>
        <v>5.8398415540427093</v>
      </c>
      <c r="O844" s="1">
        <f t="shared" si="1025"/>
        <v>6.2759493713888057</v>
      </c>
      <c r="P844" s="1">
        <f>P845</f>
        <v>5.8071700637482699</v>
      </c>
      <c r="Q844" s="1">
        <f>Q845</f>
        <v>5.7877197279163033</v>
      </c>
      <c r="S844" s="3"/>
    </row>
    <row r="845" spans="2:19" x14ac:dyDescent="0.5">
      <c r="B845" s="5" t="str">
        <f t="shared" si="1008"/>
        <v>SPS1</v>
      </c>
      <c r="C845" s="5" t="str">
        <f t="shared" si="1009"/>
        <v>CH</v>
      </c>
      <c r="D845" t="s">
        <v>2057</v>
      </c>
      <c r="E845" t="s">
        <v>8</v>
      </c>
      <c r="F845" s="1">
        <f>[1]Industry!B$64</f>
        <v>5.3111194963427604</v>
      </c>
      <c r="G845" s="1">
        <f>[1]Industry!C$64</f>
        <v>6.2669391770577469</v>
      </c>
      <c r="H845" s="1">
        <f>[1]Industry!D$64</f>
        <v>5.830283142305805</v>
      </c>
      <c r="I845" s="1">
        <f>[1]Industry!E$64</f>
        <v>6.814405087684472</v>
      </c>
      <c r="J845" s="1">
        <f>[1]Industry!F$64</f>
        <v>7.3062254652160581</v>
      </c>
      <c r="K845" s="1">
        <f>[1]Industry!G$64</f>
        <v>5.841709454903742</v>
      </c>
      <c r="L845" s="1">
        <f>[1]Industry!H$64</f>
        <v>5.8684405287553574</v>
      </c>
      <c r="M845" s="1">
        <f>[1]Industry!I$64</f>
        <v>5.8929888869503593</v>
      </c>
      <c r="N845" s="1">
        <f>[1]Industry!J$64</f>
        <v>5.8398415540427093</v>
      </c>
      <c r="O845" s="1">
        <f>[1]Industry!K$64</f>
        <v>6.2759493713888057</v>
      </c>
      <c r="P845" s="1">
        <f>[1]Industry!L$64</f>
        <v>5.8071700637482699</v>
      </c>
      <c r="Q845" s="1">
        <f>[1]Industry!M$64</f>
        <v>5.7877197279163033</v>
      </c>
      <c r="S845" s="3"/>
    </row>
    <row r="846" spans="2:19" x14ac:dyDescent="0.5">
      <c r="B846" s="5" t="str">
        <f t="shared" si="1008"/>
        <v>SPS1</v>
      </c>
      <c r="C846" s="5" t="str">
        <f t="shared" si="1009"/>
        <v>CH</v>
      </c>
      <c r="D846" t="s">
        <v>2058</v>
      </c>
      <c r="E846" t="s">
        <v>8</v>
      </c>
      <c r="F846" s="1">
        <f>F847</f>
        <v>0.46151863680100241</v>
      </c>
      <c r="G846" s="1">
        <f t="shared" ref="G846:O846" si="1026">G847</f>
        <v>0.54457513533472446</v>
      </c>
      <c r="H846" s="1">
        <f t="shared" si="1026"/>
        <v>0.54457592959851875</v>
      </c>
      <c r="I846" s="1">
        <f t="shared" si="1026"/>
        <v>0.5445818646999675</v>
      </c>
      <c r="J846" s="1">
        <f t="shared" si="1026"/>
        <v>0.54458716362674131</v>
      </c>
      <c r="K846" s="1">
        <f t="shared" si="1026"/>
        <v>0.54459164471045551</v>
      </c>
      <c r="L846" s="1">
        <f t="shared" si="1026"/>
        <v>0.54459914469367321</v>
      </c>
      <c r="M846" s="1">
        <f t="shared" si="1026"/>
        <v>0.54461776517907656</v>
      </c>
      <c r="N846" s="1">
        <f t="shared" si="1026"/>
        <v>0.54462033104686169</v>
      </c>
      <c r="O846" s="1">
        <f t="shared" si="1026"/>
        <v>0.54463126152717889</v>
      </c>
      <c r="P846" s="1">
        <f>P847</f>
        <v>0.54463660498682842</v>
      </c>
      <c r="Q846" s="1">
        <f>Q847</f>
        <v>0.54464922521259895</v>
      </c>
      <c r="S846" s="3"/>
    </row>
    <row r="847" spans="2:19" x14ac:dyDescent="0.5">
      <c r="B847" s="5" t="str">
        <f t="shared" si="1008"/>
        <v>SPS1</v>
      </c>
      <c r="C847" s="5" t="str">
        <f t="shared" si="1009"/>
        <v>CH</v>
      </c>
      <c r="D847" t="s">
        <v>2059</v>
      </c>
      <c r="E847" t="s">
        <v>8</v>
      </c>
      <c r="F847" s="1">
        <f>[1]Industry!B$65</f>
        <v>0.46151863680100241</v>
      </c>
      <c r="G847" s="1">
        <f>[1]Industry!C$65</f>
        <v>0.54457513533472446</v>
      </c>
      <c r="H847" s="1">
        <f>[1]Industry!D$65</f>
        <v>0.54457592959851875</v>
      </c>
      <c r="I847" s="1">
        <f>[1]Industry!E$65</f>
        <v>0.5445818646999675</v>
      </c>
      <c r="J847" s="1">
        <f>[1]Industry!F$65</f>
        <v>0.54458716362674131</v>
      </c>
      <c r="K847" s="1">
        <f>[1]Industry!G$65</f>
        <v>0.54459164471045551</v>
      </c>
      <c r="L847" s="1">
        <f>[1]Industry!H$65</f>
        <v>0.54459914469367321</v>
      </c>
      <c r="M847" s="1">
        <f>[1]Industry!I$65</f>
        <v>0.54461776517907656</v>
      </c>
      <c r="N847" s="1">
        <f>[1]Industry!J$65</f>
        <v>0.54462033104686169</v>
      </c>
      <c r="O847" s="1">
        <f>[1]Industry!K$65</f>
        <v>0.54463126152717889</v>
      </c>
      <c r="P847" s="1">
        <f>[1]Industry!L$65</f>
        <v>0.54463660498682842</v>
      </c>
      <c r="Q847" s="1">
        <f>[1]Industry!M$65</f>
        <v>0.54464922521259895</v>
      </c>
      <c r="S847" s="3"/>
    </row>
    <row r="848" spans="2:19" x14ac:dyDescent="0.5">
      <c r="B848" s="5" t="str">
        <f t="shared" si="1008"/>
        <v>SPS1</v>
      </c>
      <c r="C848" s="5" t="str">
        <f t="shared" si="1009"/>
        <v>CH</v>
      </c>
      <c r="D848" t="s">
        <v>2060</v>
      </c>
      <c r="E848" t="s">
        <v>8</v>
      </c>
      <c r="F848" s="1">
        <f>F849</f>
        <v>4.1173660570991517</v>
      </c>
      <c r="G848" s="1">
        <f t="shared" ref="G848:O848" si="1027">G849</f>
        <v>4.2663174789344653</v>
      </c>
      <c r="H848" s="1">
        <f t="shared" si="1027"/>
        <v>2.9611648653053373</v>
      </c>
      <c r="I848" s="1">
        <f t="shared" si="1027"/>
        <v>2.9280923628843771</v>
      </c>
      <c r="J848" s="1">
        <f t="shared" si="1027"/>
        <v>2.8950244914562431</v>
      </c>
      <c r="K848" s="1">
        <f t="shared" si="1027"/>
        <v>2.8804079168104648</v>
      </c>
      <c r="L848" s="1">
        <f t="shared" si="1027"/>
        <v>3.2860683595996357E-3</v>
      </c>
      <c r="M848" s="1">
        <f t="shared" si="1027"/>
        <v>2.7882126592150157E-4</v>
      </c>
      <c r="N848" s="1">
        <f t="shared" si="1027"/>
        <v>4.2520147274495326E-4</v>
      </c>
      <c r="O848" s="1">
        <f t="shared" si="1027"/>
        <v>1.103617915815081E-3</v>
      </c>
      <c r="P848" s="1">
        <f>P849</f>
        <v>4.0864227012522901E-4</v>
      </c>
      <c r="Q848" s="1">
        <f>Q849</f>
        <v>8.646291067598807E-5</v>
      </c>
      <c r="S848" s="3"/>
    </row>
    <row r="849" spans="2:19" x14ac:dyDescent="0.5">
      <c r="B849" s="5" t="str">
        <f t="shared" si="1008"/>
        <v>SPS1</v>
      </c>
      <c r="C849" s="5" t="str">
        <f t="shared" si="1009"/>
        <v>CH</v>
      </c>
      <c r="D849" t="s">
        <v>2061</v>
      </c>
      <c r="E849" t="s">
        <v>8</v>
      </c>
      <c r="F849" s="1">
        <f>[1]Industry!B$66</f>
        <v>4.1173660570991517</v>
      </c>
      <c r="G849" s="1">
        <f>[1]Industry!C$66</f>
        <v>4.2663174789344653</v>
      </c>
      <c r="H849" s="1">
        <f>[1]Industry!D$66</f>
        <v>2.9611648653053373</v>
      </c>
      <c r="I849" s="1">
        <f>[1]Industry!E$66</f>
        <v>2.9280923628843771</v>
      </c>
      <c r="J849" s="1">
        <f>[1]Industry!F$66</f>
        <v>2.8950244914562431</v>
      </c>
      <c r="K849" s="1">
        <f>[1]Industry!G$66</f>
        <v>2.8804079168104648</v>
      </c>
      <c r="L849" s="1">
        <f>[1]Industry!H$66</f>
        <v>3.2860683595996357E-3</v>
      </c>
      <c r="M849" s="1">
        <f>[1]Industry!I$66</f>
        <v>2.7882126592150157E-4</v>
      </c>
      <c r="N849" s="1">
        <f>[1]Industry!J$66</f>
        <v>4.2520147274495326E-4</v>
      </c>
      <c r="O849" s="1">
        <f>[1]Industry!K$66</f>
        <v>1.103617915815081E-3</v>
      </c>
      <c r="P849" s="1">
        <f>[1]Industry!L$66</f>
        <v>4.0864227012522901E-4</v>
      </c>
      <c r="Q849" s="1">
        <f>[1]Industry!M$66</f>
        <v>8.646291067598807E-5</v>
      </c>
      <c r="S849" s="3"/>
    </row>
    <row r="850" spans="2:19" x14ac:dyDescent="0.5">
      <c r="B850" s="5" t="str">
        <f t="shared" si="1008"/>
        <v>SPS1</v>
      </c>
      <c r="C850" s="5" t="str">
        <f t="shared" si="1009"/>
        <v>CH</v>
      </c>
      <c r="D850" t="s">
        <v>2062</v>
      </c>
      <c r="E850" t="s">
        <v>8</v>
      </c>
      <c r="F850" s="1">
        <f>F851</f>
        <v>6.7631876321587028E-2</v>
      </c>
      <c r="G850" s="1">
        <f t="shared" ref="G850:O850" si="1028">G851</f>
        <v>8.5490310982655707E-2</v>
      </c>
      <c r="H850" s="1">
        <f t="shared" si="1028"/>
        <v>8.4131742236063761E-2</v>
      </c>
      <c r="I850" s="1">
        <f t="shared" si="1028"/>
        <v>8.5802905691877776E-2</v>
      </c>
      <c r="J850" s="1">
        <f t="shared" si="1028"/>
        <v>8.5792429311437823E-2</v>
      </c>
      <c r="K850" s="1">
        <f t="shared" si="1028"/>
        <v>5.9139034626635438E-2</v>
      </c>
      <c r="L850" s="1">
        <f t="shared" si="1028"/>
        <v>5.9870474676014675E-2</v>
      </c>
      <c r="M850" s="1">
        <f t="shared" si="1028"/>
        <v>5.658712858573163E-2</v>
      </c>
      <c r="N850" s="1">
        <f t="shared" si="1028"/>
        <v>5.298908523133216E-2</v>
      </c>
      <c r="O850" s="1">
        <f t="shared" si="1028"/>
        <v>5.0125400229749609E-2</v>
      </c>
      <c r="P850" s="1">
        <f>P851</f>
        <v>9.5066754204313625E-3</v>
      </c>
      <c r="Q850" s="1">
        <f>Q851</f>
        <v>1.0185431668041319E-3</v>
      </c>
      <c r="S850" s="3"/>
    </row>
    <row r="851" spans="2:19" x14ac:dyDescent="0.5">
      <c r="B851" s="5" t="str">
        <f t="shared" si="1008"/>
        <v>SPS1</v>
      </c>
      <c r="C851" s="5" t="str">
        <f t="shared" si="1009"/>
        <v>CH</v>
      </c>
      <c r="D851" t="s">
        <v>2063</v>
      </c>
      <c r="E851" t="s">
        <v>8</v>
      </c>
      <c r="F851" s="1">
        <f>[1]Industry!B$67</f>
        <v>6.7631876321587028E-2</v>
      </c>
      <c r="G851" s="1">
        <f>[1]Industry!C$67</f>
        <v>8.5490310982655707E-2</v>
      </c>
      <c r="H851" s="1">
        <f>[1]Industry!D$67</f>
        <v>8.4131742236063761E-2</v>
      </c>
      <c r="I851" s="1">
        <f>[1]Industry!E$67</f>
        <v>8.5802905691877776E-2</v>
      </c>
      <c r="J851" s="1">
        <f>[1]Industry!F$67</f>
        <v>8.5792429311437823E-2</v>
      </c>
      <c r="K851" s="1">
        <f>[1]Industry!G$67</f>
        <v>5.9139034626635438E-2</v>
      </c>
      <c r="L851" s="1">
        <f>[1]Industry!H$67</f>
        <v>5.9870474676014675E-2</v>
      </c>
      <c r="M851" s="1">
        <f>[1]Industry!I$67</f>
        <v>5.658712858573163E-2</v>
      </c>
      <c r="N851" s="1">
        <f>[1]Industry!J$67</f>
        <v>5.298908523133216E-2</v>
      </c>
      <c r="O851" s="1">
        <f>[1]Industry!K$67</f>
        <v>5.0125400229749609E-2</v>
      </c>
      <c r="P851" s="1">
        <f>[1]Industry!L$67</f>
        <v>9.5066754204313625E-3</v>
      </c>
      <c r="Q851" s="1">
        <f>[1]Industry!M$67</f>
        <v>1.0185431668041319E-3</v>
      </c>
      <c r="S851" s="3"/>
    </row>
    <row r="852" spans="2:19" x14ac:dyDescent="0.5">
      <c r="B852" s="5" t="str">
        <f t="shared" si="1008"/>
        <v>SPS1</v>
      </c>
      <c r="C852" s="5" t="str">
        <f t="shared" si="1009"/>
        <v>CH</v>
      </c>
      <c r="D852" t="s">
        <v>2064</v>
      </c>
      <c r="E852" t="s">
        <v>8</v>
      </c>
      <c r="F852" s="1">
        <f>F853</f>
        <v>0</v>
      </c>
      <c r="G852" s="1">
        <f t="shared" ref="G852:O852" si="1029">G853</f>
        <v>0</v>
      </c>
      <c r="H852" s="1">
        <f t="shared" si="1029"/>
        <v>0</v>
      </c>
      <c r="I852" s="1">
        <f t="shared" si="1029"/>
        <v>1.9257883563951819E-2</v>
      </c>
      <c r="J852" s="1">
        <f t="shared" si="1029"/>
        <v>8.1313858659819065</v>
      </c>
      <c r="K852" s="1">
        <f t="shared" si="1029"/>
        <v>8.1313861725434577</v>
      </c>
      <c r="L852" s="1">
        <f t="shared" si="1029"/>
        <v>8.1313943851956161</v>
      </c>
      <c r="M852" s="1">
        <f t="shared" si="1029"/>
        <v>13.242262563695194</v>
      </c>
      <c r="N852" s="1">
        <f t="shared" si="1029"/>
        <v>13.242225333884775</v>
      </c>
      <c r="O852" s="1">
        <f t="shared" si="1029"/>
        <v>13.242226982308695</v>
      </c>
      <c r="P852" s="1">
        <f>P853</f>
        <v>13.242211170727185</v>
      </c>
      <c r="Q852" s="1">
        <f>Q853</f>
        <v>13.242219061100952</v>
      </c>
      <c r="S852" s="3"/>
    </row>
    <row r="853" spans="2:19" x14ac:dyDescent="0.5">
      <c r="B853" s="5" t="str">
        <f t="shared" si="1008"/>
        <v>SPS1</v>
      </c>
      <c r="C853" s="5" t="str">
        <f t="shared" si="1009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1.9257883563951819E-2</v>
      </c>
      <c r="J853" s="1">
        <f>[1]Industry!F$69</f>
        <v>8.1313858659819065</v>
      </c>
      <c r="K853" s="1">
        <f>[1]Industry!G$69</f>
        <v>8.1313861725434577</v>
      </c>
      <c r="L853" s="1">
        <f>[1]Industry!H$69</f>
        <v>8.1313943851956161</v>
      </c>
      <c r="M853" s="1">
        <f>[1]Industry!I$69</f>
        <v>13.242262563695194</v>
      </c>
      <c r="N853" s="1">
        <f>[1]Industry!J$69</f>
        <v>13.242225333884775</v>
      </c>
      <c r="O853" s="1">
        <f>[1]Industry!K$69</f>
        <v>13.242226982308695</v>
      </c>
      <c r="P853" s="1">
        <f>[1]Industry!L$69</f>
        <v>13.242211170727185</v>
      </c>
      <c r="Q853" s="1">
        <f>[1]Industry!M$69</f>
        <v>13.242219061100952</v>
      </c>
      <c r="S853" s="3"/>
    </row>
    <row r="854" spans="2:19" x14ac:dyDescent="0.5">
      <c r="B854" s="5" t="str">
        <f t="shared" si="1008"/>
        <v>SPS1</v>
      </c>
      <c r="C854" s="5" t="str">
        <f t="shared" si="1009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1030">SUM(G855:G856)</f>
        <v>4.8941917656343339</v>
      </c>
      <c r="H854" s="1">
        <f t="shared" si="1030"/>
        <v>4.8941970700642576</v>
      </c>
      <c r="I854" s="1">
        <f t="shared" si="1030"/>
        <v>5.5828975245990753</v>
      </c>
      <c r="J854" s="1">
        <f t="shared" si="1030"/>
        <v>7.7813667827339241</v>
      </c>
      <c r="K854" s="1">
        <f t="shared" si="1030"/>
        <v>7.8774167577667384</v>
      </c>
      <c r="L854" s="1">
        <f t="shared" ref="L854:O854" si="1031">SUM(L855:L856)</f>
        <v>7.9510021817411154</v>
      </c>
      <c r="M854" s="1">
        <f t="shared" si="1031"/>
        <v>7.9511021397407937</v>
      </c>
      <c r="N854" s="1">
        <f t="shared" si="1031"/>
        <v>7.9510088395617817</v>
      </c>
      <c r="O854" s="1">
        <f t="shared" si="1031"/>
        <v>7.9511128559057589</v>
      </c>
      <c r="P854" s="1">
        <f>SUM(P855:P856)</f>
        <v>7.9510177140312583</v>
      </c>
      <c r="Q854" s="1">
        <f>SUM(Q855:Q856)</f>
        <v>7.9511236623424582</v>
      </c>
      <c r="S854" s="3"/>
    </row>
    <row r="855" spans="2:19" x14ac:dyDescent="0.5">
      <c r="B855" s="5" t="str">
        <f t="shared" si="1008"/>
        <v>SPS1</v>
      </c>
      <c r="C855" s="5" t="str">
        <f t="shared" si="1009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0.8505941652194533</v>
      </c>
      <c r="H855" s="1">
        <f>[1]Industry!D$6-H856</f>
        <v>0.850595087111639</v>
      </c>
      <c r="I855" s="1">
        <f>[1]Industry!E$6-I856</f>
        <v>0.97058784275883259</v>
      </c>
      <c r="J855" s="1">
        <f>[1]Industry!F$6-J856</f>
        <v>1.83279512976564</v>
      </c>
      <c r="K855" s="1">
        <f>[1]Industry!G$6-K856</f>
        <v>1.9288304264156926</v>
      </c>
      <c r="L855" s="1">
        <f>[1]Industry!H$6-L856</f>
        <v>2.0023643416240988</v>
      </c>
      <c r="M855" s="1">
        <f>[1]Industry!I$6-M856</f>
        <v>1.977720871770873</v>
      </c>
      <c r="N855" s="1">
        <f>[1]Industry!J$6-N856</f>
        <v>1.9332067798360431</v>
      </c>
      <c r="O855" s="1">
        <f>[1]Industry!K$6-O856</f>
        <v>1.8700525041996494</v>
      </c>
      <c r="P855" s="1">
        <f>[1]Industry!L$6-P856</f>
        <v>1.870034210770033</v>
      </c>
      <c r="Q855" s="1">
        <f>[1]Industry!M$6-Q856</f>
        <v>1.8700541189295317</v>
      </c>
      <c r="S855" s="3"/>
    </row>
    <row r="856" spans="2:19" x14ac:dyDescent="0.5">
      <c r="B856" s="5" t="str">
        <f t="shared" si="1008"/>
        <v>SPS1</v>
      </c>
      <c r="C856" s="5" t="str">
        <f t="shared" si="1009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4.0435976004148806</v>
      </c>
      <c r="H856" s="1">
        <f>[1]Industry!D$70</f>
        <v>4.0436019829526186</v>
      </c>
      <c r="I856" s="1">
        <f>[1]Industry!E$70</f>
        <v>4.6123096818402427</v>
      </c>
      <c r="J856" s="1">
        <f>[1]Industry!F$70</f>
        <v>5.9485716529682842</v>
      </c>
      <c r="K856" s="1">
        <f>[1]Industry!G$70</f>
        <v>5.9485863313510459</v>
      </c>
      <c r="L856" s="1">
        <f>[1]Industry!H$70</f>
        <v>5.9486378401170166</v>
      </c>
      <c r="M856" s="1">
        <f>[1]Industry!I$70</f>
        <v>5.9733812679699207</v>
      </c>
      <c r="N856" s="1">
        <f>[1]Industry!J$70</f>
        <v>6.0178020597257387</v>
      </c>
      <c r="O856" s="1">
        <f>[1]Industry!K$70</f>
        <v>6.0810603517061095</v>
      </c>
      <c r="P856" s="1">
        <f>[1]Industry!L$70</f>
        <v>6.0809835032612254</v>
      </c>
      <c r="Q856" s="1">
        <f>[1]Industry!M$70</f>
        <v>6.0810695434129265</v>
      </c>
      <c r="S856" s="3"/>
    </row>
    <row r="857" spans="2:19" x14ac:dyDescent="0.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M857" s="1" t="s">
        <v>292</v>
      </c>
      <c r="N857" s="1" t="s">
        <v>292</v>
      </c>
      <c r="O857" s="1" t="s">
        <v>292</v>
      </c>
      <c r="P857" s="1" t="s">
        <v>292</v>
      </c>
      <c r="Q857" s="1" t="s">
        <v>292</v>
      </c>
      <c r="S857" s="3"/>
    </row>
    <row r="858" spans="2:19" x14ac:dyDescent="0.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0.84261542941328471</v>
      </c>
      <c r="G858" s="4">
        <f t="shared" ref="G858:K858" si="1032">IFERROR(G820/G765,"-")</f>
        <v>0.84306236513985455</v>
      </c>
      <c r="H858" s="4">
        <f t="shared" si="1032"/>
        <v>0.84373276872970704</v>
      </c>
      <c r="I858" s="4">
        <f t="shared" si="1032"/>
        <v>0.84485010804613025</v>
      </c>
      <c r="J858" s="4">
        <f t="shared" si="1032"/>
        <v>0.8459674473625528</v>
      </c>
      <c r="K858" s="4">
        <f t="shared" si="1032"/>
        <v>0.84708478667897769</v>
      </c>
      <c r="L858" s="4">
        <f t="shared" ref="L858:O858" si="1033">IFERROR(L820/L765,"-")</f>
        <v>0.84820212599540012</v>
      </c>
      <c r="M858" s="4">
        <f t="shared" si="1033"/>
        <v>0.84931946531182434</v>
      </c>
      <c r="N858" s="4">
        <f t="shared" si="1033"/>
        <v>0.84931946531182367</v>
      </c>
      <c r="O858" s="4">
        <f t="shared" si="1033"/>
        <v>0.84931946531182267</v>
      </c>
      <c r="P858" s="4">
        <f t="shared" ref="P858:Q860" si="1034">IFERROR(P820/P765,"-")</f>
        <v>0.84931946531182201</v>
      </c>
      <c r="Q858" s="4">
        <f t="shared" si="1034"/>
        <v>0.84931946531182256</v>
      </c>
      <c r="S858" s="3"/>
    </row>
    <row r="859" spans="2:19" x14ac:dyDescent="0.5">
      <c r="B859" s="5" t="str">
        <f t="shared" ref="B859:B881" si="1035">B858</f>
        <v>SPS1</v>
      </c>
      <c r="C859" s="5" t="str">
        <f t="shared" ref="C859:C881" si="1036">C858</f>
        <v>CH</v>
      </c>
      <c r="D859" t="s">
        <v>2070</v>
      </c>
      <c r="E859" t="s">
        <v>240</v>
      </c>
      <c r="F859" s="4">
        <f t="shared" ref="F859:K859" si="1037">IFERROR(F821/F766,"-")</f>
        <v>3.080980182251333</v>
      </c>
      <c r="G859" s="4">
        <f t="shared" si="1037"/>
        <v>3.1055374774069122</v>
      </c>
      <c r="H859" s="4">
        <f t="shared" si="1037"/>
        <v>3.1423734201402871</v>
      </c>
      <c r="I859" s="4">
        <f t="shared" si="1037"/>
        <v>3.203766658029251</v>
      </c>
      <c r="J859" s="4">
        <f t="shared" si="1037"/>
        <v>3.2651598959182078</v>
      </c>
      <c r="K859" s="4">
        <f t="shared" si="1037"/>
        <v>3.3265531338071703</v>
      </c>
      <c r="L859" s="4">
        <f t="shared" ref="L859:O859" si="1038">IFERROR(L821/L766,"-")</f>
        <v>3.387946371696128</v>
      </c>
      <c r="M859" s="4">
        <f t="shared" si="1038"/>
        <v>3.449339609585091</v>
      </c>
      <c r="N859" s="4">
        <f t="shared" si="1038"/>
        <v>3.4493396095850919</v>
      </c>
      <c r="O859" s="4">
        <f t="shared" si="1038"/>
        <v>3.4493396095850906</v>
      </c>
      <c r="P859" s="4">
        <f t="shared" si="1034"/>
        <v>3.449339609585087</v>
      </c>
      <c r="Q859" s="4">
        <f t="shared" si="1034"/>
        <v>3.4493396095850897</v>
      </c>
      <c r="S859" s="3"/>
    </row>
    <row r="860" spans="2:19" x14ac:dyDescent="0.5">
      <c r="B860" s="5" t="str">
        <f t="shared" si="1035"/>
        <v>SPS1</v>
      </c>
      <c r="C860" s="5" t="str">
        <f t="shared" si="1036"/>
        <v>CH</v>
      </c>
      <c r="D860" t="s">
        <v>2071</v>
      </c>
      <c r="E860" t="s">
        <v>240</v>
      </c>
      <c r="F860" s="4">
        <f t="shared" ref="F860:K860" si="1039">IFERROR(F822/F767,"-")</f>
        <v>1</v>
      </c>
      <c r="G860" s="4">
        <f t="shared" si="1039"/>
        <v>0.99999999503947845</v>
      </c>
      <c r="H860" s="4">
        <f t="shared" si="1039"/>
        <v>0.99999999495521197</v>
      </c>
      <c r="I860" s="4">
        <f t="shared" si="1039"/>
        <v>1.0000012795074489</v>
      </c>
      <c r="J860" s="4">
        <f t="shared" si="1039"/>
        <v>1.0000060047884676</v>
      </c>
      <c r="K860" s="4">
        <f t="shared" si="1039"/>
        <v>1.0000284181842125</v>
      </c>
      <c r="L860" s="4">
        <f t="shared" ref="L860:O860" si="1040">IFERROR(L822/L767,"-")</f>
        <v>0.96218540614073467</v>
      </c>
      <c r="M860" s="4">
        <f t="shared" si="1040"/>
        <v>0.96299020719030537</v>
      </c>
      <c r="N860" s="4">
        <f t="shared" si="1040"/>
        <v>0.96346275582164387</v>
      </c>
      <c r="O860" s="4">
        <f t="shared" si="1040"/>
        <v>0.96445661877751754</v>
      </c>
      <c r="P860" s="4">
        <f t="shared" si="1034"/>
        <v>0.96317983236858651</v>
      </c>
      <c r="Q860" s="4">
        <f t="shared" si="1034"/>
        <v>0.96231475087943019</v>
      </c>
      <c r="S860" s="3"/>
    </row>
    <row r="861" spans="2:19" x14ac:dyDescent="0.5">
      <c r="B861" s="5" t="str">
        <f t="shared" si="1035"/>
        <v>SPS1</v>
      </c>
      <c r="C861" s="5" t="str">
        <f t="shared" si="1036"/>
        <v>CH</v>
      </c>
      <c r="D861" t="s">
        <v>2072</v>
      </c>
      <c r="E861" t="s">
        <v>240</v>
      </c>
      <c r="F861" s="4">
        <f>IFERROR(F824/F769,"-")</f>
        <v>0.77746213224363447</v>
      </c>
      <c r="G861" s="4">
        <f t="shared" ref="G861:K862" si="1041">IFERROR(G824/G769,"-")</f>
        <v>0.77871988564932326</v>
      </c>
      <c r="H861" s="4">
        <f t="shared" si="1041"/>
        <v>0.78060651575785611</v>
      </c>
      <c r="I861" s="4">
        <f t="shared" si="1041"/>
        <v>0.78375089927207608</v>
      </c>
      <c r="J861" s="4">
        <f t="shared" si="1041"/>
        <v>0.78689528278629839</v>
      </c>
      <c r="K861" s="4">
        <f t="shared" si="1041"/>
        <v>0.79003966630051936</v>
      </c>
      <c r="L861" s="4">
        <f t="shared" ref="L861:O861" si="1042">IFERROR(L824/L769,"-")</f>
        <v>0.79318404981473933</v>
      </c>
      <c r="M861" s="4">
        <f t="shared" si="1042"/>
        <v>0.79632843332896097</v>
      </c>
      <c r="N861" s="4">
        <f t="shared" si="1042"/>
        <v>0.79632843332896086</v>
      </c>
      <c r="O861" s="4">
        <f t="shared" si="1042"/>
        <v>0.79632843332896153</v>
      </c>
      <c r="P861" s="4">
        <f>IFERROR(P824/P769,"-")</f>
        <v>0.79632843332895975</v>
      </c>
      <c r="Q861" s="4">
        <f>IFERROR(Q824/Q769,"-")</f>
        <v>0.79632843332896031</v>
      </c>
      <c r="S861" s="3"/>
    </row>
    <row r="862" spans="2:19" x14ac:dyDescent="0.5">
      <c r="B862" s="5" t="str">
        <f t="shared" si="1035"/>
        <v>SPS1</v>
      </c>
      <c r="C862" s="5" t="str">
        <f t="shared" si="1036"/>
        <v>CH</v>
      </c>
      <c r="D862" t="s">
        <v>2073</v>
      </c>
      <c r="E862" t="s">
        <v>240</v>
      </c>
      <c r="F862" s="4">
        <f>IFERROR(F825/F770,"-")</f>
        <v>0.67612500000000042</v>
      </c>
      <c r="G862" s="4">
        <f t="shared" si="1041"/>
        <v>0.6790499999999996</v>
      </c>
      <c r="H862" s="4">
        <f t="shared" si="1041"/>
        <v>0.68343750000000081</v>
      </c>
      <c r="I862" s="4">
        <f t="shared" si="1041"/>
        <v>0.6907500000000002</v>
      </c>
      <c r="J862" s="4">
        <f t="shared" si="1041"/>
        <v>0.69806249999999981</v>
      </c>
      <c r="K862" s="4">
        <f t="shared" si="1041"/>
        <v>0.70537499999999975</v>
      </c>
      <c r="L862" s="4">
        <f t="shared" ref="L862:O862" si="1043">IFERROR(L825/L770,"-")</f>
        <v>0.7126874999999997</v>
      </c>
      <c r="M862" s="4" t="str">
        <f t="shared" si="1043"/>
        <v>-</v>
      </c>
      <c r="N862" s="4" t="str">
        <f t="shared" si="1043"/>
        <v>-</v>
      </c>
      <c r="O862" s="4" t="str">
        <f t="shared" si="1043"/>
        <v>-</v>
      </c>
      <c r="P862" s="4" t="str">
        <f>IFERROR(P825/P770,"-")</f>
        <v>-</v>
      </c>
      <c r="Q862" s="4" t="str">
        <f>IFERROR(Q825/Q770,"-")</f>
        <v>-</v>
      </c>
      <c r="S862" s="3"/>
    </row>
    <row r="863" spans="2:19" x14ac:dyDescent="0.5">
      <c r="B863" s="5" t="str">
        <f t="shared" si="1035"/>
        <v>SPS1</v>
      </c>
      <c r="C863" s="5" t="str">
        <f t="shared" si="1036"/>
        <v>CH</v>
      </c>
      <c r="D863" t="s">
        <v>2074</v>
      </c>
      <c r="E863" t="s">
        <v>240</v>
      </c>
      <c r="F863" s="4">
        <f>IFERROR(F827/F779,"-")</f>
        <v>0.80503464871810526</v>
      </c>
      <c r="G863" s="4">
        <f t="shared" ref="G863:K865" si="1044">IFERROR(G827/G779,"-")</f>
        <v>0.83302076186918306</v>
      </c>
      <c r="H863" s="4">
        <f t="shared" si="1044"/>
        <v>0.83046813948360454</v>
      </c>
      <c r="I863" s="4">
        <f t="shared" si="1044"/>
        <v>0.81024725404521458</v>
      </c>
      <c r="J863" s="4">
        <f t="shared" si="1044"/>
        <v>0.83662858700448328</v>
      </c>
      <c r="K863" s="4">
        <f t="shared" si="1044"/>
        <v>0.77011237299232316</v>
      </c>
      <c r="L863" s="4">
        <f t="shared" ref="L863:O863" si="1045">IFERROR(L827/L779,"-")</f>
        <v>0.75670903725779171</v>
      </c>
      <c r="M863" s="4">
        <f t="shared" si="1045"/>
        <v>0.84084848410033297</v>
      </c>
      <c r="N863" s="4">
        <f t="shared" si="1045"/>
        <v>0.81228056074219424</v>
      </c>
      <c r="O863" s="4">
        <f t="shared" si="1045"/>
        <v>0.82129328616983466</v>
      </c>
      <c r="P863" s="4">
        <f t="shared" ref="P863:Q865" si="1046">IFERROR(P827/P779,"-")</f>
        <v>0.81199975933524349</v>
      </c>
      <c r="Q863" s="4">
        <f t="shared" si="1046"/>
        <v>0.8110300348133459</v>
      </c>
      <c r="S863" s="3"/>
    </row>
    <row r="864" spans="2:19" x14ac:dyDescent="0.5">
      <c r="B864" s="5" t="str">
        <f t="shared" si="1035"/>
        <v>SPS1</v>
      </c>
      <c r="C864" s="5" t="str">
        <f t="shared" si="1036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1044"/>
        <v>0</v>
      </c>
      <c r="H864" s="4">
        <f t="shared" si="1044"/>
        <v>6.3950569724283736E-3</v>
      </c>
      <c r="I864" s="4">
        <f t="shared" si="1044"/>
        <v>0.12813280480613332</v>
      </c>
      <c r="J864" s="4">
        <f t="shared" si="1044"/>
        <v>0.12729759864171766</v>
      </c>
      <c r="K864" s="4">
        <f t="shared" si="1044"/>
        <v>91.911685314120717</v>
      </c>
      <c r="L864" s="4">
        <f t="shared" ref="L864:O864" si="1047">IFERROR(L828/L780,"-")</f>
        <v>93.668679669558315</v>
      </c>
      <c r="M864" s="4">
        <f t="shared" si="1047"/>
        <v>2.0714934631918238</v>
      </c>
      <c r="N864" s="4" t="str">
        <f t="shared" si="1047"/>
        <v>-</v>
      </c>
      <c r="O864" s="4" t="str">
        <f t="shared" si="1047"/>
        <v>-</v>
      </c>
      <c r="P864" s="4" t="str">
        <f t="shared" si="1046"/>
        <v>-</v>
      </c>
      <c r="Q864" s="4" t="str">
        <f t="shared" si="1046"/>
        <v>-</v>
      </c>
      <c r="S864" s="3"/>
    </row>
    <row r="865" spans="2:19" x14ac:dyDescent="0.5">
      <c r="B865" s="5" t="str">
        <f t="shared" si="1035"/>
        <v>SPS1</v>
      </c>
      <c r="C865" s="5" t="str">
        <f t="shared" si="1036"/>
        <v>CH</v>
      </c>
      <c r="D865" t="s">
        <v>2076</v>
      </c>
      <c r="E865" t="s">
        <v>240</v>
      </c>
      <c r="F865" s="4">
        <f>IFERROR(F829/F781,"-")</f>
        <v>0.70875544796852663</v>
      </c>
      <c r="G865" s="4">
        <f t="shared" si="1044"/>
        <v>0.25622342625805933</v>
      </c>
      <c r="H865" s="4">
        <f t="shared" si="1044"/>
        <v>0.53117927905666096</v>
      </c>
      <c r="I865" s="4">
        <f t="shared" si="1044"/>
        <v>0.70861864378741601</v>
      </c>
      <c r="J865" s="4">
        <f t="shared" si="1044"/>
        <v>0.70861900000944344</v>
      </c>
      <c r="K865" s="4">
        <f t="shared" si="1044"/>
        <v>0.70861972940100493</v>
      </c>
      <c r="L865" s="4">
        <f t="shared" ref="L865:O865" si="1048">IFERROR(L829/L781,"-")</f>
        <v>0.71310523712029072</v>
      </c>
      <c r="M865" s="4">
        <f t="shared" si="1048"/>
        <v>0.71759070002758896</v>
      </c>
      <c r="N865" s="4">
        <f t="shared" si="1048"/>
        <v>0.71999999999999964</v>
      </c>
      <c r="O865" s="4">
        <f t="shared" si="1048"/>
        <v>0.71999999999999986</v>
      </c>
      <c r="P865" s="4">
        <f t="shared" si="1046"/>
        <v>0.72</v>
      </c>
      <c r="Q865" s="4">
        <f t="shared" si="1046"/>
        <v>0.72000000000000042</v>
      </c>
      <c r="S865" s="3"/>
    </row>
    <row r="866" spans="2:19" x14ac:dyDescent="0.5">
      <c r="B866" s="5" t="str">
        <f t="shared" si="1035"/>
        <v>SPS1</v>
      </c>
      <c r="C866" s="5" t="str">
        <f t="shared" si="1036"/>
        <v>CH</v>
      </c>
      <c r="D866" t="s">
        <v>2077</v>
      </c>
      <c r="E866" t="s">
        <v>240</v>
      </c>
      <c r="F866" s="4">
        <f>IFERROR(F831/F790,"-")</f>
        <v>0.66499999999999904</v>
      </c>
      <c r="G866" s="4">
        <f t="shared" ref="G866:K866" si="1049">IFERROR(G831/G790,"-")</f>
        <v>0.66600000000000081</v>
      </c>
      <c r="H866" s="4">
        <f t="shared" si="1049"/>
        <v>0.66750000000000054</v>
      </c>
      <c r="I866" s="4">
        <f t="shared" si="1049"/>
        <v>0.67000000000000048</v>
      </c>
      <c r="J866" s="4">
        <f t="shared" si="1049"/>
        <v>0.67250000000000065</v>
      </c>
      <c r="K866" s="4">
        <f t="shared" si="1049"/>
        <v>0.67499999999999982</v>
      </c>
      <c r="L866" s="4">
        <f t="shared" ref="L866:O866" si="1050">IFERROR(L831/L790,"-")</f>
        <v>0.67749999999999921</v>
      </c>
      <c r="M866" s="4">
        <f t="shared" si="1050"/>
        <v>0.67999999999999927</v>
      </c>
      <c r="N866" s="4">
        <f t="shared" si="1050"/>
        <v>0.68000000000000094</v>
      </c>
      <c r="O866" s="4">
        <f t="shared" si="1050"/>
        <v>0.67999999999999994</v>
      </c>
      <c r="P866" s="4">
        <f>IFERROR(P831/P790,"-")</f>
        <v>0.68000000000000038</v>
      </c>
      <c r="Q866" s="4">
        <f>IFERROR(Q831/Q790,"-")</f>
        <v>0.6800000000000006</v>
      </c>
      <c r="S866" s="3"/>
    </row>
    <row r="867" spans="2:19" x14ac:dyDescent="0.5">
      <c r="B867" s="5" t="str">
        <f t="shared" si="1035"/>
        <v>SPS1</v>
      </c>
      <c r="C867" s="5" t="str">
        <f t="shared" si="1036"/>
        <v>CH</v>
      </c>
      <c r="D867" t="s">
        <v>2078</v>
      </c>
      <c r="E867" t="s">
        <v>240</v>
      </c>
      <c r="F867" s="4">
        <f>IFERROR(F834/F793,"-")</f>
        <v>1.2077808724378167</v>
      </c>
      <c r="G867" s="4">
        <f t="shared" ref="G867:K867" si="1051">IFERROR(G834/G793,"-")</f>
        <v>1.0578790202676274</v>
      </c>
      <c r="H867" s="4">
        <f t="shared" si="1051"/>
        <v>0.93936659038418613</v>
      </c>
      <c r="I867" s="4">
        <f t="shared" si="1051"/>
        <v>0.98987000804614833</v>
      </c>
      <c r="J867" s="4">
        <f t="shared" si="1051"/>
        <v>0.93919009747081994</v>
      </c>
      <c r="K867" s="4" t="str">
        <f t="shared" si="1051"/>
        <v>-</v>
      </c>
      <c r="L867" s="4" t="str">
        <f t="shared" ref="L867:O867" si="1052">IFERROR(L834/L793,"-")</f>
        <v>-</v>
      </c>
      <c r="M867" s="4" t="str">
        <f t="shared" si="1052"/>
        <v>-</v>
      </c>
      <c r="N867" s="4">
        <f t="shared" si="1052"/>
        <v>0.94650677910478287</v>
      </c>
      <c r="O867" s="4">
        <f t="shared" si="1052"/>
        <v>0.94602843938927761</v>
      </c>
      <c r="P867" s="4">
        <f t="shared" ref="P867:Q876" si="1053">IFERROR(P834/P793,"-")</f>
        <v>0.94550949426692066</v>
      </c>
      <c r="Q867" s="4">
        <f t="shared" si="1053"/>
        <v>0.94402389571544965</v>
      </c>
      <c r="S867" s="3"/>
    </row>
    <row r="868" spans="2:19" x14ac:dyDescent="0.5">
      <c r="B868" s="5" t="str">
        <f t="shared" si="1035"/>
        <v>SPS1</v>
      </c>
      <c r="C868" s="5" t="str">
        <f t="shared" si="1036"/>
        <v>CH</v>
      </c>
      <c r="D868" t="s">
        <v>2079</v>
      </c>
      <c r="E868" t="s">
        <v>240</v>
      </c>
      <c r="F868" s="4">
        <f t="shared" ref="F868:K876" si="1054">IFERROR(F835/F794,"-")</f>
        <v>1.2077808724378167</v>
      </c>
      <c r="G868" s="4">
        <f t="shared" si="1054"/>
        <v>1.0578790202676276</v>
      </c>
      <c r="H868" s="4">
        <f t="shared" si="1054"/>
        <v>0.93936659038418613</v>
      </c>
      <c r="I868" s="4">
        <f t="shared" si="1054"/>
        <v>0.98987000804614844</v>
      </c>
      <c r="J868" s="4">
        <f t="shared" si="1054"/>
        <v>0.93919009747081994</v>
      </c>
      <c r="K868" s="4">
        <f t="shared" si="1054"/>
        <v>0.93851712841805635</v>
      </c>
      <c r="L868" s="4">
        <f t="shared" ref="L868:O868" si="1055">IFERROR(L835/L794,"-")</f>
        <v>0.94354190614212208</v>
      </c>
      <c r="M868" s="4">
        <f t="shared" si="1055"/>
        <v>0.94737740650894064</v>
      </c>
      <c r="N868" s="4">
        <f t="shared" si="1055"/>
        <v>0.94650677910478298</v>
      </c>
      <c r="O868" s="4">
        <f t="shared" si="1055"/>
        <v>0.94602843938927783</v>
      </c>
      <c r="P868" s="4">
        <f t="shared" si="1053"/>
        <v>0.94550949426692077</v>
      </c>
      <c r="Q868" s="4">
        <f t="shared" si="1053"/>
        <v>0.94402389571544976</v>
      </c>
      <c r="S868" s="3"/>
    </row>
    <row r="869" spans="2:19" x14ac:dyDescent="0.5">
      <c r="B869" s="5" t="str">
        <f t="shared" si="1035"/>
        <v>SPS1</v>
      </c>
      <c r="C869" s="5" t="str">
        <f t="shared" si="1036"/>
        <v>CH</v>
      </c>
      <c r="D869" t="s">
        <v>2080</v>
      </c>
      <c r="E869" t="s">
        <v>240</v>
      </c>
      <c r="F869" s="4" t="str">
        <f t="shared" si="1054"/>
        <v>-</v>
      </c>
      <c r="G869" s="4" t="str">
        <f t="shared" si="1054"/>
        <v>-</v>
      </c>
      <c r="H869" s="4" t="str">
        <f t="shared" si="1054"/>
        <v>-</v>
      </c>
      <c r="I869" s="4" t="str">
        <f t="shared" si="1054"/>
        <v>-</v>
      </c>
      <c r="J869" s="4" t="str">
        <f t="shared" si="1054"/>
        <v>-</v>
      </c>
      <c r="K869" s="4">
        <f t="shared" si="1054"/>
        <v>0.93851712841805657</v>
      </c>
      <c r="L869" s="4">
        <f t="shared" ref="L869:O869" si="1056">IFERROR(L836/L795,"-")</f>
        <v>0.94354190614212197</v>
      </c>
      <c r="M869" s="4">
        <f t="shared" si="1056"/>
        <v>0.94737740650894042</v>
      </c>
      <c r="N869" s="4">
        <f t="shared" si="1056"/>
        <v>0.94650677910478309</v>
      </c>
      <c r="O869" s="4">
        <f t="shared" si="1056"/>
        <v>0.94602843938927761</v>
      </c>
      <c r="P869" s="4">
        <f t="shared" si="1053"/>
        <v>0.94550949426692077</v>
      </c>
      <c r="Q869" s="4">
        <f t="shared" si="1053"/>
        <v>0.94402389571544976</v>
      </c>
      <c r="S869" s="3"/>
    </row>
    <row r="870" spans="2:19" x14ac:dyDescent="0.5">
      <c r="B870" s="5" t="str">
        <f t="shared" si="1035"/>
        <v>SPS1</v>
      </c>
      <c r="C870" s="5" t="str">
        <f t="shared" si="1036"/>
        <v>CH</v>
      </c>
      <c r="D870" t="s">
        <v>2081</v>
      </c>
      <c r="E870" t="s">
        <v>240</v>
      </c>
      <c r="F870" s="4" t="str">
        <f t="shared" si="1054"/>
        <v>-</v>
      </c>
      <c r="G870" s="4" t="str">
        <f t="shared" si="1054"/>
        <v>-</v>
      </c>
      <c r="H870" s="4" t="str">
        <f t="shared" si="1054"/>
        <v>-</v>
      </c>
      <c r="I870" s="4">
        <f t="shared" si="1054"/>
        <v>0.98987000804614833</v>
      </c>
      <c r="J870" s="4">
        <f t="shared" si="1054"/>
        <v>0.93919009747082005</v>
      </c>
      <c r="K870" s="4">
        <f t="shared" si="1054"/>
        <v>0.93851712841805646</v>
      </c>
      <c r="L870" s="4">
        <f t="shared" ref="L870:O870" si="1057">IFERROR(L837/L796,"-")</f>
        <v>0.94354190614212197</v>
      </c>
      <c r="M870" s="4">
        <f t="shared" si="1057"/>
        <v>0.94737740650894053</v>
      </c>
      <c r="N870" s="4">
        <f t="shared" si="1057"/>
        <v>0.94650677910478287</v>
      </c>
      <c r="O870" s="4">
        <f t="shared" si="1057"/>
        <v>0.94602843938927783</v>
      </c>
      <c r="P870" s="4">
        <f t="shared" si="1053"/>
        <v>0.94550949426692077</v>
      </c>
      <c r="Q870" s="4">
        <f t="shared" si="1053"/>
        <v>0.94402389571544965</v>
      </c>
      <c r="S870" s="3"/>
    </row>
    <row r="871" spans="2:19" x14ac:dyDescent="0.5">
      <c r="B871" s="5" t="str">
        <f t="shared" si="1035"/>
        <v>SPS1</v>
      </c>
      <c r="C871" s="5" t="str">
        <f t="shared" si="1036"/>
        <v>CH</v>
      </c>
      <c r="D871" t="s">
        <v>2082</v>
      </c>
      <c r="E871" t="s">
        <v>240</v>
      </c>
      <c r="F871" s="4">
        <f t="shared" si="1054"/>
        <v>1.2077808724378167</v>
      </c>
      <c r="G871" s="4">
        <f t="shared" si="1054"/>
        <v>1.0578790202676276</v>
      </c>
      <c r="H871" s="4">
        <f t="shared" si="1054"/>
        <v>0.93936659038418602</v>
      </c>
      <c r="I871" s="4">
        <f t="shared" si="1054"/>
        <v>0.98987000804614833</v>
      </c>
      <c r="J871" s="4">
        <f t="shared" si="1054"/>
        <v>0.93919009747082005</v>
      </c>
      <c r="K871" s="4">
        <f t="shared" si="1054"/>
        <v>0.93851712841805646</v>
      </c>
      <c r="L871" s="4">
        <f t="shared" ref="L871:O871" si="1058">IFERROR(L838/L797,"-")</f>
        <v>0.94354190614212208</v>
      </c>
      <c r="M871" s="4">
        <f t="shared" si="1058"/>
        <v>0.94737740650894042</v>
      </c>
      <c r="N871" s="4">
        <f t="shared" si="1058"/>
        <v>0.94650677910478309</v>
      </c>
      <c r="O871" s="4">
        <f t="shared" si="1058"/>
        <v>0.94602843938927772</v>
      </c>
      <c r="P871" s="4">
        <f t="shared" si="1053"/>
        <v>0.94550949426692066</v>
      </c>
      <c r="Q871" s="4">
        <f t="shared" si="1053"/>
        <v>0.94402389571544953</v>
      </c>
      <c r="S871" s="3"/>
    </row>
    <row r="872" spans="2:19" x14ac:dyDescent="0.5">
      <c r="B872" s="5" t="str">
        <f t="shared" si="1035"/>
        <v>SPS1</v>
      </c>
      <c r="C872" s="5" t="str">
        <f t="shared" si="1036"/>
        <v>CH</v>
      </c>
      <c r="D872" t="s">
        <v>2083</v>
      </c>
      <c r="E872" t="s">
        <v>240</v>
      </c>
      <c r="F872" s="4" t="str">
        <f t="shared" si="1054"/>
        <v>-</v>
      </c>
      <c r="G872" s="4" t="str">
        <f t="shared" si="1054"/>
        <v>-</v>
      </c>
      <c r="H872" s="4" t="str">
        <f t="shared" si="1054"/>
        <v>-</v>
      </c>
      <c r="I872" s="4" t="str">
        <f t="shared" si="1054"/>
        <v>-</v>
      </c>
      <c r="J872" s="4" t="str">
        <f t="shared" si="1054"/>
        <v>-</v>
      </c>
      <c r="K872" s="4">
        <f t="shared" si="1054"/>
        <v>0.93851712841805646</v>
      </c>
      <c r="L872" s="4">
        <f t="shared" ref="L872:O872" si="1059">IFERROR(L839/L798,"-")</f>
        <v>0.94354190614212208</v>
      </c>
      <c r="M872" s="4">
        <f t="shared" si="1059"/>
        <v>0.94737740650894064</v>
      </c>
      <c r="N872" s="4">
        <f t="shared" si="1059"/>
        <v>0.94650677910478287</v>
      </c>
      <c r="O872" s="4">
        <f t="shared" si="1059"/>
        <v>0.94602843938927772</v>
      </c>
      <c r="P872" s="4">
        <f t="shared" si="1053"/>
        <v>0.94550949426692077</v>
      </c>
      <c r="Q872" s="4">
        <f t="shared" si="1053"/>
        <v>0.94402389571544965</v>
      </c>
      <c r="S872" s="3"/>
    </row>
    <row r="873" spans="2:19" x14ac:dyDescent="0.5">
      <c r="B873" s="5" t="str">
        <f t="shared" si="1035"/>
        <v>SPS1</v>
      </c>
      <c r="C873" s="5" t="str">
        <f t="shared" si="1036"/>
        <v>CH</v>
      </c>
      <c r="D873" t="s">
        <v>2084</v>
      </c>
      <c r="E873" t="s">
        <v>240</v>
      </c>
      <c r="F873" s="4">
        <f t="shared" si="1054"/>
        <v>1.2077808724378167</v>
      </c>
      <c r="G873" s="4">
        <f t="shared" si="1054"/>
        <v>1.0578790202676276</v>
      </c>
      <c r="H873" s="4">
        <f t="shared" si="1054"/>
        <v>0.93936659038418602</v>
      </c>
      <c r="I873" s="4">
        <f t="shared" si="1054"/>
        <v>0.98987000804614833</v>
      </c>
      <c r="J873" s="4">
        <f t="shared" si="1054"/>
        <v>0.93919009747081983</v>
      </c>
      <c r="K873" s="4">
        <f t="shared" si="1054"/>
        <v>0.93851712841805646</v>
      </c>
      <c r="L873" s="4">
        <f t="shared" ref="L873:O873" si="1060">IFERROR(L840/L799,"-")</f>
        <v>0.94354190614212208</v>
      </c>
      <c r="M873" s="4">
        <f t="shared" si="1060"/>
        <v>0.94737740650894053</v>
      </c>
      <c r="N873" s="4">
        <f t="shared" si="1060"/>
        <v>0.94650677910478298</v>
      </c>
      <c r="O873" s="4">
        <f t="shared" si="1060"/>
        <v>0.94602843938927783</v>
      </c>
      <c r="P873" s="4">
        <f t="shared" si="1053"/>
        <v>0.94550949426692077</v>
      </c>
      <c r="Q873" s="4">
        <f t="shared" si="1053"/>
        <v>0.94402389571544976</v>
      </c>
      <c r="S873" s="3"/>
    </row>
    <row r="874" spans="2:19" x14ac:dyDescent="0.5">
      <c r="B874" s="5" t="str">
        <f t="shared" si="1035"/>
        <v>SPS1</v>
      </c>
      <c r="C874" s="5" t="str">
        <f t="shared" si="1036"/>
        <v>CH</v>
      </c>
      <c r="D874" t="s">
        <v>2085</v>
      </c>
      <c r="E874" t="s">
        <v>240</v>
      </c>
      <c r="F874" s="4" t="str">
        <f t="shared" si="1054"/>
        <v>-</v>
      </c>
      <c r="G874" s="4" t="str">
        <f t="shared" si="1054"/>
        <v>-</v>
      </c>
      <c r="H874" s="4" t="str">
        <f t="shared" si="1054"/>
        <v>-</v>
      </c>
      <c r="I874" s="4" t="str">
        <f t="shared" si="1054"/>
        <v>-</v>
      </c>
      <c r="J874" s="4" t="str">
        <f t="shared" si="1054"/>
        <v>-</v>
      </c>
      <c r="K874" s="4">
        <f t="shared" si="1054"/>
        <v>0.93851712841805646</v>
      </c>
      <c r="L874" s="4">
        <f t="shared" ref="L874:O874" si="1061">IFERROR(L841/L800,"-")</f>
        <v>0.94354190614212197</v>
      </c>
      <c r="M874" s="4">
        <f t="shared" si="1061"/>
        <v>0.94737740650894031</v>
      </c>
      <c r="N874" s="4">
        <f t="shared" si="1061"/>
        <v>0.94650677910478309</v>
      </c>
      <c r="O874" s="4">
        <f t="shared" si="1061"/>
        <v>0.94602843938927783</v>
      </c>
      <c r="P874" s="4">
        <f t="shared" si="1053"/>
        <v>0.94550949426692066</v>
      </c>
      <c r="Q874" s="4">
        <f t="shared" si="1053"/>
        <v>0.94402389571544976</v>
      </c>
      <c r="S874" s="3"/>
    </row>
    <row r="875" spans="2:19" x14ac:dyDescent="0.5">
      <c r="B875" s="5" t="str">
        <f t="shared" si="1035"/>
        <v>SPS1</v>
      </c>
      <c r="C875" s="5" t="str">
        <f t="shared" si="1036"/>
        <v>CH</v>
      </c>
      <c r="D875" t="s">
        <v>2086</v>
      </c>
      <c r="E875" t="s">
        <v>240</v>
      </c>
      <c r="F875" s="4" t="str">
        <f t="shared" si="1054"/>
        <v>-</v>
      </c>
      <c r="G875" s="4" t="str">
        <f t="shared" si="1054"/>
        <v>-</v>
      </c>
      <c r="H875" s="4" t="str">
        <f t="shared" si="1054"/>
        <v>-</v>
      </c>
      <c r="I875" s="4">
        <f t="shared" si="1054"/>
        <v>0.98987000804614844</v>
      </c>
      <c r="J875" s="4">
        <f t="shared" si="1054"/>
        <v>0.93919009747081994</v>
      </c>
      <c r="K875" s="4">
        <f t="shared" si="1054"/>
        <v>0.93851712841805657</v>
      </c>
      <c r="L875" s="4">
        <f t="shared" ref="L875:O875" si="1062">IFERROR(L842/L801,"-")</f>
        <v>0.94354190614212208</v>
      </c>
      <c r="M875" s="4">
        <f t="shared" si="1062"/>
        <v>0.94737740650894064</v>
      </c>
      <c r="N875" s="4">
        <f t="shared" si="1062"/>
        <v>0.94650677910478298</v>
      </c>
      <c r="O875" s="4">
        <f t="shared" si="1062"/>
        <v>0.94602843938927772</v>
      </c>
      <c r="P875" s="4">
        <f t="shared" si="1053"/>
        <v>0.94550949426692077</v>
      </c>
      <c r="Q875" s="4">
        <f t="shared" si="1053"/>
        <v>0.94402389571544965</v>
      </c>
      <c r="S875" s="3"/>
    </row>
    <row r="876" spans="2:19" x14ac:dyDescent="0.5">
      <c r="B876" s="5" t="str">
        <f t="shared" si="1035"/>
        <v>SPS1</v>
      </c>
      <c r="C876" s="5" t="str">
        <f t="shared" si="1036"/>
        <v>CH</v>
      </c>
      <c r="D876" t="s">
        <v>2087</v>
      </c>
      <c r="E876" t="s">
        <v>240</v>
      </c>
      <c r="F876" s="4">
        <f t="shared" si="1054"/>
        <v>0.92447626236575098</v>
      </c>
      <c r="G876" s="4">
        <f t="shared" si="1054"/>
        <v>0.92645636412827326</v>
      </c>
      <c r="H876" s="4">
        <f t="shared" si="1054"/>
        <v>0.9294265167720549</v>
      </c>
      <c r="I876" s="4">
        <f t="shared" si="1054"/>
        <v>0.93437677117835949</v>
      </c>
      <c r="J876" s="4">
        <f t="shared" si="1054"/>
        <v>0.93932702558466175</v>
      </c>
      <c r="K876" s="4">
        <f>IFERROR(K843/K802,"-")</f>
        <v>0.94427727999096644</v>
      </c>
      <c r="L876" s="4">
        <f t="shared" ref="L876:O876" si="1063">IFERROR(L843/L802,"-")</f>
        <v>0.94713863999548242</v>
      </c>
      <c r="M876" s="4">
        <f t="shared" si="1063"/>
        <v>0.94999999999999973</v>
      </c>
      <c r="N876" s="4">
        <f t="shared" si="1063"/>
        <v>0.9499999999999994</v>
      </c>
      <c r="O876" s="4">
        <f t="shared" si="1063"/>
        <v>0.94999999999999951</v>
      </c>
      <c r="P876" s="4">
        <f t="shared" si="1053"/>
        <v>0.9499999999999994</v>
      </c>
      <c r="Q876" s="4">
        <f t="shared" si="1053"/>
        <v>0.95000000000000007</v>
      </c>
      <c r="S876" s="3"/>
    </row>
    <row r="877" spans="2:19" x14ac:dyDescent="0.5">
      <c r="B877" s="5" t="str">
        <f t="shared" si="1035"/>
        <v>SPS1</v>
      </c>
      <c r="C877" s="5" t="str">
        <f t="shared" si="1036"/>
        <v>CH</v>
      </c>
      <c r="D877" t="s">
        <v>2088</v>
      </c>
      <c r="E877" t="s">
        <v>240</v>
      </c>
      <c r="F877" s="4">
        <f>IFERROR(F845/F804,"-")</f>
        <v>0.5900000000000003</v>
      </c>
      <c r="G877" s="4">
        <f t="shared" ref="G877:K877" si="1064">IFERROR(G845/G804,"-")</f>
        <v>0.59066666666666645</v>
      </c>
      <c r="H877" s="4">
        <f t="shared" si="1064"/>
        <v>0.59166666666666645</v>
      </c>
      <c r="I877" s="4">
        <f t="shared" si="1064"/>
        <v>0.5933333333333326</v>
      </c>
      <c r="J877" s="4">
        <f t="shared" si="1064"/>
        <v>0.59500000000000042</v>
      </c>
      <c r="K877" s="4">
        <f t="shared" si="1064"/>
        <v>0.59666666666666668</v>
      </c>
      <c r="L877" s="4">
        <f t="shared" ref="L877:O877" si="1065">IFERROR(L845/L804,"-")</f>
        <v>0.59833333333333338</v>
      </c>
      <c r="M877" s="4">
        <f t="shared" si="1065"/>
        <v>0.6000000000000002</v>
      </c>
      <c r="N877" s="4">
        <f t="shared" si="1065"/>
        <v>0.59999999999999953</v>
      </c>
      <c r="O877" s="4">
        <f t="shared" si="1065"/>
        <v>0.6</v>
      </c>
      <c r="P877" s="4">
        <f>IFERROR(P845/P804,"-")</f>
        <v>0.60000000000000009</v>
      </c>
      <c r="Q877" s="4">
        <f>IFERROR(Q845/Q804,"-")</f>
        <v>0.6</v>
      </c>
      <c r="S877" s="3"/>
    </row>
    <row r="878" spans="2:19" x14ac:dyDescent="0.5">
      <c r="B878" s="5" t="str">
        <f t="shared" si="1035"/>
        <v>SPS1</v>
      </c>
      <c r="C878" s="5" t="str">
        <f t="shared" si="1036"/>
        <v>CH</v>
      </c>
      <c r="D878" t="s">
        <v>2089</v>
      </c>
      <c r="E878" t="s">
        <v>240</v>
      </c>
      <c r="F878" s="4">
        <f>IFERROR(F847/F806,"-")</f>
        <v>0.73749999999999993</v>
      </c>
      <c r="G878" s="4">
        <f t="shared" ref="G878:K878" si="1066">IFERROR(G847/G806,"-")</f>
        <v>0.73833333333333306</v>
      </c>
      <c r="H878" s="4">
        <f t="shared" si="1066"/>
        <v>0.73958333333333337</v>
      </c>
      <c r="I878" s="4">
        <f t="shared" si="1066"/>
        <v>0.74166666666666681</v>
      </c>
      <c r="J878" s="4">
        <f t="shared" si="1066"/>
        <v>0.74375000000000002</v>
      </c>
      <c r="K878" s="4">
        <f t="shared" si="1066"/>
        <v>0.74583333333333257</v>
      </c>
      <c r="L878" s="4">
        <f t="shared" ref="L878:O878" si="1067">IFERROR(L847/L806,"-")</f>
        <v>0.74791666666666601</v>
      </c>
      <c r="M878" s="4">
        <f t="shared" si="1067"/>
        <v>0.75000000000000089</v>
      </c>
      <c r="N878" s="4">
        <f t="shared" si="1067"/>
        <v>0.75000000000000089</v>
      </c>
      <c r="O878" s="4">
        <f t="shared" si="1067"/>
        <v>0.75</v>
      </c>
      <c r="P878" s="4">
        <f>IFERROR(P847/P806,"-")</f>
        <v>0.74999999999999956</v>
      </c>
      <c r="Q878" s="4">
        <f>IFERROR(Q847/Q806,"-")</f>
        <v>0.74999999999999967</v>
      </c>
      <c r="S878" s="3"/>
    </row>
    <row r="879" spans="2:19" x14ac:dyDescent="0.5">
      <c r="B879" s="5" t="str">
        <f t="shared" si="1035"/>
        <v>SPS1</v>
      </c>
      <c r="C879" s="5" t="str">
        <f t="shared" si="1036"/>
        <v>CH</v>
      </c>
      <c r="D879" t="s">
        <v>2090</v>
      </c>
      <c r="E879" t="s">
        <v>240</v>
      </c>
      <c r="F879" s="4">
        <f>IFERROR(F849/F808,"-")</f>
        <v>0.52800000000000025</v>
      </c>
      <c r="G879" s="4">
        <f t="shared" ref="G879:K879" si="1068">IFERROR(G849/G808,"-")</f>
        <v>0.52800000000000025</v>
      </c>
      <c r="H879" s="4">
        <f t="shared" si="1068"/>
        <v>0.52800000000000025</v>
      </c>
      <c r="I879" s="4">
        <f t="shared" si="1068"/>
        <v>0.52800000000000069</v>
      </c>
      <c r="J879" s="4">
        <f t="shared" si="1068"/>
        <v>0.52799999999999891</v>
      </c>
      <c r="K879" s="4">
        <f t="shared" si="1068"/>
        <v>0.52799999999999947</v>
      </c>
      <c r="L879" s="4">
        <f t="shared" ref="L879:O879" si="1069">IFERROR(L849/L808,"-")</f>
        <v>0.53600000000000025</v>
      </c>
      <c r="M879" s="4">
        <f t="shared" si="1069"/>
        <v>0.54399999999999993</v>
      </c>
      <c r="N879" s="4">
        <f t="shared" si="1069"/>
        <v>0.54400000000000015</v>
      </c>
      <c r="O879" s="4">
        <f t="shared" si="1069"/>
        <v>0.54400000000000048</v>
      </c>
      <c r="P879" s="4">
        <f>IFERROR(P849/P808,"-")</f>
        <v>0.54399999999999993</v>
      </c>
      <c r="Q879" s="4">
        <f>IFERROR(Q849/Q808,"-")</f>
        <v>0.54400000000000026</v>
      </c>
      <c r="S879" s="3"/>
    </row>
    <row r="880" spans="2:19" x14ac:dyDescent="0.5">
      <c r="B880" s="5" t="str">
        <f t="shared" si="1035"/>
        <v>SPS1</v>
      </c>
      <c r="C880" s="5" t="str">
        <f t="shared" si="1036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70">IFERROR(G851/G812,"-")</f>
        <v>1</v>
      </c>
      <c r="H880" s="4">
        <f t="shared" si="1070"/>
        <v>1</v>
      </c>
      <c r="I880" s="4">
        <f t="shared" si="1070"/>
        <v>1</v>
      </c>
      <c r="J880" s="4">
        <f t="shared" si="1070"/>
        <v>1</v>
      </c>
      <c r="K880" s="4">
        <f t="shared" si="1070"/>
        <v>1</v>
      </c>
      <c r="L880" s="4">
        <f t="shared" ref="L880:O880" si="1071">IFERROR(L851/L812,"-")</f>
        <v>1</v>
      </c>
      <c r="M880" s="4">
        <f t="shared" si="1071"/>
        <v>1</v>
      </c>
      <c r="N880" s="4">
        <f t="shared" si="1071"/>
        <v>1</v>
      </c>
      <c r="O880" s="4">
        <f t="shared" si="1071"/>
        <v>1</v>
      </c>
      <c r="P880" s="4">
        <f>IFERROR(P851/P812,"-")</f>
        <v>1</v>
      </c>
      <c r="Q880" s="4">
        <f>IFERROR(Q851/Q812,"-")</f>
        <v>1</v>
      </c>
      <c r="S880" s="3"/>
    </row>
    <row r="881" spans="2:19" x14ac:dyDescent="0.5">
      <c r="B881" s="5" t="str">
        <f t="shared" si="1035"/>
        <v>SPS1</v>
      </c>
      <c r="C881" s="5" t="str">
        <f t="shared" si="1036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72">IFERROR(G853/G814,"-")</f>
        <v>-</v>
      </c>
      <c r="H881" s="4" t="str">
        <f t="shared" si="1072"/>
        <v>-</v>
      </c>
      <c r="I881" s="4">
        <f t="shared" si="1072"/>
        <v>0.33097350680295057</v>
      </c>
      <c r="J881" s="4">
        <f t="shared" si="1072"/>
        <v>0.77641332854302658</v>
      </c>
      <c r="K881" s="4">
        <f t="shared" si="1072"/>
        <v>0.78065466295673624</v>
      </c>
      <c r="L881" s="4">
        <f t="shared" ref="L881:O881" si="1073">IFERROR(L853/L814,"-")</f>
        <v>0.78729337231437235</v>
      </c>
      <c r="M881" s="4">
        <f t="shared" si="1073"/>
        <v>0.80761188203468359</v>
      </c>
      <c r="N881" s="4">
        <f t="shared" si="1073"/>
        <v>0.81146487336811501</v>
      </c>
      <c r="O881" s="4">
        <f t="shared" si="1073"/>
        <v>0.81137620022831303</v>
      </c>
      <c r="P881" s="4">
        <f>IFERROR(P853/P814,"-")</f>
        <v>0.81217831986947542</v>
      </c>
      <c r="Q881" s="4">
        <f>IFERROR(Q853/Q814,"-")</f>
        <v>0.81256518607913253</v>
      </c>
      <c r="S881" s="3"/>
    </row>
    <row r="882" spans="2:19" x14ac:dyDescent="0.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74">F883+F887+F894+F905+F913+F915+F917+F919+F923</f>
        <v>140.10106782806588</v>
      </c>
      <c r="G882" s="17">
        <f t="shared" si="1074"/>
        <v>139.80497938670564</v>
      </c>
      <c r="H882" s="17">
        <f t="shared" si="1074"/>
        <v>142.83106126016165</v>
      </c>
      <c r="I882" s="17">
        <f t="shared" si="1074"/>
        <v>134.87353983401917</v>
      </c>
      <c r="J882" s="17">
        <f t="shared" si="1074"/>
        <v>132.34488139027505</v>
      </c>
      <c r="K882" s="17">
        <f t="shared" si="1074"/>
        <v>130.85980949110188</v>
      </c>
      <c r="L882" s="17">
        <f t="shared" ref="L882:O882" si="1075">L883+L887+L894+L905+L913+L915+L917+L919+L923</f>
        <v>126.06599619390921</v>
      </c>
      <c r="M882" s="17">
        <f t="shared" si="1075"/>
        <v>113.43063084312807</v>
      </c>
      <c r="N882" s="17">
        <f t="shared" si="1075"/>
        <v>113.27221281957209</v>
      </c>
      <c r="O882" s="17">
        <f t="shared" si="1075"/>
        <v>114.68127514883909</v>
      </c>
      <c r="P882" s="17">
        <f>P883+P887+P894+P905+P913+P915+P917+P919+P923</f>
        <v>115.38626583765566</v>
      </c>
      <c r="Q882" s="17">
        <f>Q883+Q887+Q894+Q905+Q913+Q915+Q917+Q919+Q923</f>
        <v>116.91227033875978</v>
      </c>
      <c r="S882" s="3"/>
    </row>
    <row r="883" spans="2:19" x14ac:dyDescent="0.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60.950003041393884</v>
      </c>
      <c r="G883" s="1">
        <f>[1]Services!C$11</f>
        <v>60.436476494389481</v>
      </c>
      <c r="H883" s="1">
        <f>[1]Services!D$11</f>
        <v>65.489683878023087</v>
      </c>
      <c r="I883" s="1">
        <f>[1]Services!E$11</f>
        <v>65.586231650057655</v>
      </c>
      <c r="J883" s="1">
        <f>[1]Services!F$11</f>
        <v>65.44330500169076</v>
      </c>
      <c r="K883" s="1">
        <f>[1]Services!G$11</f>
        <v>65.499888641007686</v>
      </c>
      <c r="L883" s="1">
        <f>[1]Services!H$11</f>
        <v>64.622173951659789</v>
      </c>
      <c r="M883" s="1">
        <f>[1]Services!I$11</f>
        <v>66.013977296303878</v>
      </c>
      <c r="N883" s="1">
        <f>[1]Services!J$11</f>
        <v>67.072753008551942</v>
      </c>
      <c r="O883" s="1">
        <f>[1]Services!K$11</f>
        <v>66.974115298865044</v>
      </c>
      <c r="P883" s="1">
        <f>[1]Services!L$11</f>
        <v>67.772362980051042</v>
      </c>
      <c r="Q883" s="1">
        <f>[1]Services!M$11</f>
        <v>68.639525482896673</v>
      </c>
      <c r="S883" s="3"/>
    </row>
    <row r="884" spans="2:19" x14ac:dyDescent="0.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2.6236009804702016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0.30938135164755376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2.4886682060112677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1.9865715206520553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1.664737728909311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1.396969005315065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1.0808688601903349</v>
      </c>
      <c r="M884" s="1" cm="1">
        <f t="array" ref="M884">SUMPRODUCT(([1]OUT_FinalEnergyCons!$B$4:$B$10000="Var_Fin")*1, ISNUMBER(SEARCH("SCOM_ELC",[1]OUT_FinalEnergyCons!$C$4:$C$10000))*1, (ISNUMBER(SEARCH("SCOM-SHELCBR",[1]OUT_FinalEnergyCons!$A$4:$A$10000)))*1,[1]OUT_FinalEnergyCons!K$4:K$10000)</f>
        <v>1.6672139516384636</v>
      </c>
      <c r="N884" s="1" cm="1">
        <f t="array" ref="N884">SUMPRODUCT(([1]OUT_FinalEnergyCons!$B$4:$B$10000="Var_Fin")*1, ISNUMBER(SEARCH("SCOM_ELC",[1]OUT_FinalEnergyCons!$C$4:$C$10000))*1, (ISNUMBER(SEARCH("SCOM-SHELCBR",[1]OUT_FinalEnergyCons!$A$4:$A$10000)))*1,[1]OUT_FinalEnergyCons!L$4:L$10000)</f>
        <v>1.6783492979216479</v>
      </c>
      <c r="O884" s="1" cm="1">
        <f t="array" ref="O884">SUMPRODUCT(([1]OUT_FinalEnergyCons!$B$4:$B$10000="Var_Fin")*1, ISNUMBER(SEARCH("SCOM_ELC",[1]OUT_FinalEnergyCons!$C$4:$C$10000))*1, (ISNUMBER(SEARCH("SCOM-SHELCBR",[1]OUT_FinalEnergyCons!$A$4:$A$10000)))*1,[1]OUT_FinalEnergyCons!M$4:M$10000)</f>
        <v>0.7247139352918146</v>
      </c>
      <c r="P884" s="1" cm="1">
        <f t="array" ref="P884">SUMPRODUCT(([1]OUT_FinalEnergyCons!$B$4:$B$10000="Var_Fin")*1, ISNUMBER(SEARCH("SCOM_ELC",[1]OUT_FinalEnergyCons!$C$4:$C$10000))*1, (ISNUMBER(SEARCH("SCOM-SHELCBR",[1]OUT_FinalEnergyCons!$A$4:$A$10000)))*1,[1]OUT_FinalEnergyCons!N$4:N$10000)</f>
        <v>0.71288746228988153</v>
      </c>
      <c r="Q884" s="1" cm="1">
        <f t="array" ref="Q884">SUMPRODUCT(([1]OUT_FinalEnergyCons!$B$4:$B$10000="Var_Fin")*1, ISNUMBER(SEARCH("SCOM_ELC",[1]OUT_FinalEnergyCons!$C$4:$C$10000))*1, (ISNUMBER(SEARCH("SCOM-SHELCBR",[1]OUT_FinalEnergyCons!$A$4:$A$10000)))*1,[1]OUT_FinalEnergyCons!O$4:O$10000)</f>
        <v>0.71291745161892273</v>
      </c>
      <c r="S884" s="3"/>
    </row>
    <row r="885" spans="2:19" x14ac:dyDescent="0.5">
      <c r="B885" s="5" t="str">
        <f t="shared" ref="B885:B924" si="1076">B884</f>
        <v>SPS1</v>
      </c>
      <c r="C885" s="5" t="str">
        <f t="shared" ref="C885:C924" si="107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1.3316274860112429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1.4252005235757079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1.4627331040994567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1.5294763115974817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1.4857811290019569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1.4445120309982347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1.4054751782246082</v>
      </c>
      <c r="M885" s="1" cm="1">
        <f t="array" ref="M885">SUMPRODUCT(([1]OUT_FinalEnergyCons!$B$4:$B$10000="Var_Fin")*1, ISNUMBER(SEARCH("SCOM_ELC",[1]OUT_FinalEnergyCons!$C$4:$C$10000))*1,(ISNUMBER(SEARCH("SCOM-SHELCHP",[1]OUT_FinalEnergyCons!$A$4:$A$10000)))*1,[1]OUT_FinalEnergyCons!K$4:K$10000)</f>
        <v>2.7334306860815683</v>
      </c>
      <c r="N885" s="1" cm="1">
        <f t="array" ref="N885">SUMPRODUCT(([1]OUT_FinalEnergyCons!$B$4:$B$10000="Var_Fin")*1, ISNUMBER(SEARCH("SCOM_ELC",[1]OUT_FinalEnergyCons!$C$4:$C$10000))*1,(ISNUMBER(SEARCH("SCOM-SHELCHP",[1]OUT_FinalEnergyCons!$A$4:$A$10000)))*1,[1]OUT_FinalEnergyCons!L$4:L$10000)</f>
        <v>2.7334313012849396</v>
      </c>
      <c r="O885" s="1" cm="1">
        <f t="array" ref="O885">SUMPRODUCT(([1]OUT_FinalEnergyCons!$B$4:$B$10000="Var_Fin")*1, ISNUMBER(SEARCH("SCOM_ELC",[1]OUT_FinalEnergyCons!$C$4:$C$10000))*1,(ISNUMBER(SEARCH("SCOM-SHELCHP",[1]OUT_FinalEnergyCons!$A$4:$A$10000)))*1,[1]OUT_FinalEnergyCons!M$4:M$10000)</f>
        <v>2.7334321898888794</v>
      </c>
      <c r="P885" s="1" cm="1">
        <f t="array" ref="P885">SUMPRODUCT(([1]OUT_FinalEnergyCons!$B$4:$B$10000="Var_Fin")*1, ISNUMBER(SEARCH("SCOM_ELC",[1]OUT_FinalEnergyCons!$C$4:$C$10000))*1,(ISNUMBER(SEARCH("SCOM-SHELCHP",[1]OUT_FinalEnergyCons!$A$4:$A$10000)))*1,[1]OUT_FinalEnergyCons!N$4:N$10000)</f>
        <v>2.7334331746310676</v>
      </c>
      <c r="Q885" s="1" cm="1">
        <f t="array" ref="Q885">SUMPRODUCT(([1]OUT_FinalEnergyCons!$B$4:$B$10000="Var_Fin")*1, ISNUMBER(SEARCH("SCOM_ELC",[1]OUT_FinalEnergyCons!$C$4:$C$10000))*1,(ISNUMBER(SEARCH("SCOM-SHELCHP",[1]OUT_FinalEnergyCons!$A$4:$A$10000)))*1,[1]OUT_FinalEnergyCons!O$4:O$10000)</f>
        <v>2.8261806077029092</v>
      </c>
      <c r="S885" s="3"/>
    </row>
    <row r="886" spans="2:19" x14ac:dyDescent="0.5">
      <c r="B886" s="5" t="str">
        <f t="shared" si="1076"/>
        <v>SPS1</v>
      </c>
      <c r="C886" s="5" t="str">
        <f t="shared" si="107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58.701894619166218</v>
      </c>
      <c r="H886" s="1">
        <f>[1]Services!D$11-[1]Services!D$28</f>
        <v>61.538282567912361</v>
      </c>
      <c r="I886" s="1">
        <f>[1]Services!E$11-[1]Services!E$28</f>
        <v>62.070183817808115</v>
      </c>
      <c r="J886" s="1">
        <f>[1]Services!F$11-[1]Services!F$28</f>
        <v>62.292786143779495</v>
      </c>
      <c r="K886" s="1">
        <f>[1]Services!G$11-[1]Services!G$28</f>
        <v>62.658407604694389</v>
      </c>
      <c r="L886" s="1">
        <f>[1]Services!H$11-[1]Services!H$28</f>
        <v>62.135829913244848</v>
      </c>
      <c r="M886" s="1">
        <f>[1]Services!I$11-[1]Services!I$28</f>
        <v>61.613332658583843</v>
      </c>
      <c r="N886" s="1">
        <f>[1]Services!J$11-[1]Services!J$28</f>
        <v>62.660972409345355</v>
      </c>
      <c r="O886" s="1">
        <f>[1]Services!K$11-[1]Services!K$28</f>
        <v>63.515969173684347</v>
      </c>
      <c r="P886" s="1">
        <f>[1]Services!L$11-[1]Services!L$28</f>
        <v>64.326042343130098</v>
      </c>
      <c r="Q886" s="1">
        <f>[1]Services!M$11-[1]Services!M$28</f>
        <v>65.100427423574843</v>
      </c>
      <c r="S886" s="3"/>
    </row>
    <row r="887" spans="2:19" x14ac:dyDescent="0.5">
      <c r="B887" s="5" t="str">
        <f t="shared" si="1076"/>
        <v>SPS1</v>
      </c>
      <c r="C887" s="5" t="str">
        <f t="shared" si="1077"/>
        <v>CH</v>
      </c>
      <c r="D887" t="s">
        <v>499</v>
      </c>
      <c r="E887" t="s">
        <v>8</v>
      </c>
      <c r="F887" s="1">
        <f>F888</f>
        <v>30.256635198941776</v>
      </c>
      <c r="G887" s="1">
        <f t="shared" ref="G887:O887" si="1078">G888</f>
        <v>26.638734396174886</v>
      </c>
      <c r="H887" s="1">
        <f t="shared" si="1078"/>
        <v>24.906316253748113</v>
      </c>
      <c r="I887" s="1">
        <f t="shared" si="1078"/>
        <v>19.517842253062419</v>
      </c>
      <c r="J887" s="1">
        <f t="shared" si="1078"/>
        <v>14.891868019224049</v>
      </c>
      <c r="K887" s="1">
        <f t="shared" si="1078"/>
        <v>10.568645871768865</v>
      </c>
      <c r="L887" s="1">
        <f t="shared" si="1078"/>
        <v>6.1995746016666553</v>
      </c>
      <c r="M887" s="1">
        <f t="shared" si="1078"/>
        <v>3.5820540594420662</v>
      </c>
      <c r="N887" s="1">
        <f t="shared" si="1078"/>
        <v>0.86381037144747452</v>
      </c>
      <c r="O887" s="1">
        <f t="shared" si="1078"/>
        <v>0.86982216071007457</v>
      </c>
      <c r="P887" s="1">
        <f>P888</f>
        <v>0.87005454734612275</v>
      </c>
      <c r="Q887" s="1">
        <f>Q888</f>
        <v>0.87016834517560993</v>
      </c>
      <c r="S887" s="3"/>
    </row>
    <row r="888" spans="2:19" x14ac:dyDescent="0.5">
      <c r="B888" s="5" t="str">
        <f t="shared" si="1076"/>
        <v>SPS1</v>
      </c>
      <c r="C888" s="5" t="str">
        <f t="shared" si="1077"/>
        <v>CH</v>
      </c>
      <c r="D888" t="s">
        <v>500</v>
      </c>
      <c r="E888" t="s">
        <v>8</v>
      </c>
      <c r="F888" s="1">
        <f>SUM(F891,F893)</f>
        <v>30.256635198941776</v>
      </c>
      <c r="G888" s="1">
        <f t="shared" ref="G888:K888" si="1079">SUM(G891,G893)</f>
        <v>26.638734396174886</v>
      </c>
      <c r="H888" s="1">
        <f t="shared" si="1079"/>
        <v>24.906316253748113</v>
      </c>
      <c r="I888" s="1">
        <f t="shared" si="1079"/>
        <v>19.517842253062419</v>
      </c>
      <c r="J888" s="1">
        <f t="shared" si="1079"/>
        <v>14.891868019224049</v>
      </c>
      <c r="K888" s="1">
        <f t="shared" si="1079"/>
        <v>10.568645871768865</v>
      </c>
      <c r="L888" s="1">
        <f t="shared" ref="L888:O888" si="1080">SUM(L891,L893)</f>
        <v>6.1995746016666553</v>
      </c>
      <c r="M888" s="1">
        <f t="shared" si="1080"/>
        <v>3.5820540594420662</v>
      </c>
      <c r="N888" s="1">
        <f t="shared" si="1080"/>
        <v>0.86381037144747452</v>
      </c>
      <c r="O888" s="1">
        <f t="shared" si="1080"/>
        <v>0.86982216071007457</v>
      </c>
      <c r="P888" s="1">
        <f>SUM(P891,P893)</f>
        <v>0.87005454734612275</v>
      </c>
      <c r="Q888" s="1">
        <f>SUM(Q891,Q893)</f>
        <v>0.87016834517560993</v>
      </c>
      <c r="S888" s="3"/>
    </row>
    <row r="889" spans="2:19" x14ac:dyDescent="0.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30.256635198941776</v>
      </c>
      <c r="G889" s="1">
        <f t="shared" ref="G889:O889" si="1081">G890</f>
        <v>26.638734396174886</v>
      </c>
      <c r="H889" s="1">
        <f t="shared" si="1081"/>
        <v>24.906268620279967</v>
      </c>
      <c r="I889" s="1">
        <f t="shared" si="1081"/>
        <v>19.517505618593578</v>
      </c>
      <c r="J889" s="1">
        <f t="shared" si="1081"/>
        <v>14.891355469511218</v>
      </c>
      <c r="K889" s="1">
        <f t="shared" si="1081"/>
        <v>10.568441424612674</v>
      </c>
      <c r="L889" s="1">
        <f t="shared" si="1081"/>
        <v>6.1988309100460226</v>
      </c>
      <c r="M889" s="1">
        <f t="shared" si="1081"/>
        <v>0</v>
      </c>
      <c r="N889" s="1">
        <f t="shared" si="1081"/>
        <v>2.1770644570755782E-4</v>
      </c>
      <c r="O889" s="1">
        <f t="shared" si="1081"/>
        <v>3.8514660039444234E-4</v>
      </c>
      <c r="P889" s="1">
        <f>P890</f>
        <v>2.4674642119598754E-4</v>
      </c>
      <c r="Q889" s="1">
        <f>Q890</f>
        <v>4.6824608502221595E-4</v>
      </c>
      <c r="S889" s="3"/>
    </row>
    <row r="890" spans="2:19" x14ac:dyDescent="0.5">
      <c r="B890" s="5" t="str">
        <f t="shared" si="1076"/>
        <v>SPS1</v>
      </c>
      <c r="C890" s="5" t="str">
        <f t="shared" si="1077"/>
        <v>CH</v>
      </c>
      <c r="D890" t="s">
        <v>528</v>
      </c>
      <c r="E890" t="s">
        <v>8</v>
      </c>
      <c r="F890" s="1">
        <f>[1]Services!B$12</f>
        <v>30.256635198941776</v>
      </c>
      <c r="G890" s="1">
        <f>[1]Services!C$12</f>
        <v>26.638734396174886</v>
      </c>
      <c r="H890" s="1">
        <f>[1]Services!D$12</f>
        <v>24.906268620279967</v>
      </c>
      <c r="I890" s="1">
        <f>[1]Services!E$12</f>
        <v>19.517505618593578</v>
      </c>
      <c r="J890" s="1">
        <f>[1]Services!F$12</f>
        <v>14.891355469511218</v>
      </c>
      <c r="K890" s="1">
        <f>[1]Services!G$12</f>
        <v>10.568441424612674</v>
      </c>
      <c r="L890" s="1">
        <f>[1]Services!H$12</f>
        <v>6.1988309100460226</v>
      </c>
      <c r="M890" s="1">
        <f>[1]Services!I$12</f>
        <v>0</v>
      </c>
      <c r="N890" s="1">
        <f>[1]Services!J$12</f>
        <v>2.1770644570755782E-4</v>
      </c>
      <c r="O890" s="1">
        <f>[1]Services!K$12</f>
        <v>3.8514660039444234E-4</v>
      </c>
      <c r="P890" s="1">
        <f>[1]Services!L$12</f>
        <v>2.4674642119598754E-4</v>
      </c>
      <c r="Q890" s="1">
        <f>[1]Services!M$12</f>
        <v>4.6824608502221595E-4</v>
      </c>
      <c r="S890" s="3"/>
    </row>
    <row r="891" spans="2:19" x14ac:dyDescent="0.5">
      <c r="B891" s="5" t="str">
        <f>B890</f>
        <v>SPS1</v>
      </c>
      <c r="C891" s="5" t="str">
        <f t="shared" si="1077"/>
        <v>CH</v>
      </c>
      <c r="D891" t="s">
        <v>529</v>
      </c>
      <c r="E891" t="s">
        <v>8</v>
      </c>
      <c r="F891" s="1">
        <f>F890</f>
        <v>30.256635198941776</v>
      </c>
      <c r="G891" s="1">
        <f t="shared" ref="G891:K891" si="1082">G890</f>
        <v>26.638734396174886</v>
      </c>
      <c r="H891" s="1">
        <f t="shared" si="1082"/>
        <v>24.906268620279967</v>
      </c>
      <c r="I891" s="1">
        <f t="shared" si="1082"/>
        <v>19.517505618593578</v>
      </c>
      <c r="J891" s="1">
        <f t="shared" si="1082"/>
        <v>14.891355469511218</v>
      </c>
      <c r="K891" s="1">
        <f t="shared" si="1082"/>
        <v>10.568441424612674</v>
      </c>
      <c r="L891" s="1">
        <f t="shared" ref="L891:O891" si="1083">L890</f>
        <v>6.1988309100460226</v>
      </c>
      <c r="M891" s="1">
        <f t="shared" si="1083"/>
        <v>0</v>
      </c>
      <c r="N891" s="1">
        <f t="shared" si="1083"/>
        <v>2.1770644570755782E-4</v>
      </c>
      <c r="O891" s="1">
        <f t="shared" si="1083"/>
        <v>3.8514660039444234E-4</v>
      </c>
      <c r="P891" s="1">
        <f>P890</f>
        <v>2.4674642119598754E-4</v>
      </c>
      <c r="Q891" s="1">
        <f>Q890</f>
        <v>4.6824608502221595E-4</v>
      </c>
      <c r="S891" s="3"/>
    </row>
    <row r="892" spans="2:19" x14ac:dyDescent="0.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O892" si="1084">G893</f>
        <v>0</v>
      </c>
      <c r="H892">
        <f t="shared" si="1084"/>
        <v>4.7633468146184852E-5</v>
      </c>
      <c r="I892">
        <f t="shared" si="1084"/>
        <v>3.3663446884094766E-4</v>
      </c>
      <c r="J892">
        <f t="shared" si="1084"/>
        <v>5.1254971282974136E-4</v>
      </c>
      <c r="K892">
        <f t="shared" si="1084"/>
        <v>2.0444715619086107E-4</v>
      </c>
      <c r="L892">
        <f t="shared" si="1084"/>
        <v>7.4369162063266179E-4</v>
      </c>
      <c r="M892">
        <f t="shared" si="1084"/>
        <v>3.5820540594420662</v>
      </c>
      <c r="N892">
        <f t="shared" si="1084"/>
        <v>0.86359266500176701</v>
      </c>
      <c r="O892">
        <f t="shared" si="1084"/>
        <v>0.86943701410968011</v>
      </c>
      <c r="P892">
        <f>P893</f>
        <v>0.86980780092492671</v>
      </c>
      <c r="Q892">
        <f>Q893</f>
        <v>0.86970009909058776</v>
      </c>
      <c r="S892" s="3"/>
    </row>
    <row r="893" spans="2:19" x14ac:dyDescent="0.5">
      <c r="B893" s="5" t="str">
        <f t="shared" si="1076"/>
        <v>SPS1</v>
      </c>
      <c r="C893" s="5" t="str">
        <f t="shared" si="107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4.7633468146184852E-5</v>
      </c>
      <c r="I893">
        <f>[1]Services!E$13</f>
        <v>3.3663446884094766E-4</v>
      </c>
      <c r="J893">
        <f>[1]Services!F$13</f>
        <v>5.1254971282974136E-4</v>
      </c>
      <c r="K893">
        <f>[1]Services!G$13</f>
        <v>2.0444715619086107E-4</v>
      </c>
      <c r="L893">
        <f>[1]Services!H$13</f>
        <v>7.4369162063266179E-4</v>
      </c>
      <c r="M893">
        <f>[1]Services!I$13</f>
        <v>3.5820540594420662</v>
      </c>
      <c r="N893">
        <f>[1]Services!J$13</f>
        <v>0.86359266500176701</v>
      </c>
      <c r="O893">
        <f>[1]Services!K$13</f>
        <v>0.86943701410968011</v>
      </c>
      <c r="P893">
        <f>[1]Services!L$13</f>
        <v>0.86980780092492671</v>
      </c>
      <c r="Q893">
        <f>[1]Services!M$13</f>
        <v>0.86970009909058776</v>
      </c>
      <c r="S893" s="3"/>
    </row>
    <row r="894" spans="2:19" x14ac:dyDescent="0.5">
      <c r="B894" s="5" t="str">
        <f t="shared" si="1076"/>
        <v>SPS1</v>
      </c>
      <c r="C894" s="5" t="str">
        <f t="shared" si="1077"/>
        <v>CH</v>
      </c>
      <c r="D894" t="s">
        <v>501</v>
      </c>
      <c r="E894" t="s">
        <v>8</v>
      </c>
      <c r="F894" s="1">
        <f>SUM(F895:F897)</f>
        <v>26.950965656075713</v>
      </c>
      <c r="G894" s="1">
        <f t="shared" ref="G894:K894" si="1085">SUM(G895:G897)</f>
        <v>28.287004692983334</v>
      </c>
      <c r="H894" s="1">
        <f t="shared" si="1085"/>
        <v>27.518208216625862</v>
      </c>
      <c r="I894" s="1">
        <f t="shared" si="1085"/>
        <v>26.292438981948163</v>
      </c>
      <c r="J894" s="1">
        <f t="shared" si="1085"/>
        <v>27.264603686947243</v>
      </c>
      <c r="K894" s="1">
        <f t="shared" si="1085"/>
        <v>29.699090380563522</v>
      </c>
      <c r="L894" s="1">
        <f t="shared" ref="L894:O894" si="1086">SUM(L895:L897)</f>
        <v>29.49663067745734</v>
      </c>
      <c r="M894" s="1">
        <f t="shared" si="1086"/>
        <v>19.244470978422548</v>
      </c>
      <c r="N894" s="1">
        <f t="shared" si="1086"/>
        <v>18.619130824734807</v>
      </c>
      <c r="O894" s="1">
        <f t="shared" si="1086"/>
        <v>21.255740806797789</v>
      </c>
      <c r="P894" s="1">
        <f>SUM(P895:P897)</f>
        <v>21.683589141867845</v>
      </c>
      <c r="Q894" s="1">
        <f>SUM(Q895:Q897)</f>
        <v>21.560963427230377</v>
      </c>
      <c r="S894" s="3"/>
    </row>
    <row r="895" spans="2:19" x14ac:dyDescent="0.5">
      <c r="B895" s="5" t="str">
        <f t="shared" si="1076"/>
        <v>SPS1</v>
      </c>
      <c r="C895" s="5" t="str">
        <f t="shared" si="1077"/>
        <v>CH</v>
      </c>
      <c r="D895" t="s">
        <v>681</v>
      </c>
      <c r="E895" t="s">
        <v>8</v>
      </c>
      <c r="F895" s="1">
        <f>SUM([1]Services!B$14:B$15)-F896</f>
        <v>25.548687748031227</v>
      </c>
      <c r="G895" s="1">
        <f>SUM([1]Services!C$14:C$15)</f>
        <v>26.749780958917082</v>
      </c>
      <c r="H895" s="1">
        <f>SUM([1]Services!D$14:D$15)</f>
        <v>25.961717022680862</v>
      </c>
      <c r="I895" s="1">
        <f>SUM([1]Services!E$14:E$15)</f>
        <v>24.775097481694655</v>
      </c>
      <c r="J895" s="1">
        <f>SUM([1]Services!F$14:F$15)</f>
        <v>24.883850894124524</v>
      </c>
      <c r="K895" s="1">
        <f>SUM([1]Services!G$14:G$15)</f>
        <v>25.328627679162146</v>
      </c>
      <c r="L895" s="1">
        <f>SUM([1]Services!H$14:H$15)</f>
        <v>22.708963263514043</v>
      </c>
      <c r="M895" s="1">
        <f>SUM([1]Services!I$14:I$15)</f>
        <v>8.0332321335919605</v>
      </c>
      <c r="N895" s="1">
        <f>SUM([1]Services!J$14:J$15)</f>
        <v>4.8149288769641245</v>
      </c>
      <c r="O895" s="1">
        <f>SUM([1]Services!K$14:K$15)</f>
        <v>3.2900115140157653</v>
      </c>
      <c r="P895" s="1">
        <f>SUM([1]Services!L$14:L$15)</f>
        <v>2.6909063174177508</v>
      </c>
      <c r="Q895" s="1">
        <f>SUM([1]Services!M$14:M$15)</f>
        <v>2.2443967312196915</v>
      </c>
      <c r="S895" s="3"/>
    </row>
    <row r="896" spans="2:19" x14ac:dyDescent="0.5">
      <c r="B896" s="5" t="str">
        <f t="shared" ref="B896" si="1087">B895</f>
        <v>SPS1</v>
      </c>
      <c r="C896" s="5" t="str">
        <f t="shared" ref="C896" si="108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7.8720892048354926E-4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7.531800302619377E-4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0.19215972816173701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0.38731943408526054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0.58700504524012564</v>
      </c>
      <c r="M896" s="1" cm="1">
        <f t="array" ref="M896">SUMPRODUCT(([1]OUT_FinalEnergyCons!$B$4:$B$10000="Var_Fin")*1, ([1]OUT_FinalEnergyCons!$C$4:$C$10000="SNGA")*1,(ISNUMBER(SEARCH("SCOM-SHngahp",[1]OUT_FinalEnergyCons!$A$4:$A$10000)))*1,[1]OUT_FinalEnergyCons!K$4:K$10000)</f>
        <v>0.39323686468492369</v>
      </c>
      <c r="N896" s="1" cm="1">
        <f t="array" ref="N896">SUMPRODUCT(([1]OUT_FinalEnergyCons!$B$4:$B$10000="Var_Fin")*1, ([1]OUT_FinalEnergyCons!$C$4:$C$10000="SNGA")*1,(ISNUMBER(SEARCH("SCOM-SHngahp",[1]OUT_FinalEnergyCons!$A$4:$A$10000)))*1,[1]OUT_FinalEnergyCons!L$4:L$10000)</f>
        <v>0.77570924019235099</v>
      </c>
      <c r="O896" s="1" cm="1">
        <f t="array" ref="O896">SUMPRODUCT(([1]OUT_FinalEnergyCons!$B$4:$B$10000="Var_Fin")*1, ([1]OUT_FinalEnergyCons!$C$4:$C$10000="SNGA")*1,(ISNUMBER(SEARCH("SCOM-SHngahp",[1]OUT_FinalEnergyCons!$A$4:$A$10000)))*1,[1]OUT_FinalEnergyCons!M$4:M$10000)</f>
        <v>1.1877453605222079</v>
      </c>
      <c r="P896" s="1" cm="1">
        <f t="array" ref="P896">SUMPRODUCT(([1]OUT_FinalEnergyCons!$B$4:$B$10000="Var_Fin")*1, ([1]OUT_FinalEnergyCons!$C$4:$C$10000="SNGA")*1,(ISNUMBER(SEARCH("SCOM-SHngahp",[1]OUT_FinalEnergyCons!$A$4:$A$10000)))*1,[1]OUT_FinalEnergyCons!N$4:N$10000)</f>
        <v>1.6316194672268309</v>
      </c>
      <c r="Q896" s="1" cm="1">
        <f t="array" ref="Q896">SUMPRODUCT(([1]OUT_FinalEnergyCons!$B$4:$B$10000="Var_Fin")*1, ([1]OUT_FinalEnergyCons!$C$4:$C$10000="SNGA")*1,(ISNUMBER(SEARCH("SCOM-SHngahp",[1]OUT_FinalEnergyCons!$A$4:$A$10000)))*1,[1]OUT_FinalEnergyCons!O$4:O$10000)</f>
        <v>1.9552294181967353</v>
      </c>
      <c r="S896" s="3"/>
    </row>
    <row r="897" spans="2:19" x14ac:dyDescent="0.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1.4022779080444845</v>
      </c>
      <c r="G897" s="1">
        <f>[1]Services!C$16</f>
        <v>1.5372237340662529</v>
      </c>
      <c r="H897" s="1">
        <f>[1]Services!D$16</f>
        <v>1.5557039850245158</v>
      </c>
      <c r="I897" s="1">
        <f>[1]Services!E$16</f>
        <v>1.5165883202232455</v>
      </c>
      <c r="J897" s="1">
        <f>[1]Services!F$16</f>
        <v>2.1885930646609815</v>
      </c>
      <c r="K897" s="1">
        <f>[1]Services!G$16</f>
        <v>3.9831432673161147</v>
      </c>
      <c r="L897" s="1">
        <f>[1]Services!H$16</f>
        <v>6.2006623687031688</v>
      </c>
      <c r="M897" s="1">
        <f>[1]Services!I$16</f>
        <v>10.818001980145663</v>
      </c>
      <c r="N897" s="1">
        <f>[1]Services!J$16</f>
        <v>13.02849270757833</v>
      </c>
      <c r="O897" s="1">
        <f>[1]Services!K$16</f>
        <v>16.777983932259815</v>
      </c>
      <c r="P897" s="1">
        <f>[1]Services!L$16</f>
        <v>17.361063357223262</v>
      </c>
      <c r="Q897" s="1">
        <f>[1]Services!M$16</f>
        <v>17.361337277813949</v>
      </c>
      <c r="S897" s="3"/>
    </row>
    <row r="898" spans="2:19" x14ac:dyDescent="0.5">
      <c r="B898" s="5" t="str">
        <f t="shared" si="1076"/>
        <v>SPS1</v>
      </c>
      <c r="C898" s="5" t="str">
        <f t="shared" si="1077"/>
        <v>CH</v>
      </c>
      <c r="D898" t="s">
        <v>966</v>
      </c>
      <c r="E898" t="s">
        <v>8</v>
      </c>
      <c r="F898" s="1">
        <f>[1]Services!B$14</f>
        <v>25.261967997955228</v>
      </c>
      <c r="G898" s="1">
        <f>[1]Services!C$14</f>
        <v>23.494661403519281</v>
      </c>
      <c r="H898" s="1">
        <f>[1]Services!D$14</f>
        <v>25.954820512052613</v>
      </c>
      <c r="I898" s="1">
        <f>[1]Services!E$14</f>
        <v>24.774917269378019</v>
      </c>
      <c r="J898" s="1">
        <f>[1]Services!F$14</f>
        <v>24.883596386786529</v>
      </c>
      <c r="K898" s="1">
        <f>[1]Services!G$14</f>
        <v>25.220032800083789</v>
      </c>
      <c r="L898" s="1">
        <f>[1]Services!H$14</f>
        <v>22.592947643225134</v>
      </c>
      <c r="M898" s="1">
        <f>[1]Services!I$14</f>
        <v>7.0455701555178374</v>
      </c>
      <c r="N898" s="1">
        <f>[1]Services!J$14</f>
        <v>3.0728216321821176</v>
      </c>
      <c r="O898" s="1">
        <f>[1]Services!K$14</f>
        <v>1.5264922673885846</v>
      </c>
      <c r="P898" s="1">
        <f>[1]Services!L$14</f>
        <v>0.91789637649320466</v>
      </c>
      <c r="Q898" s="1">
        <f>[1]Services!M$14</f>
        <v>0.47565664385936313</v>
      </c>
      <c r="S898" s="3"/>
    </row>
    <row r="899" spans="2:19" x14ac:dyDescent="0.5">
      <c r="B899" s="5" t="str">
        <f t="shared" si="1076"/>
        <v>SPS1</v>
      </c>
      <c r="C899" s="5" t="str">
        <f t="shared" si="1077"/>
        <v>CH</v>
      </c>
      <c r="D899" t="s">
        <v>682</v>
      </c>
      <c r="E899" t="s">
        <v>8</v>
      </c>
      <c r="F899" s="1">
        <f>[1]Services!B$14*IFERROR(F895/SUM(F895:F896),0)</f>
        <v>25.261967997955228</v>
      </c>
      <c r="G899" s="1">
        <f>[1]Services!C$14*IFERROR(G895/SUM(G895:G896),0)</f>
        <v>23.494661403519281</v>
      </c>
      <c r="H899" s="1">
        <f>[1]Services!D$14*IFERROR(H895/SUM(H895:H896),0)</f>
        <v>25.954033536110138</v>
      </c>
      <c r="I899" s="1">
        <f>[1]Services!E$14*IFERROR(I895/SUM(I895:I896),0)</f>
        <v>24.774164117722666</v>
      </c>
      <c r="J899" s="1">
        <f>[1]Services!F$14*IFERROR(J895/SUM(J895:J896),0)</f>
        <v>24.692911146243457</v>
      </c>
      <c r="K899" s="1">
        <f>[1]Services!G$14*IFERROR(K895/SUM(K895:K896),0)</f>
        <v>24.840182554291825</v>
      </c>
      <c r="L899" s="1">
        <f>[1]Services!H$14*IFERROR(L895/SUM(L895:L896),0)</f>
        <v>22.023657108586335</v>
      </c>
      <c r="M899" s="1">
        <f>[1]Services!I$14*IFERROR(M895/SUM(M895:M896),0)</f>
        <v>6.7167755063664476</v>
      </c>
      <c r="N899" s="1">
        <f>[1]Services!J$14*IFERROR(N895/SUM(N895:N896),0)</f>
        <v>2.6464631229035791</v>
      </c>
      <c r="O899" s="1">
        <f>[1]Services!K$14*IFERROR(O895/SUM(O895:O896),0)</f>
        <v>1.1215832561884409</v>
      </c>
      <c r="P899" s="1">
        <f>[1]Services!L$14*IFERROR(P895/SUM(P895:P896),0)</f>
        <v>0.57141895301464796</v>
      </c>
      <c r="Q899" s="1">
        <f>[1]Services!M$14*IFERROR(Q895/SUM(Q895:Q896),0)</f>
        <v>0.25420410738447047</v>
      </c>
      <c r="S899" s="3"/>
    </row>
    <row r="900" spans="2:19" x14ac:dyDescent="0.5">
      <c r="B900" s="5" t="str">
        <f>B899</f>
        <v>SPS1</v>
      </c>
      <c r="C900" s="5" t="str">
        <f t="shared" ref="C900" si="108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90">G898-G899</f>
        <v>0</v>
      </c>
      <c r="H900" s="1">
        <f t="shared" si="1090"/>
        <v>7.8697594247501002E-4</v>
      </c>
      <c r="I900" s="1">
        <f t="shared" si="1090"/>
        <v>7.5315165535272399E-4</v>
      </c>
      <c r="J900" s="1">
        <f t="shared" si="1090"/>
        <v>0.1906852405430719</v>
      </c>
      <c r="K900" s="1">
        <f t="shared" si="1090"/>
        <v>0.37985024579196391</v>
      </c>
      <c r="L900" s="1">
        <f t="shared" ref="L900:O900" si="1091">L898-L899</f>
        <v>0.56929053463879953</v>
      </c>
      <c r="M900" s="1">
        <f t="shared" si="1091"/>
        <v>0.32879464915138978</v>
      </c>
      <c r="N900" s="1">
        <f t="shared" si="1091"/>
        <v>0.42635850927853847</v>
      </c>
      <c r="O900" s="1">
        <f t="shared" si="1091"/>
        <v>0.40490901120014366</v>
      </c>
      <c r="P900" s="1">
        <f>P898-P899</f>
        <v>0.3464774234785567</v>
      </c>
      <c r="Q900" s="1">
        <f>Q898-Q899</f>
        <v>0.22145253647489266</v>
      </c>
      <c r="S900" s="3"/>
    </row>
    <row r="901" spans="2:19" x14ac:dyDescent="0.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1.6889976581204826</v>
      </c>
      <c r="G901" s="1">
        <f>[1]Services!C$15+G904</f>
        <v>4.7923432894640552</v>
      </c>
      <c r="H901" s="1">
        <f>[1]Services!D$15+H904</f>
        <v>1.5626004956527657</v>
      </c>
      <c r="I901" s="1">
        <f>[1]Services!E$15+I904</f>
        <v>1.5167685325398814</v>
      </c>
      <c r="J901" s="1">
        <f>[1]Services!F$15+J904</f>
        <v>2.1888475719989771</v>
      </c>
      <c r="K901" s="1">
        <f>[1]Services!G$15+K904</f>
        <v>4.0917381463944702</v>
      </c>
      <c r="L901" s="1">
        <f>[1]Services!H$15+L904</f>
        <v>6.3166779889920761</v>
      </c>
      <c r="M901" s="1">
        <f>[1]Services!I$15+M904</f>
        <v>11.805663958219787</v>
      </c>
      <c r="N901" s="1">
        <f>[1]Services!J$15+N904</f>
        <v>14.770599952360337</v>
      </c>
      <c r="O901" s="1">
        <f>[1]Services!K$15+O904</f>
        <v>18.541503178886995</v>
      </c>
      <c r="P901" s="1">
        <f>[1]Services!L$15+P904</f>
        <v>19.134073298147808</v>
      </c>
      <c r="Q901" s="1">
        <f>[1]Services!M$15+Q904</f>
        <v>19.130077365174277</v>
      </c>
      <c r="S901" s="3"/>
    </row>
    <row r="902" spans="2:19" x14ac:dyDescent="0.5">
      <c r="B902" s="5" t="str">
        <f t="shared" si="1076"/>
        <v>SPS1</v>
      </c>
      <c r="C902" s="5" t="str">
        <f t="shared" si="1077"/>
        <v>CH</v>
      </c>
      <c r="D902" t="s">
        <v>683</v>
      </c>
      <c r="E902" t="s">
        <v>8</v>
      </c>
      <c r="F902" s="1">
        <f>[1]Services!B$15*F895/SUM(F895:F896)</f>
        <v>0.28671975007599826</v>
      </c>
      <c r="G902" s="1">
        <f>[1]Services!C$15*G895/SUM(G895:G896)</f>
        <v>3.2551195553978021</v>
      </c>
      <c r="H902" s="1">
        <f>[1]Services!D$15*H895/SUM(H895:H896)</f>
        <v>6.8963015191964494E-3</v>
      </c>
      <c r="I902" s="1">
        <f>[1]Services!E$15*I895/SUM(I895:I896)</f>
        <v>1.8020683822398621E-4</v>
      </c>
      <c r="J902" s="1">
        <f>[1]Services!F$15*J895/SUM(J895:J896)</f>
        <v>2.5255702533940005E-4</v>
      </c>
      <c r="K902" s="1">
        <f>[1]Services!G$15*K895/SUM(K895:K896)</f>
        <v>0.10695928281102893</v>
      </c>
      <c r="L902" s="1">
        <f>[1]Services!H$15*L895/SUM(L895:L896)</f>
        <v>0.11309229237509616</v>
      </c>
      <c r="M902" s="1">
        <f>[1]Services!I$15*M895/SUM(M895:M896)</f>
        <v>0.94157089298192165</v>
      </c>
      <c r="N902" s="1">
        <f>[1]Services!J$15*N895/SUM(N895:N896)</f>
        <v>1.5003873089062834</v>
      </c>
      <c r="O902" s="1">
        <f>[1]Services!K$15*O895/SUM(O895:O896)</f>
        <v>1.2957377519945181</v>
      </c>
      <c r="P902" s="1">
        <f>[1]Services!L$15*P895/SUM(P895:P896)</f>
        <v>1.1037536589895967</v>
      </c>
      <c r="Q902" s="1">
        <f>[1]Services!M$15*Q895/SUM(Q895:Q896)</f>
        <v>0.94526377568164799</v>
      </c>
      <c r="S902" s="3"/>
    </row>
    <row r="903" spans="2:19" x14ac:dyDescent="0.5">
      <c r="B903" s="5" t="str">
        <f>B902</f>
        <v>SPS1</v>
      </c>
      <c r="C903" s="5" t="str">
        <f t="shared" ref="C903" si="109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2.0910905351571792E-7</v>
      </c>
      <c r="I903" s="1">
        <f>[1]Services!E$15*I896/SUM(I895:I896)</f>
        <v>5.4784120210721375E-9</v>
      </c>
      <c r="J903" s="1">
        <f>[1]Services!F$15*J896/SUM(J895:J896)</f>
        <v>1.9503126562301922E-6</v>
      </c>
      <c r="K903" s="1">
        <f>[1]Services!G$15*K896/SUM(K895:K896)</f>
        <v>1.6355962673262152E-3</v>
      </c>
      <c r="L903" s="1">
        <f>[1]Services!H$15*L896/SUM(L895:L896)</f>
        <v>2.9233279138116031E-3</v>
      </c>
      <c r="M903" s="1">
        <f>[1]Services!I$15*M896/SUM(M895:M896)</f>
        <v>4.6091085092201528E-2</v>
      </c>
      <c r="N903" s="1">
        <f>[1]Services!J$15*N896/SUM(N895:N896)</f>
        <v>0.24171993587572385</v>
      </c>
      <c r="O903" s="1">
        <f>[1]Services!K$15*O896/SUM(O895:O896)</f>
        <v>0.46778149463266272</v>
      </c>
      <c r="P903" s="1">
        <f>[1]Services!L$15*P896/SUM(P895:P896)</f>
        <v>0.66925628193494946</v>
      </c>
      <c r="Q903" s="1">
        <f>[1]Services!M$15*Q896/SUM(Q895:Q896)</f>
        <v>0.8234763116786803</v>
      </c>
      <c r="S903" s="3"/>
    </row>
    <row r="904" spans="2:19" x14ac:dyDescent="0.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1.4022779080444845</v>
      </c>
      <c r="G904" s="1">
        <f>[1]Services!C$16</f>
        <v>1.5372237340662529</v>
      </c>
      <c r="H904" s="1">
        <f>[1]Services!D$16</f>
        <v>1.5557039850245158</v>
      </c>
      <c r="I904" s="1">
        <f>[1]Services!E$16</f>
        <v>1.5165883202232455</v>
      </c>
      <c r="J904" s="1">
        <f>[1]Services!F$16</f>
        <v>2.1885930646609815</v>
      </c>
      <c r="K904" s="1">
        <f>[1]Services!G$16</f>
        <v>3.9831432673161147</v>
      </c>
      <c r="L904" s="1">
        <f>[1]Services!H$16</f>
        <v>6.2006623687031688</v>
      </c>
      <c r="M904" s="1">
        <f>[1]Services!I$16</f>
        <v>10.818001980145663</v>
      </c>
      <c r="N904" s="1">
        <f>[1]Services!J$16</f>
        <v>13.02849270757833</v>
      </c>
      <c r="O904" s="1">
        <f>[1]Services!K$16</f>
        <v>16.777983932259815</v>
      </c>
      <c r="P904" s="1">
        <f>[1]Services!L$16</f>
        <v>17.361063357223262</v>
      </c>
      <c r="Q904" s="1">
        <f>[1]Services!M$16</f>
        <v>17.361337277813949</v>
      </c>
      <c r="S904" s="3"/>
    </row>
    <row r="905" spans="2:19" x14ac:dyDescent="0.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7.7268867560382599</v>
      </c>
      <c r="G905" s="1">
        <f>[1]Services!C$17</f>
        <v>8.3696938600863131</v>
      </c>
      <c r="H905" s="1">
        <f>[1]Services!D$17</f>
        <v>8.9432238992458668</v>
      </c>
      <c r="I905" s="1">
        <f>[1]Services!E$17</f>
        <v>8.9433859990499016</v>
      </c>
      <c r="J905" s="1">
        <f>[1]Services!F$17</f>
        <v>8.9483374198228063</v>
      </c>
      <c r="K905" s="1">
        <f>[1]Services!G$17</f>
        <v>8.1251193078685784</v>
      </c>
      <c r="L905" s="1">
        <f>[1]Services!H$17</f>
        <v>8.4747531062388006</v>
      </c>
      <c r="M905" s="1">
        <f>[1]Services!I$17</f>
        <v>8.4326900005434133</v>
      </c>
      <c r="N905" s="1">
        <f>[1]Services!J$17</f>
        <v>10.727763512886021</v>
      </c>
      <c r="O905" s="1">
        <f>[1]Services!K$17</f>
        <v>10.887215306559805</v>
      </c>
      <c r="P905" s="1">
        <f>[1]Services!L$17</f>
        <v>10.646876811997769</v>
      </c>
      <c r="Q905" s="1">
        <f>[1]Services!M$17</f>
        <v>10.3499069728003</v>
      </c>
      <c r="S905" s="3"/>
    </row>
    <row r="906" spans="2:19" x14ac:dyDescent="0.5">
      <c r="B906" s="5" t="str">
        <f t="shared" si="1076"/>
        <v>SPS1</v>
      </c>
      <c r="C906" s="5" t="str">
        <f t="shared" si="1077"/>
        <v>CH</v>
      </c>
      <c r="D906" t="s">
        <v>969</v>
      </c>
      <c r="E906" t="s">
        <v>8</v>
      </c>
      <c r="F906" s="1">
        <f>[1]Services!B$51/0.99</f>
        <v>2.1168851420259656</v>
      </c>
      <c r="G906" s="1">
        <f>[1]Services!C$51/0.99</f>
        <v>2.2929906371730637</v>
      </c>
      <c r="H906" s="1">
        <f>[1]Services!D$51/0.99</f>
        <v>2.8665203679754994</v>
      </c>
      <c r="I906" s="1">
        <f>[1]Services!E$51/0.99</f>
        <v>2.8666824342444372</v>
      </c>
      <c r="J906" s="1">
        <f>[1]Services!F$51/0.99</f>
        <v>2.8716340253202515</v>
      </c>
      <c r="K906" s="1">
        <f>[1]Services!G$51/0.99</f>
        <v>2.0484135099740133</v>
      </c>
      <c r="L906" s="1">
        <f>[1]Services!H$51/0.99</f>
        <v>2.0480759029651638</v>
      </c>
      <c r="M906" s="1">
        <f>[1]Services!I$51/0.99</f>
        <v>2.0059942487660498</v>
      </c>
      <c r="N906" s="1">
        <f>[1]Services!J$51/0.99</f>
        <v>2.3175421803379206</v>
      </c>
      <c r="O906" s="1">
        <f>[1]Services!K$51/0.99</f>
        <v>2.476988948177536</v>
      </c>
      <c r="P906" s="1">
        <f>[1]Services!L$51/0.99</f>
        <v>2.2366466363998181</v>
      </c>
      <c r="Q906" s="1">
        <f>[1]Services!M$51/0.99</f>
        <v>1.9396682654692907</v>
      </c>
      <c r="S906" s="3"/>
    </row>
    <row r="907" spans="2:19" x14ac:dyDescent="0.5">
      <c r="B907" s="5" t="str">
        <f t="shared" si="1076"/>
        <v>SPS1</v>
      </c>
      <c r="C907" s="5" t="str">
        <f t="shared" si="1077"/>
        <v>CH</v>
      </c>
      <c r="D907" t="s">
        <v>507</v>
      </c>
      <c r="E907" t="s">
        <v>8</v>
      </c>
      <c r="F907" s="1">
        <f>IF(F906-SUM(F908:F911)&lt;0,0,F906-SUM(F908:F911))</f>
        <v>1.4243067598351116</v>
      </c>
      <c r="G907" s="1">
        <f t="shared" ref="G907:K907" si="1093">IF(G906-SUM(G908:G911)&lt;0,0,G906-SUM(G908:G911))</f>
        <v>1.554239097439194</v>
      </c>
      <c r="H907" s="1">
        <f t="shared" si="1093"/>
        <v>1.4343517333459801</v>
      </c>
      <c r="I907" s="1">
        <f t="shared" si="1093"/>
        <v>1.2406994641508775</v>
      </c>
      <c r="J907" s="1">
        <f t="shared" si="1093"/>
        <v>1.322117740779656</v>
      </c>
      <c r="K907" s="1">
        <f t="shared" si="1093"/>
        <v>1.0746848484835843</v>
      </c>
      <c r="L907" s="1">
        <f t="shared" ref="L907:O907" si="1094">IF(L906-SUM(L908:L911)&lt;0,0,L906-SUM(L908:L911))</f>
        <v>2.0065071963872145</v>
      </c>
      <c r="M907" s="1">
        <f t="shared" si="1094"/>
        <v>1.9525903312820703</v>
      </c>
      <c r="N907" s="1">
        <f t="shared" si="1094"/>
        <v>2.2708169791469874</v>
      </c>
      <c r="O907" s="1">
        <f t="shared" si="1094"/>
        <v>2.4575579375426644</v>
      </c>
      <c r="P907" s="1">
        <f>IF(P906-SUM(P908:P911)&lt;0,0,P906-SUM(P908:P911))</f>
        <v>2.2290662491327531</v>
      </c>
      <c r="Q907" s="1">
        <f>IF(Q906-SUM(Q908:Q911)&lt;0,0,Q906-SUM(Q908:Q911))</f>
        <v>1.9216102902809875</v>
      </c>
      <c r="S907" s="3"/>
    </row>
    <row r="908" spans="2:19" x14ac:dyDescent="0.5">
      <c r="B908" s="5" t="str">
        <f t="shared" si="1076"/>
        <v>SPS1</v>
      </c>
      <c r="C908" s="5" t="str">
        <f t="shared" si="1077"/>
        <v>CH</v>
      </c>
      <c r="D908" t="s">
        <v>503</v>
      </c>
      <c r="E908" t="s">
        <v>8</v>
      </c>
      <c r="F908" s="1">
        <f t="shared" ref="F908:K908" si="1095">F249*F906/SUM(F248:F250)</f>
        <v>0.69257838219085399</v>
      </c>
      <c r="G908" s="1">
        <f t="shared" si="1095"/>
        <v>0.73875153973386976</v>
      </c>
      <c r="H908" s="1">
        <f t="shared" si="1095"/>
        <v>1.4321686346295193</v>
      </c>
      <c r="I908" s="1">
        <f t="shared" si="1095"/>
        <v>1.6241907717526767</v>
      </c>
      <c r="J908" s="1">
        <f t="shared" si="1095"/>
        <v>1.5465810638098749</v>
      </c>
      <c r="K908" s="1">
        <f t="shared" si="1095"/>
        <v>0.95623714950986338</v>
      </c>
      <c r="L908" s="1">
        <f t="shared" ref="L908:O908" si="1096">L249*L906/SUM(L248:L250)</f>
        <v>0</v>
      </c>
      <c r="M908" s="1">
        <f t="shared" si="1096"/>
        <v>0</v>
      </c>
      <c r="N908" s="1">
        <f t="shared" si="1096"/>
        <v>1.7417172019770779E-3</v>
      </c>
      <c r="O908" s="1">
        <f t="shared" si="1096"/>
        <v>1.3571217510624947E-3</v>
      </c>
      <c r="P908" s="1">
        <f>P249*P906/SUM(P248:P250)</f>
        <v>9.0842511229083833E-4</v>
      </c>
      <c r="Q908" s="1">
        <f>Q249*Q906/SUM(Q248:Q250)</f>
        <v>1.835456838890805E-3</v>
      </c>
      <c r="S908" s="3"/>
    </row>
    <row r="909" spans="2:19" x14ac:dyDescent="0.5">
      <c r="B909" s="5" t="str">
        <f t="shared" si="1076"/>
        <v>SPS1</v>
      </c>
      <c r="C909" s="5" t="str">
        <f t="shared" si="107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97">H250*H906/SUM(H248:H250)</f>
        <v>0</v>
      </c>
      <c r="I909" s="1">
        <f t="shared" si="1097"/>
        <v>0</v>
      </c>
      <c r="J909" s="1">
        <f t="shared" si="1097"/>
        <v>0</v>
      </c>
      <c r="K909" s="1">
        <f t="shared" si="1097"/>
        <v>0</v>
      </c>
      <c r="L909" s="1">
        <f t="shared" ref="L909:O909" si="1098">L250*L906/SUM(L248:L250)</f>
        <v>0</v>
      </c>
      <c r="M909" s="1">
        <f t="shared" si="1098"/>
        <v>0</v>
      </c>
      <c r="N909" s="1">
        <f t="shared" si="1098"/>
        <v>1.5725966486032075E-4</v>
      </c>
      <c r="O909" s="1">
        <f t="shared" si="1098"/>
        <v>2.2648823219014984E-4</v>
      </c>
      <c r="P909" s="1">
        <f>P250*P906/SUM(P248:P250)</f>
        <v>1.4775746927868561E-4</v>
      </c>
      <c r="Q909" s="1">
        <f>Q250*Q906/SUM(Q248:Q250)</f>
        <v>2.8781055526654981E-4</v>
      </c>
      <c r="S909" s="3"/>
    </row>
    <row r="910" spans="2:19" x14ac:dyDescent="0.5">
      <c r="B910" s="5" t="str">
        <f t="shared" si="1076"/>
        <v>SPS1</v>
      </c>
      <c r="C910" s="5" t="str">
        <f t="shared" si="107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99">G287*G906/SUM(G248:G250)</f>
        <v>0</v>
      </c>
      <c r="H910" s="1">
        <f t="shared" si="1099"/>
        <v>0</v>
      </c>
      <c r="I910" s="1">
        <f t="shared" si="1099"/>
        <v>9.1314159439624101E-4</v>
      </c>
      <c r="J910" s="1">
        <f t="shared" si="1099"/>
        <v>8.7243615445628205E-4</v>
      </c>
      <c r="K910" s="1">
        <f t="shared" si="1099"/>
        <v>7.80927373684219E-3</v>
      </c>
      <c r="L910" s="1">
        <f t="shared" ref="L910:O910" si="1100">L287*L906/SUM(L248:L250)</f>
        <v>5.5044629173669904E-3</v>
      </c>
      <c r="M910" s="1">
        <f t="shared" si="1100"/>
        <v>2.2380401704555522E-3</v>
      </c>
      <c r="N910" s="1">
        <f t="shared" si="1100"/>
        <v>2.7795171425300685E-3</v>
      </c>
      <c r="O910" s="1">
        <f t="shared" si="1100"/>
        <v>1.6385238708364913E-3</v>
      </c>
      <c r="P910" s="1">
        <f>P287*P906/SUM(P248:P250)</f>
        <v>1.1826169128387346E-3</v>
      </c>
      <c r="Q910" s="1">
        <f>Q287*Q906/SUM(Q248:Q250)</f>
        <v>1.9000138172717887E-3</v>
      </c>
      <c r="S910" s="3"/>
    </row>
    <row r="911" spans="2:19" x14ac:dyDescent="0.5">
      <c r="B911" s="5" t="str">
        <f t="shared" si="1076"/>
        <v>SPS1</v>
      </c>
      <c r="C911" s="5" t="str">
        <f t="shared" si="1077"/>
        <v>CH</v>
      </c>
      <c r="D911" t="s">
        <v>506</v>
      </c>
      <c r="E911" t="s">
        <v>8</v>
      </c>
      <c r="F911" s="1">
        <f t="shared" ref="F911:K911" si="1101">F290</f>
        <v>0</v>
      </c>
      <c r="G911" s="1">
        <f t="shared" si="1101"/>
        <v>0</v>
      </c>
      <c r="H911" s="1">
        <f t="shared" si="1101"/>
        <v>0</v>
      </c>
      <c r="I911" s="1">
        <f t="shared" si="1101"/>
        <v>8.7905674648688947E-4</v>
      </c>
      <c r="J911" s="1">
        <f t="shared" si="1101"/>
        <v>2.0627845762642184E-3</v>
      </c>
      <c r="K911" s="1">
        <f t="shared" si="1101"/>
        <v>9.6822382437233446E-3</v>
      </c>
      <c r="L911" s="1">
        <f t="shared" ref="L911:O911" si="1102">L290</f>
        <v>3.6064243660582418E-2</v>
      </c>
      <c r="M911" s="1">
        <f t="shared" si="1102"/>
        <v>5.1165877313523983E-2</v>
      </c>
      <c r="N911" s="1">
        <f t="shared" si="1102"/>
        <v>4.2046707181565904E-2</v>
      </c>
      <c r="O911" s="1">
        <f t="shared" si="1102"/>
        <v>1.6208876780782564E-2</v>
      </c>
      <c r="P911" s="1">
        <f>P290</f>
        <v>5.3415877726566531E-3</v>
      </c>
      <c r="Q911" s="1">
        <f>Q290</f>
        <v>1.4034693976874138E-2</v>
      </c>
      <c r="S911" s="3"/>
    </row>
    <row r="912" spans="2:19" x14ac:dyDescent="0.5">
      <c r="B912" s="5" t="str">
        <f t="shared" si="1076"/>
        <v>SPS1</v>
      </c>
      <c r="C912" s="5" t="str">
        <f t="shared" si="1077"/>
        <v>CH</v>
      </c>
      <c r="D912" t="s">
        <v>970</v>
      </c>
      <c r="E912" t="s">
        <v>8</v>
      </c>
      <c r="F912" s="1">
        <f>F905-F906</f>
        <v>5.6100016140122939</v>
      </c>
      <c r="G912" s="1">
        <f t="shared" ref="G912:K912" si="1103">G905-G906</f>
        <v>6.0767032229132489</v>
      </c>
      <c r="H912" s="1">
        <f t="shared" si="1103"/>
        <v>6.0767035312703674</v>
      </c>
      <c r="I912" s="1">
        <f t="shared" si="1103"/>
        <v>6.0767035648054648</v>
      </c>
      <c r="J912" s="1">
        <f t="shared" si="1103"/>
        <v>6.0767033945025553</v>
      </c>
      <c r="K912" s="1">
        <f t="shared" si="1103"/>
        <v>6.0767057978945651</v>
      </c>
      <c r="L912" s="1">
        <f t="shared" ref="L912:O912" si="1104">L905-L906</f>
        <v>6.4266772032736368</v>
      </c>
      <c r="M912" s="1">
        <f t="shared" si="1104"/>
        <v>6.4266957517773635</v>
      </c>
      <c r="N912" s="1">
        <f t="shared" si="1104"/>
        <v>8.410221332548101</v>
      </c>
      <c r="O912" s="1">
        <f t="shared" si="1104"/>
        <v>8.4102263583822676</v>
      </c>
      <c r="P912" s="1">
        <f>P905-P906</f>
        <v>8.4102301755979507</v>
      </c>
      <c r="Q912" s="1">
        <f>Q905-Q906</f>
        <v>8.4102387073310094</v>
      </c>
      <c r="S912" s="3"/>
    </row>
    <row r="913" spans="2:19" x14ac:dyDescent="0.5">
      <c r="B913" s="5" t="str">
        <f t="shared" si="1076"/>
        <v>SPS1</v>
      </c>
      <c r="C913" s="5" t="str">
        <f t="shared" si="1077"/>
        <v>CH</v>
      </c>
      <c r="D913" t="s">
        <v>971</v>
      </c>
      <c r="E913" t="s">
        <v>8</v>
      </c>
      <c r="F913" s="1">
        <f>F914</f>
        <v>8.5743686253774527</v>
      </c>
      <c r="G913" s="1">
        <f t="shared" ref="G913:O913" si="1105">G914</f>
        <v>9.7931963850575663</v>
      </c>
      <c r="H913" s="1">
        <f t="shared" si="1105"/>
        <v>9.5629341427921659</v>
      </c>
      <c r="I913" s="1">
        <f t="shared" si="1105"/>
        <v>7.7992172488477527</v>
      </c>
      <c r="J913" s="1">
        <f t="shared" si="1105"/>
        <v>7.7959175342861533</v>
      </c>
      <c r="K913" s="1">
        <f t="shared" si="1105"/>
        <v>6.1606576076414594</v>
      </c>
      <c r="L913" s="1">
        <f t="shared" si="1105"/>
        <v>5.2460717174921649</v>
      </c>
      <c r="M913" s="1">
        <f t="shared" si="1105"/>
        <v>0.53708890097918838</v>
      </c>
      <c r="N913" s="1">
        <f t="shared" si="1105"/>
        <v>0.52910190712336569</v>
      </c>
      <c r="O913" s="1">
        <f t="shared" si="1105"/>
        <v>0.53289843494690203</v>
      </c>
      <c r="P913" s="1">
        <f>P914</f>
        <v>0.53294871969357627</v>
      </c>
      <c r="Q913" s="1">
        <f>Q914</f>
        <v>1.6008904166383455</v>
      </c>
      <c r="S913" s="3"/>
    </row>
    <row r="914" spans="2:19" x14ac:dyDescent="0.5">
      <c r="B914" s="5" t="str">
        <f t="shared" si="1076"/>
        <v>SPS1</v>
      </c>
      <c r="C914" s="5" t="str">
        <f t="shared" si="107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8.5743686253774527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9.7931963850575663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9.5629341427921659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7.7992172488477527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7.7959175342861533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6.1606576076414594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5.2460717174921649</v>
      </c>
      <c r="M914" s="1" cm="1">
        <f t="array" ref="M914">SUMPRODUCT(([1]OUT_FinalEnergyCons!$B$4:$B$10000="Var_Fin")*1, ISNUMBER(SEARCH("WOD",[1]OUT_FinalEnergyCons!$C$4:$C$10000))*1,(ISNUMBER(SEARCH("SCOM-SHWODBR",[1]OUT_FinalEnergyCons!$A$4:$A$10000)))*1,[1]OUT_FinalEnergyCons!K$4:K$10000)</f>
        <v>0.53708890097918838</v>
      </c>
      <c r="N914" s="1" cm="1">
        <f t="array" ref="N914">SUMPRODUCT(([1]OUT_FinalEnergyCons!$B$4:$B$10000="Var_Fin")*1, ISNUMBER(SEARCH("WOD",[1]OUT_FinalEnergyCons!$C$4:$C$10000))*1,(ISNUMBER(SEARCH("SCOM-SHWODBR",[1]OUT_FinalEnergyCons!$A$4:$A$10000)))*1,[1]OUT_FinalEnergyCons!L$4:L$10000)</f>
        <v>0.52910190712336569</v>
      </c>
      <c r="O914" s="1" cm="1">
        <f t="array" ref="O914">SUMPRODUCT(([1]OUT_FinalEnergyCons!$B$4:$B$10000="Var_Fin")*1, ISNUMBER(SEARCH("WOD",[1]OUT_FinalEnergyCons!$C$4:$C$10000))*1,(ISNUMBER(SEARCH("SCOM-SHWODBR",[1]OUT_FinalEnergyCons!$A$4:$A$10000)))*1,[1]OUT_FinalEnergyCons!M$4:M$10000)</f>
        <v>0.53289843494690203</v>
      </c>
      <c r="P914" s="1" cm="1">
        <f t="array" ref="P914">SUMPRODUCT(([1]OUT_FinalEnergyCons!$B$4:$B$10000="Var_Fin")*1, ISNUMBER(SEARCH("WOD",[1]OUT_FinalEnergyCons!$C$4:$C$10000))*1,(ISNUMBER(SEARCH("SCOM-SHWODBR",[1]OUT_FinalEnergyCons!$A$4:$A$10000)))*1,[1]OUT_FinalEnergyCons!N$4:N$10000)</f>
        <v>0.53294871969357627</v>
      </c>
      <c r="Q914" s="1" cm="1">
        <f t="array" ref="Q914">SUMPRODUCT(([1]OUT_FinalEnergyCons!$B$4:$B$10000="Var_Fin")*1, ISNUMBER(SEARCH("WOD",[1]OUT_FinalEnergyCons!$C$4:$C$10000))*1,(ISNUMBER(SEARCH("SCOM-SHWODBR",[1]OUT_FinalEnergyCons!$A$4:$A$10000)))*1,[1]OUT_FinalEnergyCons!O$4:O$10000)</f>
        <v>1.6008904166383455</v>
      </c>
      <c r="S914" s="3"/>
    </row>
    <row r="915" spans="2:19" x14ac:dyDescent="0.5">
      <c r="B915" s="5" t="str">
        <f t="shared" si="1076"/>
        <v>SPS1</v>
      </c>
      <c r="C915" s="5" t="str">
        <f t="shared" si="1077"/>
        <v>CH</v>
      </c>
      <c r="D915" t="s">
        <v>973</v>
      </c>
      <c r="E915" t="s">
        <v>8</v>
      </c>
      <c r="F915" s="1">
        <f>F916</f>
        <v>2.0856344662285222</v>
      </c>
      <c r="G915" s="1">
        <f t="shared" ref="G915:O915" si="1106">G916</f>
        <v>2.4000914852613211</v>
      </c>
      <c r="H915" s="1">
        <f t="shared" si="1106"/>
        <v>2.3592338628578151</v>
      </c>
      <c r="I915" s="1">
        <f t="shared" si="1106"/>
        <v>2.3729227214079152</v>
      </c>
      <c r="J915" s="1">
        <f t="shared" si="1106"/>
        <v>2.5201346115890675</v>
      </c>
      <c r="K915" s="1">
        <f t="shared" si="1106"/>
        <v>2.7918979959427315</v>
      </c>
      <c r="L915" s="1">
        <f t="shared" si="1106"/>
        <v>2.7541613271096961</v>
      </c>
      <c r="M915" s="1">
        <f t="shared" si="1106"/>
        <v>2.4880703816406906</v>
      </c>
      <c r="N915" s="1">
        <f t="shared" si="1106"/>
        <v>2.4509966379303818</v>
      </c>
      <c r="O915" s="1">
        <f t="shared" si="1106"/>
        <v>2.4681858610008884</v>
      </c>
      <c r="P915" s="1">
        <f>P916</f>
        <v>2.4688541169460549</v>
      </c>
      <c r="Q915" s="1">
        <f>Q916</f>
        <v>2.4691542165925857</v>
      </c>
      <c r="S915" s="3"/>
    </row>
    <row r="916" spans="2:19" x14ac:dyDescent="0.5">
      <c r="B916" s="5" t="str">
        <f t="shared" si="1076"/>
        <v>SPS1</v>
      </c>
      <c r="C916" s="5" t="str">
        <f t="shared" si="107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2.0856344662285222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2.4000914852613211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2.3592338628578151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2.3729227214079152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2.5201346115890675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2.7918979959427315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2.7541613271096961</v>
      </c>
      <c r="M916" s="1" cm="1">
        <f t="array" ref="M916">SUMPRODUCT(([1]OUT_FinalEnergyCons!$B$4:$B$10000="Var_Fin")*1,ISNUMBER(SEARCH("SPLT",[1]OUT_FinalEnergyCons!$C$4:$C$10000))*1, (ISNUMBER(SEARCH("SCOM-SHPLTBR",[1]OUT_FinalEnergyCons!$A$4:$A$10000)))*1,[1]OUT_FinalEnergyCons!K$4:K$10000)</f>
        <v>2.4880703816406906</v>
      </c>
      <c r="N916" s="1" cm="1">
        <f t="array" ref="N916">SUMPRODUCT(([1]OUT_FinalEnergyCons!$B$4:$B$10000="Var_Fin")*1,ISNUMBER(SEARCH("SPLT",[1]OUT_FinalEnergyCons!$C$4:$C$10000))*1, (ISNUMBER(SEARCH("SCOM-SHPLTBR",[1]OUT_FinalEnergyCons!$A$4:$A$10000)))*1,[1]OUT_FinalEnergyCons!L$4:L$10000)</f>
        <v>2.4509966379303818</v>
      </c>
      <c r="O916" s="1" cm="1">
        <f t="array" ref="O916">SUMPRODUCT(([1]OUT_FinalEnergyCons!$B$4:$B$10000="Var_Fin")*1,ISNUMBER(SEARCH("SPLT",[1]OUT_FinalEnergyCons!$C$4:$C$10000))*1, (ISNUMBER(SEARCH("SCOM-SHPLTBR",[1]OUT_FinalEnergyCons!$A$4:$A$10000)))*1,[1]OUT_FinalEnergyCons!M$4:M$10000)</f>
        <v>2.4681858610008884</v>
      </c>
      <c r="P916" s="1" cm="1">
        <f t="array" ref="P916">SUMPRODUCT(([1]OUT_FinalEnergyCons!$B$4:$B$10000="Var_Fin")*1,ISNUMBER(SEARCH("SPLT",[1]OUT_FinalEnergyCons!$C$4:$C$10000))*1, (ISNUMBER(SEARCH("SCOM-SHPLTBR",[1]OUT_FinalEnergyCons!$A$4:$A$10000)))*1,[1]OUT_FinalEnergyCons!N$4:N$10000)</f>
        <v>2.4688541169460549</v>
      </c>
      <c r="Q916" s="1" cm="1">
        <f t="array" ref="Q916">SUMPRODUCT(([1]OUT_FinalEnergyCons!$B$4:$B$10000="Var_Fin")*1,ISNUMBER(SEARCH("SPLT",[1]OUT_FinalEnergyCons!$C$4:$C$10000))*1, (ISNUMBER(SEARCH("SCOM-SHPLTBR",[1]OUT_FinalEnergyCons!$A$4:$A$10000)))*1,[1]OUT_FinalEnergyCons!O$4:O$10000)</f>
        <v>2.4691542165925857</v>
      </c>
      <c r="S916" s="3"/>
    </row>
    <row r="917" spans="2:19" x14ac:dyDescent="0.5">
      <c r="B917" s="5" t="str">
        <f t="shared" si="1076"/>
        <v>SPS1</v>
      </c>
      <c r="C917" s="5" t="str">
        <f t="shared" si="1077"/>
        <v>CH</v>
      </c>
      <c r="D917" t="s">
        <v>975</v>
      </c>
      <c r="E917" t="s">
        <v>8</v>
      </c>
      <c r="F917" s="1">
        <f>F918</f>
        <v>0.62699361478553695</v>
      </c>
      <c r="G917" s="1">
        <f t="shared" ref="G917:O917" si="1107">G918</f>
        <v>0.68733289994314706</v>
      </c>
      <c r="H917" s="1">
        <f t="shared" si="1107"/>
        <v>0.68717486743997847</v>
      </c>
      <c r="I917" s="1">
        <f t="shared" si="1107"/>
        <v>0.68900975959858834</v>
      </c>
      <c r="J917" s="1">
        <f t="shared" si="1107"/>
        <v>1.6300243658904436</v>
      </c>
      <c r="K917" s="1">
        <f t="shared" si="1107"/>
        <v>3.3921776885754378</v>
      </c>
      <c r="L917" s="1">
        <f t="shared" si="1107"/>
        <v>3.3190895531668203</v>
      </c>
      <c r="M917" s="1">
        <f t="shared" si="1107"/>
        <v>3.5213229136869031</v>
      </c>
      <c r="N917" s="1">
        <f t="shared" si="1107"/>
        <v>3.522438862058177</v>
      </c>
      <c r="O917" s="1">
        <f t="shared" si="1107"/>
        <v>3.521762167482823</v>
      </c>
      <c r="P917" s="1">
        <f>P918</f>
        <v>3.5220911965856851</v>
      </c>
      <c r="Q917" s="1">
        <f>Q918</f>
        <v>3.3755399211540009</v>
      </c>
      <c r="S917" s="3"/>
    </row>
    <row r="918" spans="2:19" x14ac:dyDescent="0.5">
      <c r="B918" s="5" t="str">
        <f t="shared" si="1076"/>
        <v>SPS1</v>
      </c>
      <c r="C918" s="5" t="str">
        <f t="shared" si="1077"/>
        <v>CH</v>
      </c>
      <c r="D918" t="s">
        <v>976</v>
      </c>
      <c r="E918" t="s">
        <v>8</v>
      </c>
      <c r="F918" s="1">
        <f>[1]Services!B$19</f>
        <v>0.62699361478553695</v>
      </c>
      <c r="G918" s="1">
        <f>[1]Services!C$19</f>
        <v>0.68733289994314706</v>
      </c>
      <c r="H918" s="1">
        <f>[1]Services!D$19</f>
        <v>0.68717486743997847</v>
      </c>
      <c r="I918" s="1">
        <f>[1]Services!E$19</f>
        <v>0.68900975959858834</v>
      </c>
      <c r="J918" s="1">
        <f>[1]Services!F$19</f>
        <v>1.6300243658904436</v>
      </c>
      <c r="K918" s="1">
        <f>[1]Services!G$19</f>
        <v>3.3921776885754378</v>
      </c>
      <c r="L918" s="1">
        <f>[1]Services!H$19</f>
        <v>3.3190895531668203</v>
      </c>
      <c r="M918" s="1">
        <f>[1]Services!I$19</f>
        <v>3.5213229136869031</v>
      </c>
      <c r="N918" s="1">
        <f>[1]Services!J$19</f>
        <v>3.522438862058177</v>
      </c>
      <c r="O918" s="1">
        <f>[1]Services!K$19</f>
        <v>3.521762167482823</v>
      </c>
      <c r="P918" s="1">
        <f>[1]Services!L$19</f>
        <v>3.5220911965856851</v>
      </c>
      <c r="Q918" s="1">
        <f>[1]Services!M$19</f>
        <v>3.3755399211540009</v>
      </c>
      <c r="S918" s="3"/>
    </row>
    <row r="919" spans="2:19" x14ac:dyDescent="0.5">
      <c r="B919" s="5" t="str">
        <f t="shared" si="1076"/>
        <v>SPS1</v>
      </c>
      <c r="C919" s="5" t="str">
        <f t="shared" si="107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1.7480722127834441E-3</v>
      </c>
      <c r="J919" s="1">
        <f>[1]Services!F$20</f>
        <v>0.13623792831963652</v>
      </c>
      <c r="K919" s="1">
        <f>[1]Services!G$20</f>
        <v>0.86660071713820996</v>
      </c>
      <c r="L919" s="1">
        <f>[1]Services!H$20</f>
        <v>2.15875827791149</v>
      </c>
      <c r="M919" s="1">
        <f>[1]Services!I$20</f>
        <v>1.9573503910809933</v>
      </c>
      <c r="N919" s="1">
        <f>[1]Services!J$20</f>
        <v>1.8326100512420647</v>
      </c>
      <c r="O919" s="1">
        <f>[1]Services!K$20</f>
        <v>0.51792498078689719</v>
      </c>
      <c r="P919" s="1">
        <f>[1]Services!L$20</f>
        <v>0.23587543420056845</v>
      </c>
      <c r="Q919" s="1">
        <f>[1]Services!M$20</f>
        <v>0.13281585470374827</v>
      </c>
      <c r="S919" s="3"/>
    </row>
    <row r="920" spans="2:19" x14ac:dyDescent="0.5">
      <c r="B920" s="5" t="str">
        <f t="shared" si="1076"/>
        <v>SPS1</v>
      </c>
      <c r="C920" s="5" t="str">
        <f t="shared" si="107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108">G919-G921</f>
        <v>0</v>
      </c>
      <c r="H920" s="1">
        <f t="shared" si="1108"/>
        <v>0</v>
      </c>
      <c r="I920" s="1">
        <f t="shared" si="1108"/>
        <v>0</v>
      </c>
      <c r="J920" s="1">
        <f t="shared" si="1108"/>
        <v>0</v>
      </c>
      <c r="K920" s="1">
        <f t="shared" si="1108"/>
        <v>0</v>
      </c>
      <c r="L920" s="1">
        <f t="shared" ref="L920:O920" si="1109">L919-L921</f>
        <v>0</v>
      </c>
      <c r="M920" s="1">
        <f t="shared" si="1109"/>
        <v>0</v>
      </c>
      <c r="N920" s="1">
        <f t="shared" si="1109"/>
        <v>0</v>
      </c>
      <c r="O920" s="1">
        <f t="shared" si="1109"/>
        <v>0</v>
      </c>
      <c r="P920" s="1">
        <f>P919-P921</f>
        <v>0</v>
      </c>
      <c r="Q920" s="1">
        <f>Q919-Q921</f>
        <v>0</v>
      </c>
      <c r="S920" s="3"/>
    </row>
    <row r="921" spans="2:19" x14ac:dyDescent="0.5">
      <c r="B921" s="5" t="str">
        <f t="shared" si="1076"/>
        <v>SPS1</v>
      </c>
      <c r="C921" s="5" t="str">
        <f t="shared" si="1077"/>
        <v>CH</v>
      </c>
      <c r="D921" t="s">
        <v>747</v>
      </c>
      <c r="E921" t="s">
        <v>8</v>
      </c>
      <c r="F921" s="1">
        <f>F922</f>
        <v>0</v>
      </c>
      <c r="G921" s="1">
        <f t="shared" ref="G921:O921" si="1110">G922</f>
        <v>0</v>
      </c>
      <c r="H921" s="1">
        <f t="shared" si="1110"/>
        <v>0</v>
      </c>
      <c r="I921" s="1">
        <f t="shared" si="1110"/>
        <v>1.7480722127834441E-3</v>
      </c>
      <c r="J921" s="1">
        <f t="shared" si="1110"/>
        <v>0.13623792831963652</v>
      </c>
      <c r="K921" s="1">
        <f t="shared" si="1110"/>
        <v>0.86660071713820996</v>
      </c>
      <c r="L921" s="1">
        <f t="shared" si="1110"/>
        <v>2.15875827791149</v>
      </c>
      <c r="M921" s="1">
        <f t="shared" si="1110"/>
        <v>1.9573503910809933</v>
      </c>
      <c r="N921" s="1">
        <f t="shared" si="1110"/>
        <v>1.8326100512420647</v>
      </c>
      <c r="O921" s="1">
        <f t="shared" si="1110"/>
        <v>0.51792498078689719</v>
      </c>
      <c r="P921" s="1">
        <f>P922</f>
        <v>0.23587543420056845</v>
      </c>
      <c r="Q921" s="1">
        <f>Q922</f>
        <v>0.13281585470374827</v>
      </c>
      <c r="S921" s="3"/>
    </row>
    <row r="922" spans="2:19" x14ac:dyDescent="0.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1.7480722127834441E-3</v>
      </c>
      <c r="J922" s="1">
        <f>[1]Services!F$20</f>
        <v>0.13623792831963652</v>
      </c>
      <c r="K922" s="1">
        <f>[1]Services!G$20</f>
        <v>0.86660071713820996</v>
      </c>
      <c r="L922" s="1">
        <f>[1]Services!H$20</f>
        <v>2.15875827791149</v>
      </c>
      <c r="M922" s="1">
        <f>[1]Services!I$20</f>
        <v>1.9573503910809933</v>
      </c>
      <c r="N922" s="1">
        <f>[1]Services!J$20</f>
        <v>1.8326100512420647</v>
      </c>
      <c r="O922" s="1">
        <f>[1]Services!K$20</f>
        <v>0.51792498078689719</v>
      </c>
      <c r="P922" s="1">
        <f>[1]Services!L$20</f>
        <v>0.23587543420056845</v>
      </c>
      <c r="Q922" s="1">
        <f>[1]Services!M$20</f>
        <v>0.13281585470374827</v>
      </c>
      <c r="S922" s="3"/>
    </row>
    <row r="923" spans="2:19" x14ac:dyDescent="0.5">
      <c r="B923" s="5" t="str">
        <f t="shared" si="1076"/>
        <v>SPS1</v>
      </c>
      <c r="C923" s="5" t="str">
        <f t="shared" si="1077"/>
        <v>CH</v>
      </c>
      <c r="D923" t="s">
        <v>979</v>
      </c>
      <c r="E923" t="s">
        <v>8</v>
      </c>
      <c r="F923" s="1">
        <f>F924</f>
        <v>2.9295804692247334</v>
      </c>
      <c r="G923" s="1">
        <f t="shared" ref="G923:O923" si="1111">G924</f>
        <v>3.1924491728095821</v>
      </c>
      <c r="H923" s="1">
        <f t="shared" si="1111"/>
        <v>3.364286139428744</v>
      </c>
      <c r="I923" s="1">
        <f t="shared" si="1111"/>
        <v>3.6707431478339632</v>
      </c>
      <c r="J923" s="1">
        <f t="shared" si="1111"/>
        <v>3.7144528225048909</v>
      </c>
      <c r="K923" s="1">
        <f t="shared" si="1111"/>
        <v>3.7557312805954051</v>
      </c>
      <c r="L923" s="1">
        <f t="shared" si="1111"/>
        <v>3.7947829812064424</v>
      </c>
      <c r="M923" s="1">
        <f t="shared" si="1111"/>
        <v>7.6536059210283867</v>
      </c>
      <c r="N923" s="1">
        <f t="shared" si="1111"/>
        <v>7.65360764359784</v>
      </c>
      <c r="O923" s="1">
        <f t="shared" si="1111"/>
        <v>7.6536101316888629</v>
      </c>
      <c r="P923" s="1">
        <f>P924</f>
        <v>7.653612888966995</v>
      </c>
      <c r="Q923" s="1">
        <f>Q924</f>
        <v>7.9133057015681354</v>
      </c>
      <c r="S923" s="3"/>
    </row>
    <row r="924" spans="2:19" x14ac:dyDescent="0.5">
      <c r="B924" s="5" t="str">
        <f t="shared" si="1076"/>
        <v>SPS1</v>
      </c>
      <c r="C924" s="5" t="str">
        <f t="shared" si="1077"/>
        <v>CH</v>
      </c>
      <c r="D924" t="s">
        <v>980</v>
      </c>
      <c r="E924" t="s">
        <v>8</v>
      </c>
      <c r="F924" s="1">
        <f>[1]Services!B$21-F925</f>
        <v>2.9295804692247334</v>
      </c>
      <c r="G924" s="1">
        <f>[1]Services!C$21-G925</f>
        <v>3.1924491728095821</v>
      </c>
      <c r="H924" s="1">
        <f>[1]Services!D$21-H925</f>
        <v>3.364286139428744</v>
      </c>
      <c r="I924" s="1">
        <f>[1]Services!E$21-I925</f>
        <v>3.6707431478339632</v>
      </c>
      <c r="J924" s="1">
        <f>[1]Services!F$21-J925</f>
        <v>3.7144528225048909</v>
      </c>
      <c r="K924" s="1">
        <f>[1]Services!G$21-K925</f>
        <v>3.7557312805954051</v>
      </c>
      <c r="L924" s="1">
        <f>[1]Services!H$21-L925</f>
        <v>3.7947829812064424</v>
      </c>
      <c r="M924" s="1">
        <f>[1]Services!I$21-M925</f>
        <v>7.6536059210283867</v>
      </c>
      <c r="N924" s="1">
        <f>[1]Services!J$21-N925</f>
        <v>7.65360764359784</v>
      </c>
      <c r="O924" s="1">
        <f>[1]Services!K$21-O925</f>
        <v>7.6536101316888629</v>
      </c>
      <c r="P924" s="1">
        <f>[1]Services!L$21-P925</f>
        <v>7.653612888966995</v>
      </c>
      <c r="Q924" s="1">
        <f>[1]Services!M$21-Q925</f>
        <v>7.9133057015681354</v>
      </c>
      <c r="S924" s="3"/>
    </row>
    <row r="925" spans="2:19" x14ac:dyDescent="0.5">
      <c r="B925" s="5" t="str">
        <f t="shared" ref="B925" si="1112">B924</f>
        <v>SPS1</v>
      </c>
      <c r="C925" s="5" t="str">
        <f t="shared" ref="C925" si="1113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7.7146474207387785E-4</v>
      </c>
      <c r="I925" s="1">
        <f>[1]Services!E$50-I896</f>
        <v>7.8330723147241438E-4</v>
      </c>
      <c r="J925" s="1">
        <f>[1]Services!F$50-J896</f>
        <v>0.21137570097791067</v>
      </c>
      <c r="K925" s="1">
        <f>[1]Services!G$50-K896</f>
        <v>0.44929054353890169</v>
      </c>
      <c r="L925" s="1">
        <f>[1]Services!H$50-L896</f>
        <v>0.71614615519295333</v>
      </c>
      <c r="M925" s="1">
        <f>[1]Services!I$50-M896</f>
        <v>0.50334318679670176</v>
      </c>
      <c r="N925" s="1">
        <f>[1]Services!J$50-N896</f>
        <v>0.9929078274462112</v>
      </c>
      <c r="O925" s="1">
        <f>[1]Services!K$50-O896</f>
        <v>1.5203140614684243</v>
      </c>
      <c r="P925" s="1">
        <f>[1]Services!L$50-P896</f>
        <v>2.0884729180503481</v>
      </c>
      <c r="Q925" s="1">
        <f>[1]Services!M$50-Q896</f>
        <v>2.5026936552918189</v>
      </c>
      <c r="S925" s="3"/>
    </row>
    <row r="926" spans="2:19" x14ac:dyDescent="0.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73.238324137687258</v>
      </c>
      <c r="G926" s="17">
        <f>[1]Services!C$59</f>
        <v>78.633011526259935</v>
      </c>
      <c r="H926" s="17">
        <f>[1]Services!D$59</f>
        <v>79.116323078190817</v>
      </c>
      <c r="I926" s="17">
        <f>[1]Services!E$59</f>
        <v>77.71487646949285</v>
      </c>
      <c r="J926" s="17">
        <f>[1]Services!F$59</f>
        <v>75.767002775860846</v>
      </c>
      <c r="K926" s="17">
        <f>[1]Services!G$59</f>
        <v>74.907958727317663</v>
      </c>
      <c r="L926" s="17">
        <f>[1]Services!H$59</f>
        <v>72.664172500445318</v>
      </c>
      <c r="M926" s="17">
        <f>[1]Services!I$59</f>
        <v>69.956978887009484</v>
      </c>
      <c r="N926" s="17">
        <f>[1]Services!J$59</f>
        <v>69.197708561152837</v>
      </c>
      <c r="O926" s="17">
        <f>[1]Services!K$59</f>
        <v>69.603097828447076</v>
      </c>
      <c r="P926" s="17">
        <f>[1]Services!L$59</f>
        <v>69.621075741739674</v>
      </c>
      <c r="Q926" s="17">
        <f>[1]Services!M$59</f>
        <v>70.213123548658245</v>
      </c>
      <c r="S926" s="3"/>
    </row>
    <row r="927" spans="2:19" x14ac:dyDescent="0.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63.650018424827472</v>
      </c>
      <c r="G927" s="1">
        <f t="shared" ref="G927:K927" si="1114">SUM(G928:G930)</f>
        <v>63.602628252309017</v>
      </c>
      <c r="H927" s="1">
        <f t="shared" si="1114"/>
        <v>68.651765725713418</v>
      </c>
      <c r="I927" s="1">
        <f t="shared" si="1114"/>
        <v>69.107981933842709</v>
      </c>
      <c r="J927" s="1">
        <f t="shared" si="1114"/>
        <v>69.043307105333142</v>
      </c>
      <c r="K927" s="1">
        <f t="shared" si="1114"/>
        <v>69.168309358770898</v>
      </c>
      <c r="L927" s="1">
        <f t="shared" ref="L927:O927" si="1115">SUM(L928:L930)</f>
        <v>68.356158059480535</v>
      </c>
      <c r="M927" s="1">
        <f t="shared" si="1115"/>
        <v>73.584222519750341</v>
      </c>
      <c r="N927" s="1">
        <f t="shared" si="1115"/>
        <v>74.642443187253704</v>
      </c>
      <c r="O927" s="1">
        <f t="shared" si="1115"/>
        <v>74.591489733789317</v>
      </c>
      <c r="P927" s="1">
        <f>SUM(P928:P930)</f>
        <v>75.390331495903538</v>
      </c>
      <c r="Q927" s="1">
        <f>SUM(Q928:Q930)</f>
        <v>76.517185311883864</v>
      </c>
      <c r="S927" s="3"/>
    </row>
    <row r="928" spans="2:19" x14ac:dyDescent="0.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2.3940358946790568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0.28308393675751164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2.286463914272852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1.8375786566031511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1.5502870100467954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1.3096584424828746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1.0200699868046277</v>
      </c>
      <c r="M928" s="1" cm="1">
        <f t="array" ref="M928">SUMPRODUCT(([1]OUT_FinalEnergyCons!$B$4:$B$10000="Var_FOut")*1, ISNUMBER(SEARCH("SCOM-SHAELC",[1]OUT_FinalEnergyCons!$C$4:$C$10000))*1, (ISNUMBER(SEARCH("SCOM-SHELCBR",[1]OUT_FinalEnergyCons!$A$4:$A$10000)))*1,[1]OUT_FinalEnergyCons!K$4:K$10000)</f>
        <v>1.5838532540565409</v>
      </c>
      <c r="N928" s="1" cm="1">
        <f t="array" ref="N928">SUMPRODUCT(([1]OUT_FinalEnergyCons!$B$4:$B$10000="Var_FOut")*1, ISNUMBER(SEARCH("SCOM-SHAELC",[1]OUT_FinalEnergyCons!$C$4:$C$10000))*1, (ISNUMBER(SEARCH("SCOM-SHELCBR",[1]OUT_FinalEnergyCons!$A$4:$A$10000)))*1,[1]OUT_FinalEnergyCons!L$4:L$10000)</f>
        <v>1.5944318330255665</v>
      </c>
      <c r="O928" s="1" cm="1">
        <f t="array" ref="O928">SUMPRODUCT(([1]OUT_FinalEnergyCons!$B$4:$B$10000="Var_FOut")*1, ISNUMBER(SEARCH("SCOM-SHAELC",[1]OUT_FinalEnergyCons!$C$4:$C$10000))*1, (ISNUMBER(SEARCH("SCOM-SHELCBR",[1]OUT_FinalEnergyCons!$A$4:$A$10000)))*1,[1]OUT_FinalEnergyCons!M$4:M$10000)</f>
        <v>0.68847823852722356</v>
      </c>
      <c r="P928" s="1" cm="1">
        <f t="array" ref="P928">SUMPRODUCT(([1]OUT_FinalEnergyCons!$B$4:$B$10000="Var_FOut")*1, ISNUMBER(SEARCH("SCOM-SHAELC",[1]OUT_FinalEnergyCons!$C$4:$C$10000))*1, (ISNUMBER(SEARCH("SCOM-SHELCBR",[1]OUT_FinalEnergyCons!$A$4:$A$10000)))*1,[1]OUT_FinalEnergyCons!N$4:N$10000)</f>
        <v>0.67724308917538845</v>
      </c>
      <c r="Q928" s="1" cm="1">
        <f t="array" ref="Q928">SUMPRODUCT(([1]OUT_FinalEnergyCons!$B$4:$B$10000="Var_FOut")*1, ISNUMBER(SEARCH("SCOM-SHAELC",[1]OUT_FinalEnergyCons!$C$4:$C$10000))*1, (ISNUMBER(SEARCH("SCOM-SHELCBR",[1]OUT_FinalEnergyCons!$A$4:$A$10000)))*1,[1]OUT_FinalEnergyCons!O$4:O$10000)</f>
        <v>0.67727157903797675</v>
      </c>
      <c r="S928" s="3"/>
    </row>
    <row r="929" spans="2:19" x14ac:dyDescent="0.5">
      <c r="B929" s="5" t="str">
        <f t="shared" ref="B929:B932" si="1116">B928</f>
        <v>SPS1</v>
      </c>
      <c r="C929" s="5" t="str">
        <f t="shared" ref="C929:C932" si="1117">C928</f>
        <v>CH</v>
      </c>
      <c r="D929" t="s">
        <v>729</v>
      </c>
      <c r="E929" t="s">
        <v>8</v>
      </c>
      <c r="F929" s="1">
        <f>[1]Services!B$47</f>
        <v>4.2612079552359763</v>
      </c>
      <c r="G929" s="1">
        <f>[1]Services!C$47</f>
        <v>4.61764969638529</v>
      </c>
      <c r="H929" s="1">
        <f>[1]Services!D$47</f>
        <v>4.8270192435282011</v>
      </c>
      <c r="I929" s="1">
        <f>[1]Services!E$47</f>
        <v>5.2002194594314446</v>
      </c>
      <c r="J929" s="1">
        <f>[1]Services!F$47</f>
        <v>5.2002339515068474</v>
      </c>
      <c r="K929" s="1">
        <f>[1]Services!G$47</f>
        <v>5.2002433115936402</v>
      </c>
      <c r="L929" s="1">
        <f>[1]Services!H$47</f>
        <v>5.2002581594310513</v>
      </c>
      <c r="M929" s="1">
        <f>[1]Services!I$47</f>
        <v>10.387036607109955</v>
      </c>
      <c r="N929" s="1">
        <f>[1]Services!J$47</f>
        <v>10.387038944882779</v>
      </c>
      <c r="O929" s="1">
        <f>[1]Services!K$47</f>
        <v>10.387042321577741</v>
      </c>
      <c r="P929" s="1">
        <f>[1]Services!L$47</f>
        <v>10.387046063598063</v>
      </c>
      <c r="Q929" s="1">
        <f>[1]Services!M$47</f>
        <v>10.739486309271044</v>
      </c>
      <c r="S929" s="3"/>
    </row>
    <row r="930" spans="2:19" x14ac:dyDescent="0.5">
      <c r="B930" s="5" t="str">
        <f t="shared" si="1116"/>
        <v>SPS1</v>
      </c>
      <c r="C930" s="5" t="str">
        <f t="shared" si="1117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58.701894619166218</v>
      </c>
      <c r="H930" s="1">
        <f>[1]Services!D$3-([1]Services!D$6-[1]Services!D$58)</f>
        <v>61.538282567912361</v>
      </c>
      <c r="I930" s="1">
        <f>[1]Services!E$3-([1]Services!E$6-[1]Services!E$58)</f>
        <v>62.070183817808115</v>
      </c>
      <c r="J930" s="1">
        <f>[1]Services!F$3-([1]Services!F$6-[1]Services!F$58)</f>
        <v>62.292786143779502</v>
      </c>
      <c r="K930" s="1">
        <f>[1]Services!G$3-([1]Services!G$6-[1]Services!G$58)</f>
        <v>62.658407604694389</v>
      </c>
      <c r="L930" s="1">
        <f>[1]Services!H$3-([1]Services!H$6-[1]Services!H$58)</f>
        <v>62.135829913244855</v>
      </c>
      <c r="M930" s="1">
        <f>[1]Services!I$3-([1]Services!I$6-[1]Services!I$58)</f>
        <v>61.61333265858385</v>
      </c>
      <c r="N930" s="1">
        <f>[1]Services!J$3-([1]Services!J$6-[1]Services!J$58)</f>
        <v>62.660972409345355</v>
      </c>
      <c r="O930" s="1">
        <f>[1]Services!K$3-([1]Services!K$6-[1]Services!K$58)</f>
        <v>63.515969173684347</v>
      </c>
      <c r="P930" s="1">
        <f>[1]Services!L$3-([1]Services!L$6-[1]Services!L$58)</f>
        <v>64.326042343130084</v>
      </c>
      <c r="Q930" s="1">
        <f>[1]Services!M$3-([1]Services!M$6-[1]Services!M$58)</f>
        <v>65.100427423574843</v>
      </c>
      <c r="S930" s="3"/>
    </row>
    <row r="931" spans="2:19" x14ac:dyDescent="0.5">
      <c r="B931" s="5" t="str">
        <f t="shared" si="1116"/>
        <v>SPS1</v>
      </c>
      <c r="C931" s="5" t="str">
        <f t="shared" si="1117"/>
        <v>CH</v>
      </c>
      <c r="D931" t="s">
        <v>1040</v>
      </c>
      <c r="E931" t="s">
        <v>8</v>
      </c>
      <c r="F931" s="1">
        <f>F932</f>
        <v>24.843070567758563</v>
      </c>
      <c r="G931" s="1">
        <f t="shared" ref="G931:O931" si="1118">G932</f>
        <v>21.915802113645906</v>
      </c>
      <c r="H931" s="1">
        <f t="shared" si="1118"/>
        <v>20.551276898128293</v>
      </c>
      <c r="I931" s="1">
        <f t="shared" si="1118"/>
        <v>16.184349393009683</v>
      </c>
      <c r="J931" s="1">
        <f t="shared" si="1118"/>
        <v>12.410197191515476</v>
      </c>
      <c r="K931" s="1">
        <f t="shared" si="1118"/>
        <v>8.8512409176064324</v>
      </c>
      <c r="L931" s="1">
        <f t="shared" si="1118"/>
        <v>5.1921437288958234</v>
      </c>
      <c r="M931" s="1">
        <f t="shared" si="1118"/>
        <v>2.9999702747827257</v>
      </c>
      <c r="N931" s="1">
        <f t="shared" si="1118"/>
        <v>0.72344118608725883</v>
      </c>
      <c r="O931" s="1">
        <f t="shared" si="1118"/>
        <v>0.72847605959468698</v>
      </c>
      <c r="P931" s="1">
        <f>P932</f>
        <v>0.72867068340237773</v>
      </c>
      <c r="Q931" s="1">
        <f>Q932</f>
        <v>0.72876598908457257</v>
      </c>
      <c r="S931" s="3"/>
    </row>
    <row r="932" spans="2:19" x14ac:dyDescent="0.5">
      <c r="B932" s="5" t="str">
        <f t="shared" si="1116"/>
        <v>SPS1</v>
      </c>
      <c r="C932" s="5" t="str">
        <f t="shared" si="1117"/>
        <v>CH</v>
      </c>
      <c r="D932" t="s">
        <v>1041</v>
      </c>
      <c r="E932" t="s">
        <v>8</v>
      </c>
      <c r="F932" s="1">
        <f>[1]Services!B$48</f>
        <v>24.843070567758563</v>
      </c>
      <c r="G932" s="1">
        <f>[1]Services!C$48</f>
        <v>21.915802113645906</v>
      </c>
      <c r="H932" s="1">
        <f>[1]Services!D$48</f>
        <v>20.551276898128293</v>
      </c>
      <c r="I932" s="1">
        <f>[1]Services!E$48</f>
        <v>16.184349393009683</v>
      </c>
      <c r="J932" s="1">
        <f>[1]Services!F$48</f>
        <v>12.410197191515476</v>
      </c>
      <c r="K932" s="1">
        <f>[1]Services!G$48</f>
        <v>8.8512409176064324</v>
      </c>
      <c r="L932" s="1">
        <f>[1]Services!H$48</f>
        <v>5.1921437288958234</v>
      </c>
      <c r="M932" s="1">
        <f>[1]Services!I$48</f>
        <v>2.9999702747827257</v>
      </c>
      <c r="N932" s="1">
        <f>[1]Services!J$48</f>
        <v>0.72344118608725883</v>
      </c>
      <c r="O932" s="1">
        <f>[1]Services!K$48</f>
        <v>0.72847605959468698</v>
      </c>
      <c r="P932" s="1">
        <f>[1]Services!L$48</f>
        <v>0.72867068340237773</v>
      </c>
      <c r="Q932" s="1">
        <f>[1]Services!M$48</f>
        <v>0.72876598908457257</v>
      </c>
      <c r="S932" s="3"/>
    </row>
    <row r="933" spans="2:19" x14ac:dyDescent="0.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25.412781786872809</v>
      </c>
      <c r="G933" s="1">
        <f t="shared" ref="G933:K933" si="1119">SUM(G934:G936)</f>
        <v>26.667686810465575</v>
      </c>
      <c r="H933" s="1">
        <f t="shared" si="1119"/>
        <v>25.938472981152813</v>
      </c>
      <c r="I933" s="1">
        <f t="shared" si="1119"/>
        <v>24.781923414727661</v>
      </c>
      <c r="J933" s="1">
        <f t="shared" si="1119"/>
        <v>25.724846696097334</v>
      </c>
      <c r="K933" s="1">
        <f t="shared" si="1119"/>
        <v>28.137711290605832</v>
      </c>
      <c r="L933" s="1">
        <f t="shared" ref="L933:O933" si="1120">SUM(L934:L936)</f>
        <v>28.156815388932085</v>
      </c>
      <c r="M933" s="1">
        <f t="shared" si="1120"/>
        <v>17.800340852611328</v>
      </c>
      <c r="N933" s="1">
        <f t="shared" si="1120"/>
        <v>17.09713454430895</v>
      </c>
      <c r="O933" s="1">
        <f t="shared" si="1120"/>
        <v>19.386570914856662</v>
      </c>
      <c r="P933" s="1">
        <f>SUM(P934:P936)</f>
        <v>19.896410832061438</v>
      </c>
      <c r="Q933" s="1">
        <f>SUM(Q934:Q936)</f>
        <v>19.897251577751668</v>
      </c>
      <c r="S933" s="3"/>
    </row>
    <row r="934" spans="2:19" x14ac:dyDescent="0.5">
      <c r="B934" s="5" t="str">
        <f t="shared" ref="B934:B953" si="1121">B933</f>
        <v>SPS1</v>
      </c>
      <c r="C934" s="5" t="str">
        <f t="shared" ref="C934:C953" si="1122">C933</f>
        <v>CH</v>
      </c>
      <c r="D934" t="s">
        <v>1043</v>
      </c>
      <c r="E934" t="s">
        <v>8</v>
      </c>
      <c r="F934" s="1">
        <f>[1]Services!B$49</f>
        <v>24.189714995476411</v>
      </c>
      <c r="G934" s="1">
        <f>[1]Services!C$49</f>
        <v>25.326920269612991</v>
      </c>
      <c r="H934" s="1">
        <f>[1]Services!D$49</f>
        <v>24.58002929175187</v>
      </c>
      <c r="I934" s="1">
        <f>[1]Services!E$49</f>
        <v>23.457618594567212</v>
      </c>
      <c r="J934" s="1">
        <f>[1]Services!F$49</f>
        <v>23.412420395960375</v>
      </c>
      <c r="K934" s="1">
        <f>[1]Services!G$49</f>
        <v>23.827003755228553</v>
      </c>
      <c r="L934" s="1">
        <f>[1]Services!H$49</f>
        <v>21.445446470516103</v>
      </c>
      <c r="M934" s="1">
        <f>[1]Services!I$49</f>
        <v>7.4682994740466535</v>
      </c>
      <c r="N934" s="1">
        <f>[1]Services!J$49</f>
        <v>3.9650661371205698</v>
      </c>
      <c r="O934" s="1">
        <f>[1]Services!K$49</f>
        <v>2.044753907149031</v>
      </c>
      <c r="P934" s="1">
        <f>[1]Services!L$49</f>
        <v>1.0339989866141137</v>
      </c>
      <c r="Q934" s="1">
        <f>[1]Services!M$49</f>
        <v>0.29677013055380924</v>
      </c>
      <c r="S934" s="3"/>
    </row>
    <row r="935" spans="2:19" x14ac:dyDescent="0.5">
      <c r="B935" s="5" t="str">
        <f t="shared" ref="B935" si="1123">B934</f>
        <v>SPS1</v>
      </c>
      <c r="C935" s="5" t="str">
        <f t="shared" ref="C935" si="1124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1.5586736625574271E-3</v>
      </c>
      <c r="I935" s="1">
        <f>[1]Services!E$50</f>
        <v>1.5364872617343521E-3</v>
      </c>
      <c r="J935" s="1">
        <f>[1]Services!F$50</f>
        <v>0.40353542913964768</v>
      </c>
      <c r="K935" s="1">
        <f>[1]Services!G$50</f>
        <v>0.83660997762416223</v>
      </c>
      <c r="L935" s="1">
        <f>[1]Services!H$50</f>
        <v>1.303151200433079</v>
      </c>
      <c r="M935" s="1">
        <f>[1]Services!I$50</f>
        <v>0.89658005148162545</v>
      </c>
      <c r="N935" s="1">
        <f>[1]Services!J$50</f>
        <v>1.7686170676385622</v>
      </c>
      <c r="O935" s="1">
        <f>[1]Services!K$50</f>
        <v>2.7080594219906322</v>
      </c>
      <c r="P935" s="1">
        <f>[1]Services!L$50</f>
        <v>3.7200923852771788</v>
      </c>
      <c r="Q935" s="1">
        <f>[1]Services!M$50</f>
        <v>4.457923073488554</v>
      </c>
      <c r="S935" s="3"/>
    </row>
    <row r="936" spans="2:19" x14ac:dyDescent="0.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1.2230667913964</v>
      </c>
      <c r="G936" s="1">
        <f>[1]Services!C$56</f>
        <v>1.340766540852586</v>
      </c>
      <c r="H936" s="1">
        <f>[1]Services!D$56</f>
        <v>1.3568850157383832</v>
      </c>
      <c r="I936" s="1">
        <f>[1]Services!E$56</f>
        <v>1.3227683328987132</v>
      </c>
      <c r="J936" s="1">
        <f>[1]Services!F$56</f>
        <v>1.9088908709973098</v>
      </c>
      <c r="K936" s="1">
        <f>[1]Services!G$56</f>
        <v>3.4740975577531157</v>
      </c>
      <c r="L936" s="1">
        <f>[1]Services!H$56</f>
        <v>5.408217717982903</v>
      </c>
      <c r="M936" s="1">
        <f>[1]Services!I$56</f>
        <v>9.435461327083047</v>
      </c>
      <c r="N936" s="1">
        <f>[1]Services!J$56</f>
        <v>11.363451339549821</v>
      </c>
      <c r="O936" s="1">
        <f>[1]Services!K$56</f>
        <v>14.633757585717001</v>
      </c>
      <c r="P936" s="1">
        <f>[1]Services!L$56</f>
        <v>15.142319460170146</v>
      </c>
      <c r="Q936" s="1">
        <f>[1]Services!M$56</f>
        <v>15.142558373709306</v>
      </c>
      <c r="S936" s="3"/>
    </row>
    <row r="937" spans="2:19" x14ac:dyDescent="0.5">
      <c r="B937" s="5" t="str">
        <f t="shared" si="1121"/>
        <v>SPS1</v>
      </c>
      <c r="C937" s="5" t="str">
        <f t="shared" si="1122"/>
        <v>CH</v>
      </c>
      <c r="D937" t="s">
        <v>983</v>
      </c>
      <c r="E937" t="s">
        <v>8</v>
      </c>
      <c r="F937" s="1">
        <f>F938+F944</f>
        <v>7.649617888477878</v>
      </c>
      <c r="G937" s="1">
        <f t="shared" ref="G937:K937" si="1125">G938+G944</f>
        <v>8.2859969214854381</v>
      </c>
      <c r="H937" s="1">
        <f t="shared" si="1125"/>
        <v>8.8537916602533961</v>
      </c>
      <c r="I937" s="1">
        <f t="shared" si="1125"/>
        <v>8.8539521390594107</v>
      </c>
      <c r="J937" s="1">
        <f t="shared" si="1125"/>
        <v>8.8588540456245717</v>
      </c>
      <c r="K937" s="1">
        <f t="shared" si="1125"/>
        <v>8.0438681147898823</v>
      </c>
      <c r="L937" s="1">
        <f t="shared" ref="L937:O937" si="1126">L938+L944</f>
        <v>8.3900055751764135</v>
      </c>
      <c r="M937" s="1">
        <f t="shared" si="1126"/>
        <v>8.3483631005379841</v>
      </c>
      <c r="N937" s="1">
        <f t="shared" si="1126"/>
        <v>10.620485877757165</v>
      </c>
      <c r="O937" s="1">
        <f t="shared" si="1126"/>
        <v>10.778343153494205</v>
      </c>
      <c r="P937" s="1">
        <f>P938+P944</f>
        <v>10.54040804387779</v>
      </c>
      <c r="Q937" s="1">
        <f>Q938+Q944</f>
        <v>10.246407903072299</v>
      </c>
      <c r="S937" s="3"/>
    </row>
    <row r="938" spans="2:19" x14ac:dyDescent="0.5">
      <c r="B938" s="5" t="str">
        <f t="shared" si="1121"/>
        <v>SPS1</v>
      </c>
      <c r="C938" s="5" t="str">
        <f t="shared" si="1122"/>
        <v>CH</v>
      </c>
      <c r="D938" t="s">
        <v>984</v>
      </c>
      <c r="E938" t="s">
        <v>8</v>
      </c>
      <c r="F938" s="1">
        <f>[1]Services!B$51</f>
        <v>2.0957162906057061</v>
      </c>
      <c r="G938" s="1">
        <f>[1]Services!C$51</f>
        <v>2.2700607308013332</v>
      </c>
      <c r="H938" s="1">
        <f>[1]Services!D$51</f>
        <v>2.8378551642957444</v>
      </c>
      <c r="I938" s="1">
        <f>[1]Services!E$51</f>
        <v>2.8380156099019929</v>
      </c>
      <c r="J938" s="1">
        <f>[1]Services!F$51</f>
        <v>2.8429176850670488</v>
      </c>
      <c r="K938" s="1">
        <f>[1]Services!G$51</f>
        <v>2.0279293748742733</v>
      </c>
      <c r="L938" s="1">
        <f>[1]Services!H$51</f>
        <v>2.0275951439355122</v>
      </c>
      <c r="M938" s="1">
        <f>[1]Services!I$51</f>
        <v>1.9859343062783894</v>
      </c>
      <c r="N938" s="1">
        <f>[1]Services!J$51</f>
        <v>2.2943667585345415</v>
      </c>
      <c r="O938" s="1">
        <f>[1]Services!K$51</f>
        <v>2.4522190586957606</v>
      </c>
      <c r="P938" s="1">
        <f>[1]Services!L$51</f>
        <v>2.2142801700358197</v>
      </c>
      <c r="Q938" s="1">
        <f>[1]Services!M$51</f>
        <v>1.9202715828145978</v>
      </c>
      <c r="S938" s="3"/>
    </row>
    <row r="939" spans="2:19" x14ac:dyDescent="0.5">
      <c r="B939" s="5" t="str">
        <f t="shared" si="1121"/>
        <v>SPS1</v>
      </c>
      <c r="C939" s="5" t="str">
        <f t="shared" si="1122"/>
        <v>CH</v>
      </c>
      <c r="D939" t="s">
        <v>692</v>
      </c>
      <c r="E939" t="s">
        <v>8</v>
      </c>
      <c r="F939" s="1">
        <f>IFERROR(F907/F$906,0)*F$938</f>
        <v>1.4100636922367604</v>
      </c>
      <c r="G939" s="1">
        <f t="shared" ref="G939:K939" si="1127">IFERROR(G907/G$906,0)*G$938</f>
        <v>1.5386967064648021</v>
      </c>
      <c r="H939" s="1">
        <f t="shared" si="1127"/>
        <v>1.4200082160125203</v>
      </c>
      <c r="I939" s="1">
        <f t="shared" si="1127"/>
        <v>1.2282924695093687</v>
      </c>
      <c r="J939" s="1">
        <f t="shared" si="1127"/>
        <v>1.3088965633718594</v>
      </c>
      <c r="K939" s="1">
        <f t="shared" si="1127"/>
        <v>1.0639379999987486</v>
      </c>
      <c r="L939" s="1">
        <f t="shared" ref="L939:O939" si="1128">IFERROR(L907/L$906,0)*L$938</f>
        <v>1.9864421244233423</v>
      </c>
      <c r="M939" s="1">
        <f t="shared" si="1128"/>
        <v>1.9330644279692497</v>
      </c>
      <c r="N939" s="1">
        <f t="shared" si="1128"/>
        <v>2.2481088093555175</v>
      </c>
      <c r="O939" s="1">
        <f t="shared" si="1128"/>
        <v>2.4329823581672376</v>
      </c>
      <c r="P939" s="1">
        <f t="shared" ref="P939:Q943" si="1129">IFERROR(P907/P$906,0)*P$938</f>
        <v>2.2067755866414251</v>
      </c>
      <c r="Q939" s="1">
        <f t="shared" si="1129"/>
        <v>1.9023941873781778</v>
      </c>
      <c r="S939" s="3"/>
    </row>
    <row r="940" spans="2:19" x14ac:dyDescent="0.5">
      <c r="B940" s="5" t="str">
        <f t="shared" si="1121"/>
        <v>SPS1</v>
      </c>
      <c r="C940" s="5" t="str">
        <f t="shared" si="1122"/>
        <v>CH</v>
      </c>
      <c r="D940" t="s">
        <v>693</v>
      </c>
      <c r="E940" t="s">
        <v>8</v>
      </c>
      <c r="F940" s="1">
        <f>IFERROR(F908/F$906,0)*F$938</f>
        <v>0.68565259836894554</v>
      </c>
      <c r="G940" s="1">
        <f t="shared" ref="G940:K943" si="1130">IFERROR(G908/G$906,0)*G$938</f>
        <v>0.73136402433653114</v>
      </c>
      <c r="H940" s="1">
        <f t="shared" si="1130"/>
        <v>1.4178469482832241</v>
      </c>
      <c r="I940" s="1">
        <f t="shared" si="1130"/>
        <v>1.60794886403515</v>
      </c>
      <c r="J940" s="1">
        <f t="shared" si="1130"/>
        <v>1.5311152531717762</v>
      </c>
      <c r="K940" s="1">
        <f t="shared" si="1130"/>
        <v>0.94667477801476485</v>
      </c>
      <c r="L940" s="1">
        <f t="shared" ref="L940:O940" si="1131">IFERROR(L908/L$906,0)*L$938</f>
        <v>0</v>
      </c>
      <c r="M940" s="1">
        <f t="shared" si="1131"/>
        <v>0</v>
      </c>
      <c r="N940" s="1">
        <f t="shared" si="1131"/>
        <v>1.7243000299573073E-3</v>
      </c>
      <c r="O940" s="1">
        <f t="shared" si="1131"/>
        <v>1.3435505335518698E-3</v>
      </c>
      <c r="P940" s="1">
        <f t="shared" si="1129"/>
        <v>8.9934086116792993E-4</v>
      </c>
      <c r="Q940" s="1">
        <f t="shared" si="1129"/>
        <v>1.8171022705018968E-3</v>
      </c>
      <c r="S940" s="3"/>
    </row>
    <row r="941" spans="2:19" x14ac:dyDescent="0.5">
      <c r="B941" s="5" t="str">
        <f t="shared" si="1121"/>
        <v>SPS1</v>
      </c>
      <c r="C941" s="5" t="str">
        <f t="shared" si="1122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130"/>
        <v>0</v>
      </c>
      <c r="H941" s="1">
        <f t="shared" si="1130"/>
        <v>0</v>
      </c>
      <c r="I941" s="1">
        <f t="shared" si="1130"/>
        <v>0</v>
      </c>
      <c r="J941" s="1">
        <f t="shared" si="1130"/>
        <v>0</v>
      </c>
      <c r="K941" s="1">
        <f t="shared" si="1130"/>
        <v>0</v>
      </c>
      <c r="L941" s="1">
        <f t="shared" ref="L941:O941" si="1132">IFERROR(L909/L$906,0)*L$938</f>
        <v>0</v>
      </c>
      <c r="M941" s="1">
        <f t="shared" si="1132"/>
        <v>0</v>
      </c>
      <c r="N941" s="1">
        <f t="shared" si="1132"/>
        <v>1.5568706821171755E-4</v>
      </c>
      <c r="O941" s="1">
        <f t="shared" si="1132"/>
        <v>2.2422334986824832E-4</v>
      </c>
      <c r="P941" s="1">
        <f t="shared" si="1129"/>
        <v>1.4627989458589874E-4</v>
      </c>
      <c r="Q941" s="1">
        <f t="shared" si="1129"/>
        <v>2.849324497138843E-4</v>
      </c>
      <c r="S941" s="3"/>
    </row>
    <row r="942" spans="2:19" x14ac:dyDescent="0.5">
      <c r="B942" s="5" t="str">
        <f t="shared" si="1121"/>
        <v>SPS1</v>
      </c>
      <c r="C942" s="5" t="str">
        <f t="shared" si="1122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130"/>
        <v>0</v>
      </c>
      <c r="H942" s="1">
        <f t="shared" si="1130"/>
        <v>0</v>
      </c>
      <c r="I942" s="1">
        <f t="shared" si="1130"/>
        <v>9.0401017845227858E-4</v>
      </c>
      <c r="J942" s="1">
        <f t="shared" si="1130"/>
        <v>8.6371179291171922E-4</v>
      </c>
      <c r="K942" s="1">
        <f t="shared" si="1130"/>
        <v>7.7311809994737692E-3</v>
      </c>
      <c r="L942" s="1">
        <f t="shared" ref="L942:O942" si="1133">IFERROR(L910/L$906,0)*L$938</f>
        <v>5.44941828819332E-3</v>
      </c>
      <c r="M942" s="1">
        <f t="shared" si="1133"/>
        <v>2.2156597687509969E-3</v>
      </c>
      <c r="N942" s="1">
        <f t="shared" si="1133"/>
        <v>2.7517219711047677E-3</v>
      </c>
      <c r="O942" s="1">
        <f t="shared" si="1133"/>
        <v>1.6221386321281263E-3</v>
      </c>
      <c r="P942" s="1">
        <f t="shared" si="1129"/>
        <v>1.1707907437103471E-3</v>
      </c>
      <c r="Q942" s="1">
        <f t="shared" si="1129"/>
        <v>1.881013679099071E-3</v>
      </c>
      <c r="S942" s="3"/>
    </row>
    <row r="943" spans="2:19" x14ac:dyDescent="0.5">
      <c r="B943" s="5" t="str">
        <f t="shared" si="1121"/>
        <v>SPS1</v>
      </c>
      <c r="C943" s="5" t="str">
        <f t="shared" si="1122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130"/>
        <v>0</v>
      </c>
      <c r="H943" s="1">
        <f t="shared" si="1130"/>
        <v>0</v>
      </c>
      <c r="I943" s="1">
        <f t="shared" si="1130"/>
        <v>8.7026617902202059E-4</v>
      </c>
      <c r="J943" s="1">
        <f t="shared" si="1130"/>
        <v>2.0421567305015762E-3</v>
      </c>
      <c r="K943" s="1">
        <f t="shared" si="1130"/>
        <v>9.5854158612861118E-3</v>
      </c>
      <c r="L943" s="1">
        <f t="shared" ref="L943:O943" si="1134">IFERROR(L911/L$906,0)*L$938</f>
        <v>3.5703601223976589E-2</v>
      </c>
      <c r="M943" s="1">
        <f t="shared" si="1134"/>
        <v>5.0654218540388742E-2</v>
      </c>
      <c r="N943" s="1">
        <f t="shared" si="1134"/>
        <v>4.1626240109750252E-2</v>
      </c>
      <c r="O943" s="1">
        <f t="shared" si="1134"/>
        <v>1.6046788012974739E-2</v>
      </c>
      <c r="P943" s="1">
        <f t="shared" si="1129"/>
        <v>5.2881718949300861E-3</v>
      </c>
      <c r="Q943" s="1">
        <f t="shared" si="1129"/>
        <v>1.3894347037105396E-2</v>
      </c>
      <c r="S943" s="3"/>
    </row>
    <row r="944" spans="2:19" x14ac:dyDescent="0.5">
      <c r="B944" s="5" t="str">
        <f t="shared" si="1121"/>
        <v>SPS1</v>
      </c>
      <c r="C944" s="5" t="str">
        <f t="shared" si="1122"/>
        <v>CH</v>
      </c>
      <c r="D944" t="s">
        <v>985</v>
      </c>
      <c r="E944" t="s">
        <v>8</v>
      </c>
      <c r="F944" s="1">
        <f>[1]Services!B$52</f>
        <v>5.553901597872172</v>
      </c>
      <c r="G944" s="1">
        <f>[1]Services!C$52</f>
        <v>6.0159361906841058</v>
      </c>
      <c r="H944" s="1">
        <f>[1]Services!D$52</f>
        <v>6.0159364959576527</v>
      </c>
      <c r="I944" s="1">
        <f>[1]Services!E$52</f>
        <v>6.0159365291574174</v>
      </c>
      <c r="J944" s="1">
        <f>[1]Services!F$52</f>
        <v>6.0159363605575225</v>
      </c>
      <c r="K944" s="1">
        <f>[1]Services!G$52</f>
        <v>6.015938739915609</v>
      </c>
      <c r="L944" s="1">
        <f>[1]Services!H$52</f>
        <v>6.3624104312409013</v>
      </c>
      <c r="M944" s="1">
        <f>[1]Services!I$52</f>
        <v>6.3624287942595954</v>
      </c>
      <c r="N944" s="1">
        <f>[1]Services!J$52</f>
        <v>8.3261191192226232</v>
      </c>
      <c r="O944" s="1">
        <f>[1]Services!K$52</f>
        <v>8.3261240947984447</v>
      </c>
      <c r="P944" s="1">
        <f>[1]Services!L$52</f>
        <v>8.3261278738419708</v>
      </c>
      <c r="Q944" s="1">
        <f>[1]Services!M$52</f>
        <v>8.3261363202577012</v>
      </c>
      <c r="S944" s="3"/>
    </row>
    <row r="945" spans="2:19" x14ac:dyDescent="0.5">
      <c r="B945" s="5" t="str">
        <f t="shared" si="1121"/>
        <v>SPS1</v>
      </c>
      <c r="C945" s="5" t="str">
        <f t="shared" si="1122"/>
        <v>CH</v>
      </c>
      <c r="D945" t="s">
        <v>986</v>
      </c>
      <c r="E945" t="s">
        <v>8</v>
      </c>
      <c r="F945" s="1">
        <f>F946</f>
        <v>6.1735454102717702</v>
      </c>
      <c r="G945" s="1">
        <f t="shared" ref="G945:O945" si="1135">G946</f>
        <v>7.0511013972414442</v>
      </c>
      <c r="H945" s="1">
        <f t="shared" si="1135"/>
        <v>6.8853125828103607</v>
      </c>
      <c r="I945" s="1">
        <f t="shared" si="1135"/>
        <v>5.6154364191703818</v>
      </c>
      <c r="J945" s="1">
        <f t="shared" si="1135"/>
        <v>5.6130606246860255</v>
      </c>
      <c r="K945" s="1">
        <f t="shared" si="1135"/>
        <v>4.4356734775018518</v>
      </c>
      <c r="L945" s="1">
        <f t="shared" si="1135"/>
        <v>3.7771716365943595</v>
      </c>
      <c r="M945" s="1">
        <f t="shared" si="1135"/>
        <v>0.38670400870501576</v>
      </c>
      <c r="N945" s="1">
        <f t="shared" si="1135"/>
        <v>0.38095337312882316</v>
      </c>
      <c r="O945" s="1">
        <f t="shared" si="1135"/>
        <v>0.38368687316176958</v>
      </c>
      <c r="P945" s="1">
        <f>P946</f>
        <v>0.38372307817937484</v>
      </c>
      <c r="Q945" s="1">
        <f>Q946</f>
        <v>1.1526410999796075</v>
      </c>
      <c r="S945" s="3"/>
    </row>
    <row r="946" spans="2:19" x14ac:dyDescent="0.5">
      <c r="B946" s="5" t="str">
        <f t="shared" si="1121"/>
        <v>SPS1</v>
      </c>
      <c r="C946" s="5" t="str">
        <f t="shared" si="1122"/>
        <v>CH</v>
      </c>
      <c r="D946" t="s">
        <v>987</v>
      </c>
      <c r="E946" t="s">
        <v>8</v>
      </c>
      <c r="F946" s="1">
        <f>[1]Services!B$53</f>
        <v>6.1735454102717702</v>
      </c>
      <c r="G946" s="1">
        <f>[1]Services!C$53</f>
        <v>7.0511013972414442</v>
      </c>
      <c r="H946" s="1">
        <f>[1]Services!D$53</f>
        <v>6.8853125828103607</v>
      </c>
      <c r="I946" s="1">
        <f>[1]Services!E$53</f>
        <v>5.6154364191703818</v>
      </c>
      <c r="J946" s="1">
        <f>[1]Services!F$53</f>
        <v>5.6130606246860255</v>
      </c>
      <c r="K946" s="1">
        <f>[1]Services!G$53</f>
        <v>4.4356734775018518</v>
      </c>
      <c r="L946" s="1">
        <f>[1]Services!H$53</f>
        <v>3.7771716365943595</v>
      </c>
      <c r="M946" s="1">
        <f>[1]Services!I$53</f>
        <v>0.38670400870501576</v>
      </c>
      <c r="N946" s="1">
        <f>[1]Services!J$53</f>
        <v>0.38095337312882316</v>
      </c>
      <c r="O946" s="1">
        <f>[1]Services!K$53</f>
        <v>0.38368687316176958</v>
      </c>
      <c r="P946" s="1">
        <f>[1]Services!L$53</f>
        <v>0.38372307817937484</v>
      </c>
      <c r="Q946" s="1">
        <f>[1]Services!M$53</f>
        <v>1.1526410999796075</v>
      </c>
      <c r="S946" s="3"/>
    </row>
    <row r="947" spans="2:19" x14ac:dyDescent="0.5">
      <c r="B947" s="5" t="str">
        <f t="shared" si="1121"/>
        <v>SPS1</v>
      </c>
      <c r="C947" s="5" t="str">
        <f t="shared" si="1122"/>
        <v>CH</v>
      </c>
      <c r="D947" t="s">
        <v>988</v>
      </c>
      <c r="E947" t="s">
        <v>8</v>
      </c>
      <c r="F947" s="1">
        <f>F948</f>
        <v>1.8770710196056706</v>
      </c>
      <c r="G947" s="1">
        <f t="shared" ref="G947:O947" si="1136">G948</f>
        <v>2.1600823367351905</v>
      </c>
      <c r="H947" s="1">
        <f t="shared" si="1136"/>
        <v>2.1233104765720321</v>
      </c>
      <c r="I947" s="1">
        <f t="shared" si="1136"/>
        <v>2.1356304492671243</v>
      </c>
      <c r="J947" s="1">
        <f t="shared" si="1136"/>
        <v>2.2681211504301602</v>
      </c>
      <c r="K947" s="1">
        <f t="shared" si="1136"/>
        <v>2.512708196348457</v>
      </c>
      <c r="L947" s="1">
        <f t="shared" si="1136"/>
        <v>2.4787451943987269</v>
      </c>
      <c r="M947" s="1">
        <f t="shared" si="1136"/>
        <v>2.2392633434766234</v>
      </c>
      <c r="N947" s="1">
        <f t="shared" si="1136"/>
        <v>2.2058969741373442</v>
      </c>
      <c r="O947" s="1">
        <f t="shared" si="1136"/>
        <v>2.2213672749007984</v>
      </c>
      <c r="P947" s="1">
        <f>P948</f>
        <v>2.2219687052514492</v>
      </c>
      <c r="Q947" s="1">
        <f>Q948</f>
        <v>2.2222387949333275</v>
      </c>
      <c r="S947" s="3"/>
    </row>
    <row r="948" spans="2:19" x14ac:dyDescent="0.5">
      <c r="B948" s="5" t="str">
        <f t="shared" si="1121"/>
        <v>SPS1</v>
      </c>
      <c r="C948" s="5" t="str">
        <f t="shared" si="1122"/>
        <v>CH</v>
      </c>
      <c r="D948" t="s">
        <v>989</v>
      </c>
      <c r="E948" t="s">
        <v>8</v>
      </c>
      <c r="F948" s="1">
        <f>[1]Services!B$54</f>
        <v>1.8770710196056706</v>
      </c>
      <c r="G948" s="1">
        <f>[1]Services!C$54</f>
        <v>2.1600823367351905</v>
      </c>
      <c r="H948" s="1">
        <f>[1]Services!D$54</f>
        <v>2.1233104765720321</v>
      </c>
      <c r="I948" s="1">
        <f>[1]Services!E$54</f>
        <v>2.1356304492671243</v>
      </c>
      <c r="J948" s="1">
        <f>[1]Services!F$54</f>
        <v>2.2681211504301602</v>
      </c>
      <c r="K948" s="1">
        <f>[1]Services!G$54</f>
        <v>2.512708196348457</v>
      </c>
      <c r="L948" s="1">
        <f>[1]Services!H$54</f>
        <v>2.4787451943987269</v>
      </c>
      <c r="M948" s="1">
        <f>[1]Services!I$54</f>
        <v>2.2392633434766234</v>
      </c>
      <c r="N948" s="1">
        <f>[1]Services!J$54</f>
        <v>2.2058969741373442</v>
      </c>
      <c r="O948" s="1">
        <f>[1]Services!K$54</f>
        <v>2.2213672749007984</v>
      </c>
      <c r="P948" s="1">
        <f>[1]Services!L$54</f>
        <v>2.2219687052514492</v>
      </c>
      <c r="Q948" s="1">
        <f>[1]Services!M$54</f>
        <v>2.2222387949333275</v>
      </c>
      <c r="S948" s="3"/>
    </row>
    <row r="949" spans="2:19" x14ac:dyDescent="0.5">
      <c r="B949" s="5" t="str">
        <f t="shared" si="1121"/>
        <v>SPS1</v>
      </c>
      <c r="C949" s="5" t="str">
        <f t="shared" si="1122"/>
        <v>CH</v>
      </c>
      <c r="D949" t="s">
        <v>990</v>
      </c>
      <c r="E949" t="s">
        <v>8</v>
      </c>
      <c r="F949" s="1">
        <f>F950</f>
        <v>0.62699361478553695</v>
      </c>
      <c r="G949" s="1">
        <f t="shared" ref="G949:O949" si="1137">G950</f>
        <v>0.68733289994314706</v>
      </c>
      <c r="H949" s="1">
        <f t="shared" si="1137"/>
        <v>0.68717486743997847</v>
      </c>
      <c r="I949" s="1">
        <f t="shared" si="1137"/>
        <v>0.68900975959858834</v>
      </c>
      <c r="J949" s="1">
        <f t="shared" si="1137"/>
        <v>1.6300243658904436</v>
      </c>
      <c r="K949" s="1">
        <f t="shared" si="1137"/>
        <v>3.3921776885754378</v>
      </c>
      <c r="L949" s="1">
        <f t="shared" si="1137"/>
        <v>3.3190895531668203</v>
      </c>
      <c r="M949" s="1">
        <f t="shared" si="1137"/>
        <v>3.5213229136869031</v>
      </c>
      <c r="N949" s="1">
        <f t="shared" si="1137"/>
        <v>3.522438862058177</v>
      </c>
      <c r="O949" s="1">
        <f t="shared" si="1137"/>
        <v>3.521762167482823</v>
      </c>
      <c r="P949" s="1">
        <f>P950</f>
        <v>3.5220911965856851</v>
      </c>
      <c r="Q949" s="1">
        <f>Q950</f>
        <v>3.3755399211540009</v>
      </c>
      <c r="S949" s="3"/>
    </row>
    <row r="950" spans="2:19" x14ac:dyDescent="0.5">
      <c r="B950" s="5" t="str">
        <f t="shared" si="1121"/>
        <v>SPS1</v>
      </c>
      <c r="C950" s="5" t="str">
        <f t="shared" si="1122"/>
        <v>CH</v>
      </c>
      <c r="D950" t="s">
        <v>991</v>
      </c>
      <c r="E950" t="s">
        <v>8</v>
      </c>
      <c r="F950" s="1">
        <f>[1]Services!B$55</f>
        <v>0.62699361478553695</v>
      </c>
      <c r="G950" s="1">
        <f>[1]Services!C$55</f>
        <v>0.68733289994314706</v>
      </c>
      <c r="H950" s="1">
        <f>[1]Services!D$55</f>
        <v>0.68717486743997847</v>
      </c>
      <c r="I950" s="1">
        <f>[1]Services!E$55</f>
        <v>0.68900975959858834</v>
      </c>
      <c r="J950" s="1">
        <f>[1]Services!F$55</f>
        <v>1.6300243658904436</v>
      </c>
      <c r="K950" s="1">
        <f>[1]Services!G$55</f>
        <v>3.3921776885754378</v>
      </c>
      <c r="L950" s="1">
        <f>[1]Services!H$55</f>
        <v>3.3190895531668203</v>
      </c>
      <c r="M950" s="1">
        <f>[1]Services!I$55</f>
        <v>3.5213229136869031</v>
      </c>
      <c r="N950" s="1">
        <f>[1]Services!J$55</f>
        <v>3.522438862058177</v>
      </c>
      <c r="O950" s="1">
        <f>[1]Services!K$55</f>
        <v>3.521762167482823</v>
      </c>
      <c r="P950" s="1">
        <f>[1]Services!L$55</f>
        <v>3.5220911965856851</v>
      </c>
      <c r="Q950" s="1">
        <f>[1]Services!M$55</f>
        <v>3.3755399211540009</v>
      </c>
      <c r="S950" s="3"/>
    </row>
    <row r="951" spans="2:19" x14ac:dyDescent="0.5">
      <c r="B951" s="5" t="str">
        <f t="shared" si="1121"/>
        <v>SPS1</v>
      </c>
      <c r="C951" s="5" t="str">
        <f t="shared" si="1122"/>
        <v>CH</v>
      </c>
      <c r="D951" t="s">
        <v>992</v>
      </c>
      <c r="E951" t="s">
        <v>8</v>
      </c>
      <c r="F951" s="1">
        <f>F952</f>
        <v>0</v>
      </c>
      <c r="G951" s="1">
        <f t="shared" ref="G951:O951" si="1138">G952</f>
        <v>0</v>
      </c>
      <c r="H951" s="1">
        <f t="shared" si="1138"/>
        <v>0</v>
      </c>
      <c r="I951" s="1">
        <f t="shared" si="1138"/>
        <v>5.9652538034198174E-4</v>
      </c>
      <c r="J951" s="1">
        <f t="shared" si="1138"/>
        <v>9.4874172030432122E-2</v>
      </c>
      <c r="K951" s="1">
        <f t="shared" si="1138"/>
        <v>0.60814409197510633</v>
      </c>
      <c r="L951" s="1">
        <f t="shared" si="1138"/>
        <v>1.5437425524679707</v>
      </c>
      <c r="M951" s="1">
        <f t="shared" si="1138"/>
        <v>1.6185490763675439</v>
      </c>
      <c r="N951" s="1">
        <f t="shared" si="1138"/>
        <v>1.5944321845095519</v>
      </c>
      <c r="O951" s="1">
        <f t="shared" si="1138"/>
        <v>0.43606535828671872</v>
      </c>
      <c r="P951" s="1">
        <f>P952</f>
        <v>0.1922716869054866</v>
      </c>
      <c r="Q951" s="1">
        <f>Q952</f>
        <v>0.10276712399594316</v>
      </c>
      <c r="S951" s="3"/>
    </row>
    <row r="952" spans="2:19" x14ac:dyDescent="0.5">
      <c r="B952" s="5" t="str">
        <f t="shared" si="1121"/>
        <v>SPS1</v>
      </c>
      <c r="C952" s="5" t="str">
        <f t="shared" si="1122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5.9652538034198174E-4</v>
      </c>
      <c r="J952" s="1">
        <f>[1]Services!F$57</f>
        <v>9.4874172030432122E-2</v>
      </c>
      <c r="K952" s="1">
        <f>[1]Services!G$57</f>
        <v>0.60814409197510633</v>
      </c>
      <c r="L952" s="1">
        <f>[1]Services!H$57</f>
        <v>1.5437425524679707</v>
      </c>
      <c r="M952" s="1">
        <f>[1]Services!I$57</f>
        <v>1.6185490763675439</v>
      </c>
      <c r="N952" s="1">
        <f>[1]Services!J$57</f>
        <v>1.5944321845095519</v>
      </c>
      <c r="O952" s="1">
        <f>[1]Services!K$57</f>
        <v>0.43606535828671872</v>
      </c>
      <c r="P952" s="1">
        <f>[1]Services!L$57</f>
        <v>0.1922716869054866</v>
      </c>
      <c r="Q952" s="1">
        <f>[1]Services!M$57</f>
        <v>0.10276712399594316</v>
      </c>
      <c r="S952" s="3"/>
    </row>
    <row r="953" spans="2:19" x14ac:dyDescent="0.5">
      <c r="B953" s="5" t="str">
        <f t="shared" si="1121"/>
        <v>SPS1</v>
      </c>
      <c r="C953" s="5" t="str">
        <f t="shared" si="1122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6.9642754136004363</v>
      </c>
      <c r="H953" s="1">
        <f>[1]Services!D$58</f>
        <v>6.9635004540328769</v>
      </c>
      <c r="I953" s="1">
        <f>[1]Services!E$58</f>
        <v>12.416180253245079</v>
      </c>
      <c r="J953" s="1">
        <f>[1]Services!F$58</f>
        <v>12.416503568032752</v>
      </c>
      <c r="K953" s="1">
        <f>[1]Services!G$58</f>
        <v>12.416533195838145</v>
      </c>
      <c r="L953" s="1">
        <f>[1]Services!H$58</f>
        <v>13.586130724577448</v>
      </c>
      <c r="M953" s="1">
        <f>[1]Services!I$58</f>
        <v>21.071575455674871</v>
      </c>
      <c r="N953" s="1">
        <f>[1]Services!J$58</f>
        <v>21.071454781257231</v>
      </c>
      <c r="O953" s="1">
        <f>[1]Services!K$58</f>
        <v>21.071305466564436</v>
      </c>
      <c r="P953" s="1">
        <f>[1]Services!L$58</f>
        <v>21.071242362702616</v>
      </c>
      <c r="Q953" s="1">
        <f>[1]Services!M$58</f>
        <v>21.070753250377795</v>
      </c>
      <c r="S953" s="3"/>
    </row>
    <row r="954" spans="2:19" x14ac:dyDescent="0.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M954" s="1" t="s">
        <v>292</v>
      </c>
      <c r="N954" s="1" t="s">
        <v>292</v>
      </c>
      <c r="O954" s="1" t="s">
        <v>292</v>
      </c>
      <c r="P954" s="1" t="s">
        <v>292</v>
      </c>
      <c r="Q954" s="1" t="s">
        <v>292</v>
      </c>
      <c r="S954" s="3"/>
    </row>
    <row r="955" spans="2:19" x14ac:dyDescent="0.5">
      <c r="B955" s="5" t="str">
        <f t="shared" ref="B955:B971" si="1139">B954</f>
        <v>SPS1</v>
      </c>
      <c r="C955" s="5" t="str">
        <f t="shared" ref="C955:C971" si="1140">C954</f>
        <v>CH</v>
      </c>
      <c r="D955" t="s">
        <v>761</v>
      </c>
      <c r="E955" t="s">
        <v>240</v>
      </c>
      <c r="F955" s="4">
        <f t="shared" ref="F955:K957" si="1141">IFERROR(F928/F884,"-")</f>
        <v>0.9124999999999992</v>
      </c>
      <c r="G955" s="4">
        <f t="shared" si="1141"/>
        <v>0.91499999999999981</v>
      </c>
      <c r="H955" s="4">
        <f t="shared" si="1141"/>
        <v>0.91874999999999996</v>
      </c>
      <c r="I955" s="4">
        <f t="shared" si="1141"/>
        <v>0.92499999999999993</v>
      </c>
      <c r="J955" s="4">
        <f t="shared" si="1141"/>
        <v>0.93124999999999969</v>
      </c>
      <c r="K955" s="4">
        <f t="shared" si="1141"/>
        <v>0.93750000000000078</v>
      </c>
      <c r="L955" s="4">
        <f t="shared" ref="L955:O955" si="1142">IFERROR(L928/L884,"-")</f>
        <v>0.9437499999999992</v>
      </c>
      <c r="M955" s="4">
        <f t="shared" si="1142"/>
        <v>0.95000000000000029</v>
      </c>
      <c r="N955" s="4">
        <f t="shared" si="1142"/>
        <v>0.95000000000000062</v>
      </c>
      <c r="O955" s="4">
        <f t="shared" si="1142"/>
        <v>0.94999999999999962</v>
      </c>
      <c r="P955" s="4">
        <f t="shared" ref="P955:Q957" si="1143">IFERROR(P928/P884,"-")</f>
        <v>0.9500000000000014</v>
      </c>
      <c r="Q955" s="4">
        <f t="shared" si="1143"/>
        <v>0.95000000000000018</v>
      </c>
      <c r="S955" s="3"/>
    </row>
    <row r="956" spans="2:19" x14ac:dyDescent="0.5">
      <c r="B956" s="5" t="str">
        <f t="shared" si="1139"/>
        <v>SPS1</v>
      </c>
      <c r="C956" s="5" t="str">
        <f t="shared" si="1140"/>
        <v>CH</v>
      </c>
      <c r="D956" t="s">
        <v>730</v>
      </c>
      <c r="E956" t="s">
        <v>240</v>
      </c>
      <c r="F956" s="4">
        <f t="shared" si="1141"/>
        <v>3.1999999999999993</v>
      </c>
      <c r="G956" s="4">
        <f t="shared" si="1141"/>
        <v>3.2399999999999975</v>
      </c>
      <c r="H956" s="4">
        <f t="shared" si="1141"/>
        <v>3.2999999999999958</v>
      </c>
      <c r="I956" s="4">
        <f t="shared" si="1141"/>
        <v>3.4000000000000044</v>
      </c>
      <c r="J956" s="4">
        <f t="shared" si="1141"/>
        <v>3.4999999999999987</v>
      </c>
      <c r="K956" s="4">
        <f t="shared" si="1141"/>
        <v>3.599999999999997</v>
      </c>
      <c r="L956" s="4">
        <f t="shared" ref="L956:O956" si="1144">IFERROR(L929/L885,"-")</f>
        <v>3.7000000000000006</v>
      </c>
      <c r="M956" s="4">
        <f t="shared" si="1144"/>
        <v>3.7999999999999985</v>
      </c>
      <c r="N956" s="4">
        <f t="shared" si="1144"/>
        <v>3.8000000000000029</v>
      </c>
      <c r="O956" s="4">
        <f t="shared" si="1144"/>
        <v>3.8</v>
      </c>
      <c r="P956" s="4">
        <f t="shared" si="1143"/>
        <v>3.8000000000000025</v>
      </c>
      <c r="Q956" s="4">
        <f t="shared" si="1143"/>
        <v>3.7999999999999958</v>
      </c>
      <c r="S956" s="3"/>
    </row>
    <row r="957" spans="2:19" x14ac:dyDescent="0.5">
      <c r="B957" s="5" t="str">
        <f t="shared" si="1139"/>
        <v>SPS1</v>
      </c>
      <c r="C957" s="5" t="str">
        <f t="shared" si="1140"/>
        <v>CH</v>
      </c>
      <c r="D957" t="s">
        <v>699</v>
      </c>
      <c r="E957" t="s">
        <v>240</v>
      </c>
      <c r="F957" s="4">
        <f t="shared" si="1141"/>
        <v>1</v>
      </c>
      <c r="G957" s="4">
        <f t="shared" si="1141"/>
        <v>1</v>
      </c>
      <c r="H957" s="4">
        <f t="shared" si="1141"/>
        <v>1</v>
      </c>
      <c r="I957" s="4">
        <f t="shared" si="1141"/>
        <v>1</v>
      </c>
      <c r="J957" s="4">
        <f t="shared" si="1141"/>
        <v>1.0000000000000002</v>
      </c>
      <c r="K957" s="4">
        <f t="shared" si="1141"/>
        <v>1</v>
      </c>
      <c r="L957" s="4">
        <f t="shared" ref="L957:O957" si="1145">IFERROR(L930/L886,"-")</f>
        <v>1.0000000000000002</v>
      </c>
      <c r="M957" s="4">
        <f t="shared" si="1145"/>
        <v>1.0000000000000002</v>
      </c>
      <c r="N957" s="4">
        <f t="shared" si="1145"/>
        <v>1</v>
      </c>
      <c r="O957" s="4">
        <f t="shared" si="1145"/>
        <v>1</v>
      </c>
      <c r="P957" s="4">
        <f t="shared" si="1143"/>
        <v>0.99999999999999978</v>
      </c>
      <c r="Q957" s="4">
        <f t="shared" si="1143"/>
        <v>1</v>
      </c>
      <c r="S957" s="3"/>
    </row>
    <row r="958" spans="2:19" x14ac:dyDescent="0.5">
      <c r="B958" s="5" t="str">
        <f t="shared" si="1139"/>
        <v>SPS1</v>
      </c>
      <c r="C958" s="5" t="str">
        <f t="shared" si="1140"/>
        <v>CH</v>
      </c>
      <c r="D958" t="s">
        <v>700</v>
      </c>
      <c r="E958" t="s">
        <v>240</v>
      </c>
      <c r="F958" s="4">
        <f t="shared" ref="F958:K958" si="1146">IFERROR(F932/F888,"-")</f>
        <v>0.82107843137254888</v>
      </c>
      <c r="G958" s="4">
        <f t="shared" si="1146"/>
        <v>0.82270432925645465</v>
      </c>
      <c r="H958" s="4">
        <f t="shared" si="1146"/>
        <v>0.82514317608231458</v>
      </c>
      <c r="I958" s="4">
        <f t="shared" si="1146"/>
        <v>0.82920792079207939</v>
      </c>
      <c r="J958" s="4">
        <f t="shared" si="1146"/>
        <v>0.83335396039603882</v>
      </c>
      <c r="K958" s="4">
        <f t="shared" si="1146"/>
        <v>0.83750000000000069</v>
      </c>
      <c r="L958" s="4">
        <f t="shared" ref="L958:O958" si="1147">IFERROR(L932/L888,"-")</f>
        <v>0.83749999999999991</v>
      </c>
      <c r="M958" s="4">
        <f t="shared" si="1147"/>
        <v>0.83749999999999869</v>
      </c>
      <c r="N958" s="4">
        <f t="shared" si="1147"/>
        <v>0.83749999999999869</v>
      </c>
      <c r="O958" s="4">
        <f t="shared" si="1147"/>
        <v>0.83749999999999947</v>
      </c>
      <c r="P958" s="4">
        <f>IFERROR(P932/P888,"-")</f>
        <v>0.83749999999999991</v>
      </c>
      <c r="Q958" s="4">
        <f>IFERROR(Q932/Q888,"-")</f>
        <v>0.83749999999999913</v>
      </c>
      <c r="S958" s="3"/>
    </row>
    <row r="959" spans="2:19" x14ac:dyDescent="0.5">
      <c r="B959" s="5" t="str">
        <f t="shared" si="1139"/>
        <v>SPS1</v>
      </c>
      <c r="C959" s="5" t="str">
        <f t="shared" si="1140"/>
        <v>CH</v>
      </c>
      <c r="D959" t="s">
        <v>701</v>
      </c>
      <c r="E959" t="s">
        <v>240</v>
      </c>
      <c r="F959" s="4">
        <f t="shared" ref="F959:K961" si="1148">IFERROR(F934/F895,"-")</f>
        <v>0.94680851063829929</v>
      </c>
      <c r="G959" s="4">
        <f t="shared" si="1148"/>
        <v>0.94680851063829818</v>
      </c>
      <c r="H959" s="4">
        <f t="shared" si="1148"/>
        <v>0.94677980159317232</v>
      </c>
      <c r="I959" s="4">
        <f t="shared" si="1148"/>
        <v>0.94682245395398035</v>
      </c>
      <c r="J959" s="4">
        <f t="shared" si="1148"/>
        <v>0.94086805517261884</v>
      </c>
      <c r="K959" s="4">
        <f t="shared" si="1148"/>
        <v>0.94071435914512735</v>
      </c>
      <c r="L959" s="4">
        <f t="shared" ref="L959:O959" si="1149">IFERROR(L934/L895,"-")</f>
        <v>0.94436043696331995</v>
      </c>
      <c r="M959" s="4">
        <f t="shared" si="1149"/>
        <v>0.92967554651097772</v>
      </c>
      <c r="N959" s="4">
        <f t="shared" si="1149"/>
        <v>0.82349422773210224</v>
      </c>
      <c r="O959" s="4">
        <f t="shared" si="1149"/>
        <v>0.62150357177723625</v>
      </c>
      <c r="P959" s="4">
        <f t="shared" ref="P959:Q961" si="1150">IFERROR(P934/P895,"-")</f>
        <v>0.38425677621001703</v>
      </c>
      <c r="Q959" s="4">
        <f t="shared" si="1150"/>
        <v>0.13222712652612578</v>
      </c>
      <c r="S959" s="3"/>
    </row>
    <row r="960" spans="2:19" x14ac:dyDescent="0.5">
      <c r="B960" s="5" t="str">
        <f t="shared" si="1139"/>
        <v>SPS1</v>
      </c>
      <c r="C960" s="5" t="str">
        <f t="shared" si="1140"/>
        <v>CH</v>
      </c>
      <c r="D960" t="s">
        <v>731</v>
      </c>
      <c r="E960" t="s">
        <v>240</v>
      </c>
      <c r="F960" s="4" t="str">
        <f t="shared" si="1148"/>
        <v>-</v>
      </c>
      <c r="G960" s="4" t="str">
        <f t="shared" si="1148"/>
        <v>-</v>
      </c>
      <c r="H960" s="4">
        <f t="shared" si="1148"/>
        <v>1.9799999999999995</v>
      </c>
      <c r="I960" s="4">
        <f t="shared" si="1148"/>
        <v>2.0399999999999987</v>
      </c>
      <c r="J960" s="4">
        <f t="shared" si="1148"/>
        <v>2.0999999999999996</v>
      </c>
      <c r="K960" s="4">
        <f t="shared" si="1148"/>
        <v>2.1599999999999988</v>
      </c>
      <c r="L960" s="4">
        <f t="shared" ref="L960:O960" si="1151">IFERROR(L935/L896,"-")</f>
        <v>2.2200000000000002</v>
      </c>
      <c r="M960" s="4">
        <f t="shared" si="1151"/>
        <v>2.2799999999999985</v>
      </c>
      <c r="N960" s="4">
        <f t="shared" si="1151"/>
        <v>2.2800000000000025</v>
      </c>
      <c r="O960" s="4">
        <f t="shared" si="1151"/>
        <v>2.2799999999999985</v>
      </c>
      <c r="P960" s="4">
        <f t="shared" si="1150"/>
        <v>2.2800000000000025</v>
      </c>
      <c r="Q960" s="4">
        <f t="shared" si="1150"/>
        <v>2.2799999999999985</v>
      </c>
      <c r="S960" s="3"/>
    </row>
    <row r="961" spans="2:19" x14ac:dyDescent="0.5">
      <c r="B961" s="5" t="str">
        <f t="shared" si="1139"/>
        <v>SPS1</v>
      </c>
      <c r="C961" s="5" t="str">
        <f t="shared" si="1140"/>
        <v>CH</v>
      </c>
      <c r="D961" t="s">
        <v>702</v>
      </c>
      <c r="E961" t="s">
        <v>240</v>
      </c>
      <c r="F961" s="4">
        <f t="shared" si="1148"/>
        <v>0.87220000000000042</v>
      </c>
      <c r="G961" s="4">
        <f t="shared" si="1148"/>
        <v>0.87220000000000009</v>
      </c>
      <c r="H961" s="4">
        <f t="shared" si="1148"/>
        <v>0.87220000000000031</v>
      </c>
      <c r="I961" s="4">
        <f t="shared" si="1148"/>
        <v>0.87219999999999898</v>
      </c>
      <c r="J961" s="4">
        <f t="shared" si="1148"/>
        <v>0.87220000000000086</v>
      </c>
      <c r="K961" s="4">
        <f t="shared" si="1148"/>
        <v>0.87220000000000009</v>
      </c>
      <c r="L961" s="4">
        <f t="shared" ref="L961:O961" si="1152">IFERROR(L936/L897,"-")</f>
        <v>0.87219999999999986</v>
      </c>
      <c r="M961" s="4">
        <f t="shared" si="1152"/>
        <v>0.87219999999999998</v>
      </c>
      <c r="N961" s="4">
        <f t="shared" si="1152"/>
        <v>0.87220000000000009</v>
      </c>
      <c r="O961" s="4">
        <f t="shared" si="1152"/>
        <v>0.87219999999999942</v>
      </c>
      <c r="P961" s="4">
        <f t="shared" si="1150"/>
        <v>0.87220000000000097</v>
      </c>
      <c r="Q961" s="4">
        <f t="shared" si="1150"/>
        <v>0.87219999999999887</v>
      </c>
      <c r="S961" s="3"/>
    </row>
    <row r="962" spans="2:19" x14ac:dyDescent="0.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153">IFERROR(F939/F907,"-")</f>
        <v>0.99</v>
      </c>
      <c r="G962" s="4">
        <f t="shared" si="1153"/>
        <v>0.99</v>
      </c>
      <c r="H962" s="4">
        <f t="shared" si="1153"/>
        <v>0.99</v>
      </c>
      <c r="I962" s="4">
        <f t="shared" si="1153"/>
        <v>0.99</v>
      </c>
      <c r="J962" s="4">
        <f t="shared" si="1153"/>
        <v>0.99</v>
      </c>
      <c r="K962" s="4">
        <f t="shared" si="1153"/>
        <v>0.99000000000000021</v>
      </c>
      <c r="L962" s="4">
        <f t="shared" ref="L962:O962" si="1154">IFERROR(L939/L907,"-")</f>
        <v>0.99</v>
      </c>
      <c r="M962" s="4">
        <f t="shared" si="1154"/>
        <v>0.9900000000000001</v>
      </c>
      <c r="N962" s="4">
        <f t="shared" si="1154"/>
        <v>0.99</v>
      </c>
      <c r="O962" s="4">
        <f t="shared" si="1154"/>
        <v>0.99</v>
      </c>
      <c r="P962" s="4">
        <f t="shared" ref="P962:Q967" si="1155">IFERROR(P939/P907,"-")</f>
        <v>0.98999999999999977</v>
      </c>
      <c r="Q962" s="4">
        <f t="shared" si="1155"/>
        <v>0.9900000000000001</v>
      </c>
      <c r="S962" s="3"/>
    </row>
    <row r="963" spans="2:19" x14ac:dyDescent="0.5">
      <c r="B963" s="5" t="str">
        <f t="shared" si="1139"/>
        <v>SPS1</v>
      </c>
      <c r="C963" s="5" t="str">
        <f t="shared" si="1140"/>
        <v>CH</v>
      </c>
      <c r="D963" t="s">
        <v>704</v>
      </c>
      <c r="E963" t="s">
        <v>240</v>
      </c>
      <c r="F963" s="4">
        <f t="shared" si="1153"/>
        <v>0.9900000000000001</v>
      </c>
      <c r="G963" s="4">
        <f t="shared" si="1153"/>
        <v>0.9900000000000001</v>
      </c>
      <c r="H963" s="4">
        <f t="shared" si="1153"/>
        <v>0.99</v>
      </c>
      <c r="I963" s="4">
        <f t="shared" si="1153"/>
        <v>0.9900000000000001</v>
      </c>
      <c r="J963" s="4">
        <f t="shared" si="1153"/>
        <v>0.99</v>
      </c>
      <c r="K963" s="4">
        <f t="shared" si="1153"/>
        <v>0.9900000000000001</v>
      </c>
      <c r="L963" s="4" t="str">
        <f t="shared" ref="L963:O963" si="1156">IFERROR(L940/L908,"-")</f>
        <v>-</v>
      </c>
      <c r="M963" s="4" t="str">
        <f t="shared" si="1156"/>
        <v>-</v>
      </c>
      <c r="N963" s="4">
        <f t="shared" si="1156"/>
        <v>0.9900000000000001</v>
      </c>
      <c r="O963" s="4">
        <f t="shared" si="1156"/>
        <v>0.99</v>
      </c>
      <c r="P963" s="4">
        <f t="shared" si="1155"/>
        <v>0.99</v>
      </c>
      <c r="Q963" s="4">
        <f t="shared" si="1155"/>
        <v>0.99</v>
      </c>
      <c r="S963" s="3"/>
    </row>
    <row r="964" spans="2:19" x14ac:dyDescent="0.5">
      <c r="B964" s="5" t="str">
        <f t="shared" si="1139"/>
        <v>SPS1</v>
      </c>
      <c r="C964" s="5" t="str">
        <f t="shared" si="1140"/>
        <v>CH</v>
      </c>
      <c r="D964" t="s">
        <v>705</v>
      </c>
      <c r="E964" t="s">
        <v>240</v>
      </c>
      <c r="F964" s="4" t="str">
        <f t="shared" si="1153"/>
        <v>-</v>
      </c>
      <c r="G964" s="4" t="str">
        <f t="shared" si="1153"/>
        <v>-</v>
      </c>
      <c r="H964" s="4" t="str">
        <f t="shared" si="1153"/>
        <v>-</v>
      </c>
      <c r="I964" s="4" t="str">
        <f t="shared" si="1153"/>
        <v>-</v>
      </c>
      <c r="J964" s="4" t="str">
        <f t="shared" si="1153"/>
        <v>-</v>
      </c>
      <c r="K964" s="4" t="str">
        <f t="shared" si="1153"/>
        <v>-</v>
      </c>
      <c r="L964" s="4" t="str">
        <f t="shared" ref="L964:O964" si="1157">IFERROR(L941/L909,"-")</f>
        <v>-</v>
      </c>
      <c r="M964" s="4" t="str">
        <f t="shared" si="1157"/>
        <v>-</v>
      </c>
      <c r="N964" s="4">
        <f t="shared" si="1157"/>
        <v>0.9900000000000001</v>
      </c>
      <c r="O964" s="4">
        <f t="shared" si="1157"/>
        <v>0.98999999999999988</v>
      </c>
      <c r="P964" s="4">
        <f t="shared" si="1155"/>
        <v>0.98999999999999988</v>
      </c>
      <c r="Q964" s="4">
        <f t="shared" si="1155"/>
        <v>0.99</v>
      </c>
      <c r="S964" s="3"/>
    </row>
    <row r="965" spans="2:19" x14ac:dyDescent="0.5">
      <c r="B965" s="5" t="str">
        <f t="shared" si="1139"/>
        <v>SPS1</v>
      </c>
      <c r="C965" s="5" t="str">
        <f t="shared" si="1140"/>
        <v>CH</v>
      </c>
      <c r="D965" t="s">
        <v>706</v>
      </c>
      <c r="E965" t="s">
        <v>240</v>
      </c>
      <c r="F965" s="4" t="str">
        <f t="shared" si="1153"/>
        <v>-</v>
      </c>
      <c r="G965" s="4" t="str">
        <f t="shared" si="1153"/>
        <v>-</v>
      </c>
      <c r="H965" s="4" t="str">
        <f t="shared" si="1153"/>
        <v>-</v>
      </c>
      <c r="I965" s="4">
        <f t="shared" si="1153"/>
        <v>0.99</v>
      </c>
      <c r="J965" s="4">
        <f t="shared" si="1153"/>
        <v>0.99</v>
      </c>
      <c r="K965" s="4">
        <f t="shared" si="1153"/>
        <v>0.9900000000000001</v>
      </c>
      <c r="L965" s="4">
        <f t="shared" ref="L965:O965" si="1158">IFERROR(L942/L910,"-")</f>
        <v>0.98999999999999988</v>
      </c>
      <c r="M965" s="4">
        <f t="shared" si="1158"/>
        <v>0.9900000000000001</v>
      </c>
      <c r="N965" s="4">
        <f t="shared" si="1158"/>
        <v>0.99</v>
      </c>
      <c r="O965" s="4">
        <f t="shared" si="1158"/>
        <v>0.99</v>
      </c>
      <c r="P965" s="4">
        <f t="shared" si="1155"/>
        <v>0.98999999999999988</v>
      </c>
      <c r="Q965" s="4">
        <f t="shared" si="1155"/>
        <v>0.9900000000000001</v>
      </c>
      <c r="S965" s="3"/>
    </row>
    <row r="966" spans="2:19" x14ac:dyDescent="0.5">
      <c r="B966" s="5" t="str">
        <f t="shared" si="1139"/>
        <v>SPS1</v>
      </c>
      <c r="C966" s="5" t="str">
        <f t="shared" si="1140"/>
        <v>CH</v>
      </c>
      <c r="D966" t="s">
        <v>707</v>
      </c>
      <c r="E966" t="s">
        <v>240</v>
      </c>
      <c r="F966" s="4" t="str">
        <f t="shared" si="1153"/>
        <v>-</v>
      </c>
      <c r="G966" s="4" t="str">
        <f t="shared" si="1153"/>
        <v>-</v>
      </c>
      <c r="H966" s="4" t="str">
        <f t="shared" si="1153"/>
        <v>-</v>
      </c>
      <c r="I966" s="4">
        <f t="shared" si="1153"/>
        <v>0.99</v>
      </c>
      <c r="J966" s="4">
        <f t="shared" si="1153"/>
        <v>0.99</v>
      </c>
      <c r="K966" s="4">
        <f t="shared" si="1153"/>
        <v>0.9900000000000001</v>
      </c>
      <c r="L966" s="4">
        <f t="shared" ref="L966:O966" si="1159">IFERROR(L943/L911,"-")</f>
        <v>0.98999999999999988</v>
      </c>
      <c r="M966" s="4">
        <f t="shared" si="1159"/>
        <v>0.99</v>
      </c>
      <c r="N966" s="4">
        <f t="shared" si="1159"/>
        <v>0.99000000000000021</v>
      </c>
      <c r="O966" s="4">
        <f t="shared" si="1159"/>
        <v>0.99</v>
      </c>
      <c r="P966" s="4">
        <f t="shared" si="1155"/>
        <v>0.98999999999999988</v>
      </c>
      <c r="Q966" s="4">
        <f t="shared" si="1155"/>
        <v>0.99</v>
      </c>
      <c r="S966" s="3"/>
    </row>
    <row r="967" spans="2:19" x14ac:dyDescent="0.5">
      <c r="B967" s="5" t="str">
        <f t="shared" si="1139"/>
        <v>SPS1</v>
      </c>
      <c r="C967" s="5" t="str">
        <f t="shared" si="1140"/>
        <v>CH</v>
      </c>
      <c r="D967" t="s">
        <v>995</v>
      </c>
      <c r="E967" t="s">
        <v>240</v>
      </c>
      <c r="F967" s="4">
        <f t="shared" si="1153"/>
        <v>0.99000000000000021</v>
      </c>
      <c r="G967" s="4">
        <f t="shared" si="1153"/>
        <v>0.98999999999999821</v>
      </c>
      <c r="H967" s="4">
        <f t="shared" si="1153"/>
        <v>0.98999999999999821</v>
      </c>
      <c r="I967" s="4">
        <f t="shared" si="1153"/>
        <v>0.99000000000000121</v>
      </c>
      <c r="J967" s="4">
        <f t="shared" si="1153"/>
        <v>0.98999999999999877</v>
      </c>
      <c r="K967" s="4">
        <f t="shared" si="1153"/>
        <v>0.98999999999999833</v>
      </c>
      <c r="L967" s="4">
        <f t="shared" ref="L967:O967" si="1160">IFERROR(L944/L912,"-")</f>
        <v>0.9900000000000001</v>
      </c>
      <c r="M967" s="4">
        <f t="shared" si="1160"/>
        <v>0.99000000000000088</v>
      </c>
      <c r="N967" s="4">
        <f t="shared" si="1160"/>
        <v>0.99000000000000032</v>
      </c>
      <c r="O967" s="4">
        <f t="shared" si="1160"/>
        <v>0.99</v>
      </c>
      <c r="P967" s="4">
        <f t="shared" si="1155"/>
        <v>0.99</v>
      </c>
      <c r="Q967" s="4">
        <f t="shared" si="1155"/>
        <v>0.99000000000000021</v>
      </c>
      <c r="S967" s="3"/>
    </row>
    <row r="968" spans="2:19" x14ac:dyDescent="0.5">
      <c r="B968" s="5" t="str">
        <f t="shared" si="1139"/>
        <v>SPS1</v>
      </c>
      <c r="C968" s="5" t="str">
        <f t="shared" si="1140"/>
        <v>CH</v>
      </c>
      <c r="D968" t="s">
        <v>996</v>
      </c>
      <c r="E968" t="s">
        <v>240</v>
      </c>
      <c r="F968" s="4">
        <f t="shared" ref="F968:K968" si="1161">IFERROR(F946/F913,"-")</f>
        <v>0.72000000000000053</v>
      </c>
      <c r="G968" s="4">
        <f t="shared" si="1161"/>
        <v>0.71999999999999964</v>
      </c>
      <c r="H968" s="4">
        <f t="shared" si="1161"/>
        <v>0.72000000000000008</v>
      </c>
      <c r="I968" s="4">
        <f t="shared" si="1161"/>
        <v>0.72</v>
      </c>
      <c r="J968" s="4">
        <f t="shared" si="1161"/>
        <v>0.71999999999999942</v>
      </c>
      <c r="K968" s="4">
        <f t="shared" si="1161"/>
        <v>0.7200000000000002</v>
      </c>
      <c r="L968" s="4">
        <f t="shared" ref="L968:O968" si="1162">IFERROR(L946/L913,"-")</f>
        <v>0.7200000000000002</v>
      </c>
      <c r="M968" s="4">
        <f t="shared" si="1162"/>
        <v>0.7200000000000002</v>
      </c>
      <c r="N968" s="4">
        <f t="shared" si="1162"/>
        <v>0.71999999999999975</v>
      </c>
      <c r="O968" s="4">
        <f t="shared" si="1162"/>
        <v>0.7200000000000002</v>
      </c>
      <c r="P968" s="4">
        <f>IFERROR(P946/P913,"-")</f>
        <v>0.71999999999999986</v>
      </c>
      <c r="Q968" s="4">
        <f>IFERROR(Q946/Q913,"-")</f>
        <v>0.7199999999999992</v>
      </c>
      <c r="S968" s="3"/>
    </row>
    <row r="969" spans="2:19" x14ac:dyDescent="0.5">
      <c r="B969" s="5" t="str">
        <f t="shared" si="1139"/>
        <v>SPS1</v>
      </c>
      <c r="C969" s="5" t="str">
        <f t="shared" si="1140"/>
        <v>CH</v>
      </c>
      <c r="D969" t="s">
        <v>997</v>
      </c>
      <c r="E969" t="s">
        <v>240</v>
      </c>
      <c r="F969" s="4">
        <f t="shared" ref="F969:K969" si="1163">IFERROR(F948/F916,"-")</f>
        <v>0.90000000000000024</v>
      </c>
      <c r="G969" s="4">
        <f t="shared" si="1163"/>
        <v>0.90000000000000058</v>
      </c>
      <c r="H969" s="4">
        <f t="shared" si="1163"/>
        <v>0.89999999999999936</v>
      </c>
      <c r="I969" s="4">
        <f t="shared" si="1163"/>
        <v>0.90000000000000024</v>
      </c>
      <c r="J969" s="4">
        <f t="shared" si="1163"/>
        <v>0.8999999999999998</v>
      </c>
      <c r="K969" s="4">
        <f t="shared" si="1163"/>
        <v>0.89999999999999958</v>
      </c>
      <c r="L969" s="4">
        <f t="shared" ref="L969:O969" si="1164">IFERROR(L948/L916,"-")</f>
        <v>0.90000000000000013</v>
      </c>
      <c r="M969" s="4">
        <f t="shared" si="1164"/>
        <v>0.90000000000000069</v>
      </c>
      <c r="N969" s="4">
        <f t="shared" si="1164"/>
        <v>0.90000000000000024</v>
      </c>
      <c r="O969" s="4">
        <f t="shared" si="1164"/>
        <v>0.89999999999999958</v>
      </c>
      <c r="P969" s="4">
        <f>IFERROR(P948/P916,"-")</f>
        <v>0.89999999999999991</v>
      </c>
      <c r="Q969" s="4">
        <f>IFERROR(Q948/Q916,"-")</f>
        <v>0.90000000000000013</v>
      </c>
      <c r="S969" s="3"/>
    </row>
    <row r="970" spans="2:19" x14ac:dyDescent="0.5">
      <c r="B970" s="5" t="str">
        <f t="shared" si="1139"/>
        <v>SPS1</v>
      </c>
      <c r="C970" s="5" t="str">
        <f t="shared" si="1140"/>
        <v>CH</v>
      </c>
      <c r="D970" t="s">
        <v>998</v>
      </c>
      <c r="E970" t="s">
        <v>240</v>
      </c>
      <c r="F970" s="4">
        <f t="shared" ref="F970:K970" si="1165">IFERROR(F950/F918,"-")</f>
        <v>1</v>
      </c>
      <c r="G970" s="4">
        <f t="shared" si="1165"/>
        <v>1</v>
      </c>
      <c r="H970" s="4">
        <f t="shared" si="1165"/>
        <v>1</v>
      </c>
      <c r="I970" s="4">
        <f t="shared" si="1165"/>
        <v>1</v>
      </c>
      <c r="J970" s="4">
        <f t="shared" si="1165"/>
        <v>1</v>
      </c>
      <c r="K970" s="4">
        <f t="shared" si="1165"/>
        <v>1</v>
      </c>
      <c r="L970" s="4">
        <f t="shared" ref="L970:O970" si="1166">IFERROR(L950/L918,"-")</f>
        <v>1</v>
      </c>
      <c r="M970" s="4">
        <f t="shared" si="1166"/>
        <v>1</v>
      </c>
      <c r="N970" s="4">
        <f t="shared" si="1166"/>
        <v>1</v>
      </c>
      <c r="O970" s="4">
        <f t="shared" si="1166"/>
        <v>1</v>
      </c>
      <c r="P970" s="4">
        <f>IFERROR(P950/P918,"-")</f>
        <v>1</v>
      </c>
      <c r="Q970" s="4">
        <f>IFERROR(Q950/Q918,"-")</f>
        <v>1</v>
      </c>
      <c r="S970" s="3"/>
    </row>
    <row r="971" spans="2:19" x14ac:dyDescent="0.5">
      <c r="B971" s="5" t="str">
        <f t="shared" si="1139"/>
        <v>SPS1</v>
      </c>
      <c r="C971" s="5" t="str">
        <f t="shared" si="1140"/>
        <v>CH</v>
      </c>
      <c r="D971" t="s">
        <v>999</v>
      </c>
      <c r="E971" t="s">
        <v>240</v>
      </c>
      <c r="F971" s="4" t="str">
        <f t="shared" ref="F971:K971" si="1167">IFERROR(F952/F922,"-")</f>
        <v>-</v>
      </c>
      <c r="G971" s="4" t="str">
        <f t="shared" si="1167"/>
        <v>-</v>
      </c>
      <c r="H971" s="4" t="str">
        <f t="shared" si="1167"/>
        <v>-</v>
      </c>
      <c r="I971" s="4">
        <f t="shared" si="1167"/>
        <v>0.34124756173095289</v>
      </c>
      <c r="J971" s="4">
        <f t="shared" si="1167"/>
        <v>0.69638589782312132</v>
      </c>
      <c r="K971" s="4">
        <f t="shared" si="1167"/>
        <v>0.701758122221951</v>
      </c>
      <c r="L971" s="4">
        <f t="shared" ref="L971:O971" si="1168">IFERROR(L952/L922,"-")</f>
        <v>0.71510672049928548</v>
      </c>
      <c r="M971" s="4">
        <f t="shared" si="1168"/>
        <v>0.8269081937208298</v>
      </c>
      <c r="N971" s="4">
        <f t="shared" si="1168"/>
        <v>0.87003352591508165</v>
      </c>
      <c r="O971" s="4">
        <f t="shared" si="1168"/>
        <v>0.84194695074215775</v>
      </c>
      <c r="P971" s="4">
        <f>IFERROR(P952/P922,"-")</f>
        <v>0.81514078631009568</v>
      </c>
      <c r="Q971" s="4">
        <f>IFERROR(Q952/Q922,"-")</f>
        <v>0.77375644816780231</v>
      </c>
      <c r="S971" s="3"/>
    </row>
    <row r="972" spans="2:19" x14ac:dyDescent="0.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217.25206393385324</v>
      </c>
      <c r="G972" s="3">
        <f>[1]Residential!C$26</f>
        <v>218.08061273874986</v>
      </c>
      <c r="H972" s="3">
        <f>[1]Residential!D$26</f>
        <v>218.57161791369063</v>
      </c>
      <c r="I972" s="3">
        <f>[1]Residential!E$26</f>
        <v>213.93241312096023</v>
      </c>
      <c r="J972" s="3">
        <f>[1]Residential!F$26</f>
        <v>208.04251622106921</v>
      </c>
      <c r="K972" s="3">
        <f>[1]Residential!G$26</f>
        <v>198.70824133585828</v>
      </c>
      <c r="L972" s="3">
        <f>[1]Residential!H$26</f>
        <v>194.6890333514674</v>
      </c>
      <c r="M972" s="3">
        <f>[1]Residential!I$26</f>
        <v>192.81781244663154</v>
      </c>
      <c r="N972" s="3">
        <f>[1]Residential!J$26</f>
        <v>189.52522847316499</v>
      </c>
      <c r="O972" s="3">
        <f>[1]Residential!K$26</f>
        <v>185.70265010132761</v>
      </c>
      <c r="P972" s="3">
        <f>[1]Residential!L$26</f>
        <v>186.06395123263638</v>
      </c>
      <c r="Q972" s="3">
        <f>[1]Residential!M$26</f>
        <v>176.10686180232074</v>
      </c>
      <c r="S972" s="3"/>
    </row>
    <row r="973" spans="2:19" x14ac:dyDescent="0.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69.470009599984664</v>
      </c>
      <c r="G973" s="1">
        <f>[1]Residential!C$15</f>
        <v>70.028386555259544</v>
      </c>
      <c r="H973" s="1">
        <f>[1]Residential!D$15</f>
        <v>71.024518390941367</v>
      </c>
      <c r="I973" s="1">
        <f>[1]Residential!E$15</f>
        <v>67.977559196817964</v>
      </c>
      <c r="J973" s="1">
        <f>[1]Residential!F$15</f>
        <v>67.673015126010441</v>
      </c>
      <c r="K973" s="1">
        <f>[1]Residential!G$15</f>
        <v>64.628518984453166</v>
      </c>
      <c r="L973" s="1">
        <f>[1]Residential!H$15</f>
        <v>66.484331251940461</v>
      </c>
      <c r="M973" s="1">
        <f>[1]Residential!I$15</f>
        <v>71.076426365256097</v>
      </c>
      <c r="N973" s="1">
        <f>[1]Residential!J$15</f>
        <v>77.827195794314534</v>
      </c>
      <c r="O973" s="1">
        <f>[1]Residential!K$15</f>
        <v>78.388529173425724</v>
      </c>
      <c r="P973" s="1">
        <f>[1]Residential!L$15</f>
        <v>78.544589273401272</v>
      </c>
      <c r="Q973" s="1">
        <f>[1]Residential!M$15</f>
        <v>74.854544319356251</v>
      </c>
      <c r="S973" s="3"/>
    </row>
    <row r="974" spans="2:19" x14ac:dyDescent="0.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15.333197781051748</v>
      </c>
      <c r="G974" s="1">
        <f t="shared" ref="G974:K974" si="1169">SUM(G975:G976)</f>
        <v>15.115741730808725</v>
      </c>
      <c r="H974" s="1">
        <f t="shared" si="1169"/>
        <v>15.938314892485181</v>
      </c>
      <c r="I974" s="1">
        <f t="shared" si="1169"/>
        <v>15.031436362946437</v>
      </c>
      <c r="J974" s="1">
        <f t="shared" si="1169"/>
        <v>15.98879325102107</v>
      </c>
      <c r="K974" s="1">
        <f t="shared" si="1169"/>
        <v>14.672154649728867</v>
      </c>
      <c r="L974" s="1">
        <f t="shared" ref="L974:O974" si="1170">SUM(L975:L976)</f>
        <v>16.354241484464715</v>
      </c>
      <c r="M974" s="1">
        <f t="shared" si="1170"/>
        <v>19.661114928705057</v>
      </c>
      <c r="N974" s="1">
        <f t="shared" si="1170"/>
        <v>23.521138262347453</v>
      </c>
      <c r="O974" s="1">
        <f t="shared" si="1170"/>
        <v>23.757941269666571</v>
      </c>
      <c r="P974" s="1">
        <f>SUM(P975:P976)</f>
        <v>23.640768579924018</v>
      </c>
      <c r="Q974" s="1">
        <f>SUM(Q975:Q976)</f>
        <v>21.314176157256295</v>
      </c>
      <c r="S974" s="3"/>
    </row>
    <row r="975" spans="2:19" x14ac:dyDescent="0.5">
      <c r="B975" s="5" t="str">
        <f>B974</f>
        <v>SPS1</v>
      </c>
      <c r="C975" s="5" t="str">
        <f t="shared" ref="C975" si="1171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9.3768446563386441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8.1378015756109505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8.5129015634498089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5.4010622116862388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3.0057648881743435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1.8706582343069418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1.2355971790264912</v>
      </c>
      <c r="M975" s="1" cm="1">
        <f t="array" ref="M975">SUMPRODUCT(([1]OUT_FinalEnergyCons!$B$4:$B$10000="Var_Fin")*1,ISNUMBER(SEARCH("R*_ELC",[1]OUT_FinalEnergyCons!$C$4:$C$10000))*1, (ISNUMBER(SEARCH("RH*-SHELCBR",[1]OUT_FinalEnergyCons!$A$4:$A$10000)))*1,[1]OUT_FinalEnergyCons!K$4:K$10000)</f>
        <v>1.3707595599408207</v>
      </c>
      <c r="N975" s="1" cm="1">
        <f t="array" ref="N975">SUMPRODUCT(([1]OUT_FinalEnergyCons!$B$4:$B$10000="Var_Fin")*1,ISNUMBER(SEARCH("R*_ELC",[1]OUT_FinalEnergyCons!$C$4:$C$10000))*1, (ISNUMBER(SEARCH("RH*-SHELCBR",[1]OUT_FinalEnergyCons!$A$4:$A$10000)))*1,[1]OUT_FinalEnergyCons!L$4:L$10000)</f>
        <v>3.8170956049673497</v>
      </c>
      <c r="O975" s="1" cm="1">
        <f t="array" ref="O975">SUMPRODUCT(([1]OUT_FinalEnergyCons!$B$4:$B$10000="Var_Fin")*1,ISNUMBER(SEARCH("R*_ELC",[1]OUT_FinalEnergyCons!$C$4:$C$10000))*1, (ISNUMBER(SEARCH("RH*-SHELCBR",[1]OUT_FinalEnergyCons!$A$4:$A$10000)))*1,[1]OUT_FinalEnergyCons!M$4:M$10000)</f>
        <v>3.7563179945502236</v>
      </c>
      <c r="P975" s="1" cm="1">
        <f t="array" ref="P975">SUMPRODUCT(([1]OUT_FinalEnergyCons!$B$4:$B$10000="Var_Fin")*1,ISNUMBER(SEARCH("R*_ELC",[1]OUT_FinalEnergyCons!$C$4:$C$10000))*1, (ISNUMBER(SEARCH("RH*-SHELCBR",[1]OUT_FinalEnergyCons!$A$4:$A$10000)))*1,[1]OUT_FinalEnergyCons!N$4:N$10000)</f>
        <v>3.639123599560723</v>
      </c>
      <c r="Q975" s="1" cm="1">
        <f t="array" ref="Q975">SUMPRODUCT(([1]OUT_FinalEnergyCons!$B$4:$B$10000="Var_Fin")*1,ISNUMBER(SEARCH("R*_ELC",[1]OUT_FinalEnergyCons!$C$4:$C$10000))*1, (ISNUMBER(SEARCH("RH*-SHELCBR",[1]OUT_FinalEnergyCons!$A$4:$A$10000)))*1,[1]OUT_FinalEnergyCons!O$4:O$10000)</f>
        <v>1.3125175481931592</v>
      </c>
      <c r="S975" s="3"/>
    </row>
    <row r="976" spans="2:19" x14ac:dyDescent="0.5">
      <c r="B976" s="5" t="str">
        <f t="shared" ref="B976:B980" si="1172">B975</f>
        <v>SPS1</v>
      </c>
      <c r="C976" s="5" t="str">
        <f t="shared" ref="C976:C980" si="1173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5.9563531247131039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6.9779401551977749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7.4254133290353712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9.6303741512601988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12.983028362846726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12.801496415421925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15.118644305438224</v>
      </c>
      <c r="M976" s="1" cm="1">
        <f t="array" ref="M976">SUMPRODUCT(([1]OUT_FinalEnergyCons!$B$4:$B$10000="Var_Fin")*1,ISNUMBER(SEARCH("R*_ELC",[1]OUT_FinalEnergyCons!$C$4:$C$10000))*1, (ISNUMBER(SEARCH("RH*-SHELCHP",[1]OUT_FinalEnergyCons!$A$4:$A$10000)))*1,[1]OUT_FinalEnergyCons!K$4:K$10000)</f>
        <v>18.290355368764235</v>
      </c>
      <c r="N976" s="1" cm="1">
        <f t="array" ref="N976">SUMPRODUCT(([1]OUT_FinalEnergyCons!$B$4:$B$10000="Var_Fin")*1,ISNUMBER(SEARCH("R*_ELC",[1]OUT_FinalEnergyCons!$C$4:$C$10000))*1, (ISNUMBER(SEARCH("RH*-SHELCHP",[1]OUT_FinalEnergyCons!$A$4:$A$10000)))*1,[1]OUT_FinalEnergyCons!L$4:L$10000)</f>
        <v>19.704042657380104</v>
      </c>
      <c r="O976" s="1" cm="1">
        <f t="array" ref="O976">SUMPRODUCT(([1]OUT_FinalEnergyCons!$B$4:$B$10000="Var_Fin")*1,ISNUMBER(SEARCH("R*_ELC",[1]OUT_FinalEnergyCons!$C$4:$C$10000))*1, (ISNUMBER(SEARCH("RH*-SHELCHP",[1]OUT_FinalEnergyCons!$A$4:$A$10000)))*1,[1]OUT_FinalEnergyCons!M$4:M$10000)</f>
        <v>20.001623275116348</v>
      </c>
      <c r="P976" s="1" cm="1">
        <f t="array" ref="P976">SUMPRODUCT(([1]OUT_FinalEnergyCons!$B$4:$B$10000="Var_Fin")*1,ISNUMBER(SEARCH("R*_ELC",[1]OUT_FinalEnergyCons!$C$4:$C$10000))*1, (ISNUMBER(SEARCH("RH*-SHELCHP",[1]OUT_FinalEnergyCons!$A$4:$A$10000)))*1,[1]OUT_FinalEnergyCons!N$4:N$10000)</f>
        <v>20.001644980363295</v>
      </c>
      <c r="Q976" s="1" cm="1">
        <f t="array" ref="Q976">SUMPRODUCT(([1]OUT_FinalEnergyCons!$B$4:$B$10000="Var_Fin")*1,ISNUMBER(SEARCH("R*_ELC",[1]OUT_FinalEnergyCons!$C$4:$C$10000))*1, (ISNUMBER(SEARCH("RH*-SHELCHP",[1]OUT_FinalEnergyCons!$A$4:$A$10000)))*1,[1]OUT_FinalEnergyCons!O$4:O$10000)</f>
        <v>20.001658609063135</v>
      </c>
      <c r="S976" s="3"/>
    </row>
    <row r="977" spans="2:19" x14ac:dyDescent="0.5">
      <c r="B977" s="5" t="str">
        <f t="shared" si="1172"/>
        <v>SPS1</v>
      </c>
      <c r="C977" s="5" t="str">
        <f t="shared" si="1173"/>
        <v>CH</v>
      </c>
      <c r="D977" t="s">
        <v>1002</v>
      </c>
      <c r="E977" t="s">
        <v>8</v>
      </c>
      <c r="F977" s="1">
        <f>SUM(F978:F979)</f>
        <v>9.5599061841610773</v>
      </c>
      <c r="G977" s="1">
        <f t="shared" ref="G977:K977" si="1174">SUM(G978:G979)</f>
        <v>10.085306593290571</v>
      </c>
      <c r="H977" s="1">
        <f t="shared" si="1174"/>
        <v>10.452712744731667</v>
      </c>
      <c r="I977" s="1">
        <f t="shared" si="1174"/>
        <v>8.1078504086937588</v>
      </c>
      <c r="J977" s="1">
        <f t="shared" si="1174"/>
        <v>6.6541356459185383</v>
      </c>
      <c r="K977" s="1">
        <f t="shared" si="1174"/>
        <v>4.9044978733323301</v>
      </c>
      <c r="L977" s="1">
        <f t="shared" ref="L977:O977" si="1175">SUM(L978:L979)</f>
        <v>5.2566231300584594</v>
      </c>
      <c r="M977" s="1">
        <f t="shared" si="1175"/>
        <v>6.4832230401842343</v>
      </c>
      <c r="N977" s="1">
        <f t="shared" si="1175"/>
        <v>8.8302182542869829</v>
      </c>
      <c r="O977" s="1">
        <f t="shared" si="1175"/>
        <v>8.7710690066472345</v>
      </c>
      <c r="P977" s="1">
        <f>SUM(P978:P979)</f>
        <v>8.6310264661974152</v>
      </c>
      <c r="Q977" s="1">
        <f>SUM(Q978:Q979)</f>
        <v>7.2513905161154515</v>
      </c>
      <c r="S977" s="3"/>
    </row>
    <row r="978" spans="2:19" x14ac:dyDescent="0.5">
      <c r="B978" s="5" t="str">
        <f t="shared" si="1172"/>
        <v>SPS1</v>
      </c>
      <c r="C978" s="5" t="str">
        <f t="shared" si="1173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8.4110084010718911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8.798874503574341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8.7002612832591346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5.4914272677283593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2.7109002211723068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1.6767308756867136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1.1007105628637617</v>
      </c>
      <c r="M978" s="1" cm="1">
        <f t="array" ref="M978">SUMPRODUCT(([1]OUT_FinalEnergyCons!$B$4:$B$10000="Var_Fin")*1,ISNUMBER(SEARCH("R*_ELC",[1]OUT_FinalEnergyCons!$C$4:$C$10000))*1, (ISNUMBER(SEARCH("RH*-wHELCBR",[1]OUT_FinalEnergyCons!$A$4:$A$10000)))*1,[1]OUT_FinalEnergyCons!K$4:K$10000)</f>
        <v>1.2136722170626106</v>
      </c>
      <c r="N978" s="1" cm="1">
        <f t="array" ref="N978">SUMPRODUCT(([1]OUT_FinalEnergyCons!$B$4:$B$10000="Var_Fin")*1,ISNUMBER(SEARCH("R*_ELC",[1]OUT_FinalEnergyCons!$C$4:$C$10000))*1, (ISNUMBER(SEARCH("RH*-wHELCBR",[1]OUT_FinalEnergyCons!$A$4:$A$10000)))*1,[1]OUT_FinalEnergyCons!L$4:L$10000)</f>
        <v>3.3796637082461878</v>
      </c>
      <c r="O978" s="1" cm="1">
        <f t="array" ref="O978">SUMPRODUCT(([1]OUT_FinalEnergyCons!$B$4:$B$10000="Var_Fin")*1,ISNUMBER(SEARCH("R*_ELC",[1]OUT_FinalEnergyCons!$C$4:$C$10000))*1, (ISNUMBER(SEARCH("RH*-wHELCBR",[1]OUT_FinalEnergyCons!$A$4:$A$10000)))*1,[1]OUT_FinalEnergyCons!M$4:M$10000)</f>
        <v>3.3258596167414973</v>
      </c>
      <c r="P978" s="1" cm="1">
        <f t="array" ref="P978">SUMPRODUCT(([1]OUT_FinalEnergyCons!$B$4:$B$10000="Var_Fin")*1,ISNUMBER(SEARCH("R*_ELC",[1]OUT_FinalEnergyCons!$C$4:$C$10000))*1, (ISNUMBER(SEARCH("RH*-wHELCBR",[1]OUT_FinalEnergyCons!$A$4:$A$10000)))*1,[1]OUT_FinalEnergyCons!N$4:N$10000)</f>
        <v>3.2220921028926854</v>
      </c>
      <c r="Q978" s="1" cm="1">
        <f t="array" ref="Q978">SUMPRODUCT(([1]OUT_FinalEnergyCons!$B$4:$B$10000="Var_Fin")*1,ISNUMBER(SEARCH("R*_ELC",[1]OUT_FinalEnergyCons!$C$4:$C$10000))*1, (ISNUMBER(SEARCH("RH*-wHELCBR",[1]OUT_FinalEnergyCons!$A$4:$A$10000)))*1,[1]OUT_FinalEnergyCons!O$4:O$10000)</f>
        <v>1.1621363937360607</v>
      </c>
      <c r="S978" s="3"/>
    </row>
    <row r="979" spans="2:19" x14ac:dyDescent="0.5">
      <c r="B979" s="5" t="str">
        <f t="shared" si="1172"/>
        <v>SPS1</v>
      </c>
      <c r="C979" s="5" t="str">
        <f t="shared" si="1173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1.148897783089186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1.2864320897162314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1.7524514614725328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2.6164231409653995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3.9432354247462316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3.2277669976456167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4.1559125671946981</v>
      </c>
      <c r="M979" s="1" cm="1">
        <f t="array" ref="M979">SUMPRODUCT(([1]OUT_FinalEnergyCons!$B$4:$B$10000="Var_Fin")*1,ISNUMBER(SEARCH("R*_ELC",[1]OUT_FinalEnergyCons!$C$4:$C$10000))*1, (ISNUMBER(SEARCH("RH*-wHELCHP",[1]OUT_FinalEnergyCons!$A$4:$A$10000)))*1,[1]OUT_FinalEnergyCons!K$4:K$10000)</f>
        <v>5.2695508231216239</v>
      </c>
      <c r="N979" s="1" cm="1">
        <f t="array" ref="N979">SUMPRODUCT(([1]OUT_FinalEnergyCons!$B$4:$B$10000="Var_Fin")*1,ISNUMBER(SEARCH("R*_ELC",[1]OUT_FinalEnergyCons!$C$4:$C$10000))*1, (ISNUMBER(SEARCH("RH*-wHELCHP",[1]OUT_FinalEnergyCons!$A$4:$A$10000)))*1,[1]OUT_FinalEnergyCons!L$4:L$10000)</f>
        <v>5.450554546040796</v>
      </c>
      <c r="O979" s="1" cm="1">
        <f t="array" ref="O979">SUMPRODUCT(([1]OUT_FinalEnergyCons!$B$4:$B$10000="Var_Fin")*1,ISNUMBER(SEARCH("R*_ELC",[1]OUT_FinalEnergyCons!$C$4:$C$10000))*1, (ISNUMBER(SEARCH("RH*-wHELCHP",[1]OUT_FinalEnergyCons!$A$4:$A$10000)))*1,[1]OUT_FinalEnergyCons!M$4:M$10000)</f>
        <v>5.4452093899057372</v>
      </c>
      <c r="P979" s="1" cm="1">
        <f t="array" ref="P979">SUMPRODUCT(([1]OUT_FinalEnergyCons!$B$4:$B$10000="Var_Fin")*1,ISNUMBER(SEARCH("R*_ELC",[1]OUT_FinalEnergyCons!$C$4:$C$10000))*1, (ISNUMBER(SEARCH("RH*-wHELCHP",[1]OUT_FinalEnergyCons!$A$4:$A$10000)))*1,[1]OUT_FinalEnergyCons!N$4:N$10000)</f>
        <v>5.4089343633047289</v>
      </c>
      <c r="Q979" s="1" cm="1">
        <f t="array" ref="Q979">SUMPRODUCT(([1]OUT_FinalEnergyCons!$B$4:$B$10000="Var_Fin")*1,ISNUMBER(SEARCH("R*_ELC",[1]OUT_FinalEnergyCons!$C$4:$C$10000))*1, (ISNUMBER(SEARCH("RH*-wHELCHP",[1]OUT_FinalEnergyCons!$A$4:$A$10000)))*1,[1]OUT_FinalEnergyCons!O$4:O$10000)</f>
        <v>6.0892541223793906</v>
      </c>
      <c r="S979" s="3"/>
    </row>
    <row r="980" spans="2:19" x14ac:dyDescent="0.5">
      <c r="B980" s="5" t="str">
        <f t="shared" si="1172"/>
        <v>SPS1</v>
      </c>
      <c r="C980" s="5" t="str">
        <f t="shared" si="1173"/>
        <v>CH</v>
      </c>
      <c r="D980" t="s">
        <v>1003</v>
      </c>
      <c r="E980" t="s">
        <v>8</v>
      </c>
      <c r="F980" s="1">
        <f>[1]Residential!B$3-([1]Residential!B$10-[1]Residential!B$244)</f>
        <v>44.57690563477184</v>
      </c>
      <c r="G980" s="1">
        <f>[1]Residential!C$3-([1]Residential!C$10-[1]Residential!C$244)</f>
        <v>44.827338231160248</v>
      </c>
      <c r="H980" s="1">
        <f>[1]Residential!D$3-([1]Residential!D$10-[1]Residential!D$244)</f>
        <v>44.633490753724523</v>
      </c>
      <c r="I980" s="1">
        <f>[1]Residential!E$3-([1]Residential!E$10-[1]Residential!E$244)</f>
        <v>44.838272425177777</v>
      </c>
      <c r="J980" s="1">
        <f>[1]Residential!F$3-([1]Residential!F$10-[1]Residential!F$244)</f>
        <v>45.030086229070832</v>
      </c>
      <c r="K980" s="1">
        <f>[1]Residential!G$3-([1]Residential!G$10-[1]Residential!G$244)</f>
        <v>45.051866461391974</v>
      </c>
      <c r="L980" s="1">
        <f>[1]Residential!H$3-([1]Residential!H$10-[1]Residential!H$244)</f>
        <v>44.87346663741728</v>
      </c>
      <c r="M980" s="1">
        <f>[1]Residential!I$3-([1]Residential!I$10-[1]Residential!I$244)</f>
        <v>44.932088396366808</v>
      </c>
      <c r="N980" s="1">
        <f>[1]Residential!J$3-([1]Residential!J$10-[1]Residential!J$244)</f>
        <v>45.475839277680095</v>
      </c>
      <c r="O980" s="1">
        <f>[1]Residential!K$3-([1]Residential!K$10-[1]Residential!K$244)</f>
        <v>45.859518897111919</v>
      </c>
      <c r="P980" s="1">
        <f>[1]Residential!L$3-([1]Residential!L$10-[1]Residential!L$244)</f>
        <v>46.272794227279846</v>
      </c>
      <c r="Q980" s="1">
        <f>[1]Residential!M$3-([1]Residential!M$10-[1]Residential!M$244)</f>
        <v>46.288977645984509</v>
      </c>
      <c r="S980" s="3"/>
    </row>
    <row r="981" spans="2:19" x14ac:dyDescent="0.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60.231827651037904</v>
      </c>
      <c r="G981" s="1">
        <f>SUM([1]Residential!C$16:C$17)</f>
        <v>51.319998567531258</v>
      </c>
      <c r="H981" s="1">
        <f>SUM([1]Residential!D$16:D$17)</f>
        <v>50.077058976233147</v>
      </c>
      <c r="I981" s="1">
        <f>SUM([1]Residential!E$16:E$17)</f>
        <v>41.439429642450648</v>
      </c>
      <c r="J981" s="1">
        <f>SUM([1]Residential!F$16:F$17)</f>
        <v>20.858522315603125</v>
      </c>
      <c r="K981" s="1">
        <f>SUM([1]Residential!G$16:G$17)</f>
        <v>10.329184692797034</v>
      </c>
      <c r="L981" s="1">
        <f>SUM([1]Residential!H$16:H$17)</f>
        <v>6.5862941569174538</v>
      </c>
      <c r="M981" s="1">
        <f>SUM([1]Residential!I$16:I$17)</f>
        <v>6.5857595073441786</v>
      </c>
      <c r="N981" s="1">
        <f>SUM([1]Residential!J$16:J$17)</f>
        <v>5.8519869916640364</v>
      </c>
      <c r="O981" s="1">
        <f>SUM([1]Residential!K$16:K$17)</f>
        <v>3.3411057651455249</v>
      </c>
      <c r="P981" s="1">
        <f>SUM([1]Residential!L$16:L$17)</f>
        <v>3.3410063536489734</v>
      </c>
      <c r="Q981" s="1">
        <f>SUM([1]Residential!M$16:M$17)</f>
        <v>0.67916682518330196</v>
      </c>
      <c r="S981" s="3"/>
    </row>
    <row r="982" spans="2:19" x14ac:dyDescent="0.5">
      <c r="B982" s="5" t="str">
        <f t="shared" ref="B982:B993" si="1176">B981</f>
        <v>SPS1</v>
      </c>
      <c r="C982" s="5" t="str">
        <f t="shared" ref="C982:C993" si="1177">C981</f>
        <v>CH</v>
      </c>
      <c r="D982" t="s">
        <v>1004</v>
      </c>
      <c r="E982" t="s">
        <v>8</v>
      </c>
      <c r="F982" s="1">
        <f>[1]Residential!B$16</f>
        <v>60.231827651037904</v>
      </c>
      <c r="G982" s="1">
        <f>[1]Residential!C$16</f>
        <v>51.319998567531258</v>
      </c>
      <c r="H982" s="1">
        <f>[1]Residential!D$16</f>
        <v>50.077011330150626</v>
      </c>
      <c r="I982" s="1">
        <f>[1]Residential!E$16</f>
        <v>41.439092487066311</v>
      </c>
      <c r="J982" s="1">
        <f>[1]Residential!F$16</f>
        <v>20.85801082584419</v>
      </c>
      <c r="K982" s="1">
        <f>[1]Residential!G$16</f>
        <v>10.328977845035174</v>
      </c>
      <c r="L982" s="1">
        <f>[1]Residential!H$16</f>
        <v>6.5855117425458669</v>
      </c>
      <c r="M982" s="1">
        <f>[1]Residential!I$16</f>
        <v>0</v>
      </c>
      <c r="N982" s="1">
        <f>[1]Residential!J$16</f>
        <v>2.1575786774654738E-4</v>
      </c>
      <c r="O982" s="1">
        <f>[1]Residential!K$16</f>
        <v>3.8340194755885696E-4</v>
      </c>
      <c r="P982" s="1">
        <f>[1]Residential!L$16</f>
        <v>2.4461817427717732E-4</v>
      </c>
      <c r="Q982" s="1">
        <f>[1]Residential!M$16</f>
        <v>4.6088380848606839E-4</v>
      </c>
      <c r="S982" s="3"/>
    </row>
    <row r="983" spans="2:19" x14ac:dyDescent="0.5">
      <c r="B983" s="5" t="str">
        <f t="shared" si="1176"/>
        <v>SPS1</v>
      </c>
      <c r="C983" s="5" t="str">
        <f t="shared" si="1177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4.7646082523136976E-5</v>
      </c>
      <c r="I983" s="1">
        <f>[1]Residential!E$17</f>
        <v>3.3715538433816259E-4</v>
      </c>
      <c r="J983" s="1">
        <f>[1]Residential!F$17</f>
        <v>5.1148975893498903E-4</v>
      </c>
      <c r="K983" s="1">
        <f>[1]Residential!G$17</f>
        <v>2.068477618591663E-4</v>
      </c>
      <c r="L983" s="1">
        <f>[1]Residential!H$17</f>
        <v>7.8241437158710022E-4</v>
      </c>
      <c r="M983" s="1">
        <f>[1]Residential!I$17</f>
        <v>6.5857595073441786</v>
      </c>
      <c r="N983" s="1">
        <f>[1]Residential!J$17</f>
        <v>5.8517712337962902</v>
      </c>
      <c r="O983" s="1">
        <f>[1]Residential!K$17</f>
        <v>3.3407223631979659</v>
      </c>
      <c r="P983" s="1">
        <f>[1]Residential!L$17</f>
        <v>3.3407617354746963</v>
      </c>
      <c r="Q983" s="1">
        <f>[1]Residential!M$17</f>
        <v>0.67870594137481588</v>
      </c>
      <c r="S983" s="3"/>
    </row>
    <row r="984" spans="2:19" x14ac:dyDescent="0.5">
      <c r="B984" s="5" t="str">
        <f t="shared" si="1176"/>
        <v>SPS1</v>
      </c>
      <c r="C984" s="5" t="str">
        <f t="shared" si="1177"/>
        <v>CH</v>
      </c>
      <c r="D984" t="s">
        <v>1006</v>
      </c>
      <c r="E984" t="s">
        <v>8</v>
      </c>
      <c r="F984" s="1">
        <f>SUM(F986,F988)</f>
        <v>50.371414696355771</v>
      </c>
      <c r="G984" s="1">
        <f t="shared" ref="G984:K984" si="1178">SUM(G986,G988)</f>
        <v>42.96102485187393</v>
      </c>
      <c r="H984" s="1">
        <f t="shared" si="1178"/>
        <v>44.763631750798609</v>
      </c>
      <c r="I984" s="1">
        <f t="shared" si="1178"/>
        <v>40.026376264184861</v>
      </c>
      <c r="J984" s="1">
        <f t="shared" si="1178"/>
        <v>20.364307939525119</v>
      </c>
      <c r="K984" s="1">
        <f t="shared" si="1178"/>
        <v>10.327736622088931</v>
      </c>
      <c r="L984" s="1">
        <f t="shared" ref="L984:O984" si="1179">SUM(L986,L988)</f>
        <v>6.5851930034635746</v>
      </c>
      <c r="M984" s="1">
        <f t="shared" si="1179"/>
        <v>6.5851895199577584</v>
      </c>
      <c r="N984" s="1">
        <f t="shared" si="1179"/>
        <v>5.8516094667063001</v>
      </c>
      <c r="O984" s="1">
        <f t="shared" si="1179"/>
        <v>3.3404754455105579</v>
      </c>
      <c r="P984" s="1">
        <f>SUM(P986,P988)</f>
        <v>3.340459971829091</v>
      </c>
      <c r="Q984" s="1">
        <f>SUM(Q986,Q988)</f>
        <v>0.67798327214215315</v>
      </c>
      <c r="S984" s="3"/>
    </row>
    <row r="985" spans="2:19" x14ac:dyDescent="0.5">
      <c r="B985" s="5" t="str">
        <f t="shared" si="1176"/>
        <v>SPS1</v>
      </c>
      <c r="C985" s="5" t="str">
        <f t="shared" si="1177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50.371414696355771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42.96102485187393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44.763631750798609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40.026376264184861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20.364307939525119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10.327736622088931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6.5851930034635746</v>
      </c>
      <c r="M985" s="1" cm="1">
        <f t="array" ref="M985">SUMPRODUCT(([1]OUT_FinalEnergyCons!$B$4:$B$10000="Var_Fin")*1, ([1]OUT_FinalEnergyCons!$C$4:$C$10000="RLFO")*1,(ISNUMBER(SEARCH("RH*-SHLFOBR",[1]OUT_FinalEnergyCons!$A$4:$A$10000)))*1,[1]OUT_FinalEnergyCons!K$4:K$10000)</f>
        <v>6.5851895199577584</v>
      </c>
      <c r="N985" s="1" cm="1">
        <f t="array" ref="N985">SUMPRODUCT(([1]OUT_FinalEnergyCons!$B$4:$B$10000="Var_Fin")*1, ([1]OUT_FinalEnergyCons!$C$4:$C$10000="RLFO")*1,(ISNUMBER(SEARCH("RH*-SHLFOBR",[1]OUT_FinalEnergyCons!$A$4:$A$10000)))*1,[1]OUT_FinalEnergyCons!L$4:L$10000)</f>
        <v>5.8516094667063001</v>
      </c>
      <c r="O985" s="1" cm="1">
        <f t="array" ref="O985">SUMPRODUCT(([1]OUT_FinalEnergyCons!$B$4:$B$10000="Var_Fin")*1, ([1]OUT_FinalEnergyCons!$C$4:$C$10000="RLFO")*1,(ISNUMBER(SEARCH("RH*-SHLFOBR",[1]OUT_FinalEnergyCons!$A$4:$A$10000)))*1,[1]OUT_FinalEnergyCons!M$4:M$10000)</f>
        <v>3.3404754455105579</v>
      </c>
      <c r="P985" s="1" cm="1">
        <f t="array" ref="P985">SUMPRODUCT(([1]OUT_FinalEnergyCons!$B$4:$B$10000="Var_Fin")*1, ([1]OUT_FinalEnergyCons!$C$4:$C$10000="RLFO")*1,(ISNUMBER(SEARCH("RH*-SHLFOBR",[1]OUT_FinalEnergyCons!$A$4:$A$10000)))*1,[1]OUT_FinalEnergyCons!N$4:N$10000)</f>
        <v>3.340459971829091</v>
      </c>
      <c r="Q985" s="1" cm="1">
        <f t="array" ref="Q985">SUMPRODUCT(([1]OUT_FinalEnergyCons!$B$4:$B$10000="Var_Fin")*1, ([1]OUT_FinalEnergyCons!$C$4:$C$10000="RLFO")*1,(ISNUMBER(SEARCH("RH*-SHLFOBR",[1]OUT_FinalEnergyCons!$A$4:$A$10000)))*1,[1]OUT_FinalEnergyCons!O$4:O$10000)</f>
        <v>0.67798327214215315</v>
      </c>
      <c r="S985" s="3"/>
    </row>
    <row r="986" spans="2:19" x14ac:dyDescent="0.5">
      <c r="B986" s="5" t="str">
        <f t="shared" si="1176"/>
        <v>SPS1</v>
      </c>
      <c r="C986" s="5" t="str">
        <f t="shared" si="1177"/>
        <v>CH</v>
      </c>
      <c r="D986" t="s">
        <v>1007</v>
      </c>
      <c r="E986" t="s">
        <v>8</v>
      </c>
      <c r="F986" s="1">
        <f>F987</f>
        <v>50.371414696355771</v>
      </c>
      <c r="G986" s="1">
        <f t="shared" ref="G986:O986" si="1180">G987</f>
        <v>42.96102485187393</v>
      </c>
      <c r="H986" s="1">
        <f t="shared" si="1180"/>
        <v>44.763589160204518</v>
      </c>
      <c r="I986" s="1">
        <f t="shared" si="1180"/>
        <v>40.026050605545507</v>
      </c>
      <c r="J986" s="1">
        <f t="shared" si="1180"/>
        <v>20.363808568821803</v>
      </c>
      <c r="K986" s="1">
        <f t="shared" si="1180"/>
        <v>10.327529803325506</v>
      </c>
      <c r="L986" s="1">
        <f t="shared" si="1180"/>
        <v>6.5844107199027695</v>
      </c>
      <c r="M986" s="1">
        <f t="shared" si="1180"/>
        <v>0</v>
      </c>
      <c r="N986" s="1">
        <f t="shared" si="1180"/>
        <v>2.1574394871699072E-4</v>
      </c>
      <c r="O986" s="1">
        <f t="shared" si="1180"/>
        <v>3.8332961648267493E-4</v>
      </c>
      <c r="P986" s="1">
        <f>P987</f>
        <v>2.4457816988655655E-4</v>
      </c>
      <c r="Q986" s="1">
        <f>Q987</f>
        <v>4.6008064729956212E-4</v>
      </c>
      <c r="S986" s="3"/>
    </row>
    <row r="987" spans="2:19" x14ac:dyDescent="0.5">
      <c r="B987" s="5" t="str">
        <f t="shared" si="1176"/>
        <v>SPS1</v>
      </c>
      <c r="C987" s="5" t="str">
        <f t="shared" si="1177"/>
        <v>CH</v>
      </c>
      <c r="D987" t="s">
        <v>709</v>
      </c>
      <c r="E987" t="s">
        <v>8</v>
      </c>
      <c r="F987" s="1">
        <f>F985*IFERROR(F982/F981,0)</f>
        <v>50.371414696355771</v>
      </c>
      <c r="G987" s="1">
        <f t="shared" ref="G987:K987" si="1181">G985*IFERROR(G982/G981,0)</f>
        <v>42.96102485187393</v>
      </c>
      <c r="H987" s="1">
        <f t="shared" si="1181"/>
        <v>44.763589160204518</v>
      </c>
      <c r="I987" s="1">
        <f t="shared" si="1181"/>
        <v>40.026050605545507</v>
      </c>
      <c r="J987" s="1">
        <f t="shared" si="1181"/>
        <v>20.363808568821803</v>
      </c>
      <c r="K987" s="1">
        <f t="shared" si="1181"/>
        <v>10.327529803325506</v>
      </c>
      <c r="L987" s="1">
        <f t="shared" ref="L987:O987" si="1182">L985*IFERROR(L982/L981,0)</f>
        <v>6.5844107199027695</v>
      </c>
      <c r="M987" s="1">
        <f t="shared" si="1182"/>
        <v>0</v>
      </c>
      <c r="N987" s="1">
        <f t="shared" si="1182"/>
        <v>2.1574394871699072E-4</v>
      </c>
      <c r="O987" s="1">
        <f t="shared" si="1182"/>
        <v>3.8332961648267493E-4</v>
      </c>
      <c r="P987" s="1">
        <f>P985*IFERROR(P982/P981,0)</f>
        <v>2.4457816988655655E-4</v>
      </c>
      <c r="Q987" s="1">
        <f>Q985*IFERROR(Q982/Q981,0)</f>
        <v>4.6008064729956212E-4</v>
      </c>
      <c r="S987" s="3"/>
    </row>
    <row r="988" spans="2:19" x14ac:dyDescent="0.5">
      <c r="B988" s="5" t="str">
        <f t="shared" si="1176"/>
        <v>SPS1</v>
      </c>
      <c r="C988" s="5" t="str">
        <f t="shared" si="1177"/>
        <v>CH</v>
      </c>
      <c r="D988" t="s">
        <v>1008</v>
      </c>
      <c r="E988" t="s">
        <v>8</v>
      </c>
      <c r="F988" s="1">
        <f>F989</f>
        <v>0</v>
      </c>
      <c r="G988" s="1">
        <f t="shared" ref="G988:O988" si="1183">G989</f>
        <v>0</v>
      </c>
      <c r="H988" s="1">
        <f t="shared" si="1183"/>
        <v>4.2590594091507228E-5</v>
      </c>
      <c r="I988" s="1">
        <f t="shared" si="1183"/>
        <v>3.2565863935474226E-4</v>
      </c>
      <c r="J988" s="1">
        <f t="shared" si="1183"/>
        <v>4.9937070331651512E-4</v>
      </c>
      <c r="K988" s="1">
        <f t="shared" si="1183"/>
        <v>2.0681876342543148E-4</v>
      </c>
      <c r="L988" s="1">
        <f t="shared" si="1183"/>
        <v>7.8228356080511929E-4</v>
      </c>
      <c r="M988" s="1">
        <f t="shared" si="1183"/>
        <v>6.5851895199577584</v>
      </c>
      <c r="N988" s="1">
        <f t="shared" si="1183"/>
        <v>5.8513937227575834</v>
      </c>
      <c r="O988" s="1">
        <f t="shared" si="1183"/>
        <v>3.3400921158940751</v>
      </c>
      <c r="P988" s="1">
        <f>P989</f>
        <v>3.3402153936592045</v>
      </c>
      <c r="Q988" s="1">
        <f>Q989</f>
        <v>0.67752319149485363</v>
      </c>
      <c r="S988" s="3"/>
    </row>
    <row r="989" spans="2:19" x14ac:dyDescent="0.5">
      <c r="B989" s="5" t="str">
        <f t="shared" si="1176"/>
        <v>SPS1</v>
      </c>
      <c r="C989" s="5" t="str">
        <f t="shared" si="1177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84">G985-G987</f>
        <v>0</v>
      </c>
      <c r="H989" s="1">
        <f t="shared" si="1184"/>
        <v>4.2590594091507228E-5</v>
      </c>
      <c r="I989" s="1">
        <f t="shared" si="1184"/>
        <v>3.2565863935474226E-4</v>
      </c>
      <c r="J989" s="1">
        <f t="shared" si="1184"/>
        <v>4.9937070331651512E-4</v>
      </c>
      <c r="K989" s="1">
        <f t="shared" si="1184"/>
        <v>2.0681876342543148E-4</v>
      </c>
      <c r="L989" s="1">
        <f t="shared" ref="L989:O989" si="1185">L985-L987</f>
        <v>7.8228356080511929E-4</v>
      </c>
      <c r="M989" s="1">
        <f t="shared" si="1185"/>
        <v>6.5851895199577584</v>
      </c>
      <c r="N989" s="1">
        <f t="shared" si="1185"/>
        <v>5.8513937227575834</v>
      </c>
      <c r="O989" s="1">
        <f t="shared" si="1185"/>
        <v>3.3400921158940751</v>
      </c>
      <c r="P989" s="1">
        <f>P985-P987</f>
        <v>3.3402153936592045</v>
      </c>
      <c r="Q989" s="1">
        <f>Q985-Q987</f>
        <v>0.67752319149485363</v>
      </c>
      <c r="S989" s="3"/>
    </row>
    <row r="990" spans="2:19" x14ac:dyDescent="0.5">
      <c r="B990" s="5" t="str">
        <f t="shared" si="1176"/>
        <v>SPS1</v>
      </c>
      <c r="C990" s="5" t="str">
        <f t="shared" si="1177"/>
        <v>CH</v>
      </c>
      <c r="D990" t="s">
        <v>1009</v>
      </c>
      <c r="E990" t="s">
        <v>8</v>
      </c>
      <c r="F990" s="1">
        <f>F991</f>
        <v>9.8604129546821415</v>
      </c>
      <c r="G990" s="1">
        <f t="shared" ref="G990:O990" si="1186">G991</f>
        <v>8.3589737156573296</v>
      </c>
      <c r="H990" s="1">
        <f t="shared" si="1186"/>
        <v>5.3134272254345394</v>
      </c>
      <c r="I990" s="1">
        <f t="shared" si="1186"/>
        <v>1.413053378265795</v>
      </c>
      <c r="J990" s="1">
        <f t="shared" si="1186"/>
        <v>0.49421437607800406</v>
      </c>
      <c r="K990" s="1">
        <f t="shared" si="1186"/>
        <v>1.4480707081017355E-3</v>
      </c>
      <c r="L990" s="1">
        <f t="shared" si="1186"/>
        <v>1.1011534538793767E-3</v>
      </c>
      <c r="M990" s="1">
        <f t="shared" si="1186"/>
        <v>5.6998738642071941E-4</v>
      </c>
      <c r="N990" s="1">
        <f t="shared" si="1186"/>
        <v>3.7752495773597826E-4</v>
      </c>
      <c r="O990" s="1">
        <f t="shared" si="1186"/>
        <v>6.3031963496744262E-4</v>
      </c>
      <c r="P990" s="1">
        <f>P991</f>
        <v>5.4638181988301226E-4</v>
      </c>
      <c r="Q990" s="1">
        <f>Q991</f>
        <v>1.1835530411487833E-3</v>
      </c>
      <c r="S990" s="3"/>
    </row>
    <row r="991" spans="2:19" x14ac:dyDescent="0.5">
      <c r="B991" s="5" t="str">
        <f t="shared" si="1176"/>
        <v>SPS1</v>
      </c>
      <c r="C991" s="5" t="str">
        <f t="shared" si="1177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9.8604129546821415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8.3589737156573296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5.3134272254345394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1.413053378265795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0.49421437607800406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1.4480707081017355E-3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1.1011534538793767E-3</v>
      </c>
      <c r="M991" s="1" cm="1">
        <f t="array" ref="M991">SUMPRODUCT(([1]OUT_FinalEnergyCons!$B$4:$B$10000="Var_Fin")*1, ([1]OUT_FinalEnergyCons!$C$4:$C$10000="RLFO")*1,(ISNUMBER(SEARCH("RH*-wHLFOBR",[1]OUT_FinalEnergyCons!$A$4:$A$10000)))*1,[1]OUT_FinalEnergyCons!K$4:K$10000)</f>
        <v>5.6998738642071941E-4</v>
      </c>
      <c r="N991" s="1" cm="1">
        <f t="array" ref="N991">SUMPRODUCT(([1]OUT_FinalEnergyCons!$B$4:$B$10000="Var_Fin")*1, ([1]OUT_FinalEnergyCons!$C$4:$C$10000="RLFO")*1,(ISNUMBER(SEARCH("RH*-wHLFOBR",[1]OUT_FinalEnergyCons!$A$4:$A$10000)))*1,[1]OUT_FinalEnergyCons!L$4:L$10000)</f>
        <v>3.7752495773597826E-4</v>
      </c>
      <c r="O991" s="1" cm="1">
        <f t="array" ref="O991">SUMPRODUCT(([1]OUT_FinalEnergyCons!$B$4:$B$10000="Var_Fin")*1, ([1]OUT_FinalEnergyCons!$C$4:$C$10000="RLFO")*1,(ISNUMBER(SEARCH("RH*-wHLFOBR",[1]OUT_FinalEnergyCons!$A$4:$A$10000)))*1,[1]OUT_FinalEnergyCons!M$4:M$10000)</f>
        <v>6.3031963496744262E-4</v>
      </c>
      <c r="P991" s="1" cm="1">
        <f t="array" ref="P991">SUMPRODUCT(([1]OUT_FinalEnergyCons!$B$4:$B$10000="Var_Fin")*1, ([1]OUT_FinalEnergyCons!$C$4:$C$10000="RLFO")*1,(ISNUMBER(SEARCH("RH*-wHLFOBR",[1]OUT_FinalEnergyCons!$A$4:$A$10000)))*1,[1]OUT_FinalEnergyCons!N$4:N$10000)</f>
        <v>5.4638181988301226E-4</v>
      </c>
      <c r="Q991" s="1" cm="1">
        <f t="array" ref="Q991">SUMPRODUCT(([1]OUT_FinalEnergyCons!$B$4:$B$10000="Var_Fin")*1, ([1]OUT_FinalEnergyCons!$C$4:$C$10000="RLFO")*1,(ISNUMBER(SEARCH("RH*-wHLFOBR",[1]OUT_FinalEnergyCons!$A$4:$A$10000)))*1,[1]OUT_FinalEnergyCons!O$4:O$10000)</f>
        <v>1.1835530411487833E-3</v>
      </c>
      <c r="S991" s="3"/>
    </row>
    <row r="992" spans="2:19" x14ac:dyDescent="0.5">
      <c r="B992" s="5" t="str">
        <f t="shared" si="1176"/>
        <v>SPS1</v>
      </c>
      <c r="C992" s="5" t="str">
        <f t="shared" si="1177"/>
        <v>CH</v>
      </c>
      <c r="D992" t="s">
        <v>712</v>
      </c>
      <c r="E992" t="s">
        <v>8</v>
      </c>
      <c r="F992" s="1">
        <f>IFERROR(F982/F981,0)*F991</f>
        <v>9.8604129546821415</v>
      </c>
      <c r="G992" s="1">
        <f t="shared" ref="G992:K992" si="1187">IFERROR(G982/G981,0)*G991</f>
        <v>8.3589737156573296</v>
      </c>
      <c r="H992" s="1">
        <f t="shared" si="1187"/>
        <v>5.3134221699461133</v>
      </c>
      <c r="I992" s="1">
        <f t="shared" si="1187"/>
        <v>1.4130418815208121</v>
      </c>
      <c r="J992" s="1">
        <f t="shared" si="1187"/>
        <v>0.49420225702238457</v>
      </c>
      <c r="K992" s="1">
        <f t="shared" si="1187"/>
        <v>1.4480417096673099E-3</v>
      </c>
      <c r="L992" s="1">
        <f t="shared" ref="L992:O992" si="1188">IFERROR(L982/L981,0)*L991</f>
        <v>1.1010226430976061E-3</v>
      </c>
      <c r="M992" s="1">
        <f t="shared" si="1188"/>
        <v>0</v>
      </c>
      <c r="N992" s="1">
        <f t="shared" si="1188"/>
        <v>1.3919029556670003E-8</v>
      </c>
      <c r="O992" s="1">
        <f t="shared" si="1188"/>
        <v>7.2331076182073317E-8</v>
      </c>
      <c r="P992" s="1">
        <f>IFERROR(P982/P981,0)*P991</f>
        <v>4.0004390620822685E-8</v>
      </c>
      <c r="Q992" s="1">
        <f>IFERROR(Q982/Q981,0)*Q991</f>
        <v>8.0316118650627351E-7</v>
      </c>
      <c r="S992" s="3"/>
    </row>
    <row r="993" spans="2:19" x14ac:dyDescent="0.5">
      <c r="B993" s="5" t="str">
        <f t="shared" si="1176"/>
        <v>SPS1</v>
      </c>
      <c r="C993" s="5" t="str">
        <f t="shared" si="1177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89">G991-G992</f>
        <v>0</v>
      </c>
      <c r="H993" s="1">
        <f t="shared" si="1189"/>
        <v>5.0554884261089228E-6</v>
      </c>
      <c r="I993" s="1">
        <f t="shared" si="1189"/>
        <v>1.1496744982908425E-5</v>
      </c>
      <c r="J993" s="1">
        <f t="shared" si="1189"/>
        <v>1.2119055619486119E-5</v>
      </c>
      <c r="K993" s="1">
        <f t="shared" si="1189"/>
        <v>2.8998434425638389E-8</v>
      </c>
      <c r="L993" s="1">
        <f t="shared" ref="L993:O993" si="1190">L991-L992</f>
        <v>1.3081078177059301E-7</v>
      </c>
      <c r="M993" s="1">
        <f t="shared" si="1190"/>
        <v>5.6998738642071941E-4</v>
      </c>
      <c r="N993" s="1">
        <f t="shared" si="1190"/>
        <v>3.7751103870642161E-4</v>
      </c>
      <c r="O993" s="1">
        <f t="shared" si="1190"/>
        <v>6.3024730389126058E-4</v>
      </c>
      <c r="P993" s="1">
        <f>P991-P992</f>
        <v>5.4634181549239138E-4</v>
      </c>
      <c r="Q993" s="1">
        <f>Q991-Q992</f>
        <v>1.182749879962277E-3</v>
      </c>
      <c r="S993" s="3"/>
    </row>
    <row r="994" spans="2:19" x14ac:dyDescent="0.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47.001918417710755</v>
      </c>
      <c r="G994" s="1">
        <f t="shared" ref="G994:K994" si="1191">SUM(G995:G996)</f>
        <v>48.172848898201707</v>
      </c>
      <c r="H994" s="1">
        <f t="shared" si="1191"/>
        <v>48.07937437613203</v>
      </c>
      <c r="I994" s="1">
        <f t="shared" si="1191"/>
        <v>52.397728477627659</v>
      </c>
      <c r="J994" s="1">
        <f t="shared" si="1191"/>
        <v>51.522516461301635</v>
      </c>
      <c r="K994" s="1">
        <f t="shared" si="1191"/>
        <v>51.529196750471421</v>
      </c>
      <c r="L994" s="1">
        <f t="shared" ref="L994:O994" si="1192">SUM(L995:L996)</f>
        <v>40.74691588254521</v>
      </c>
      <c r="M994" s="1">
        <f t="shared" si="1192"/>
        <v>18.963527485675872</v>
      </c>
      <c r="N994" s="1">
        <f t="shared" si="1192"/>
        <v>9.5306103556078501</v>
      </c>
      <c r="O994" s="1">
        <f t="shared" si="1192"/>
        <v>7.4728241210350017</v>
      </c>
      <c r="P994" s="1">
        <f>SUM(P995:P996)</f>
        <v>7.5104028511751775</v>
      </c>
      <c r="Q994" s="1">
        <f>SUM(Q995:Q996)</f>
        <v>6.0798074281686052</v>
      </c>
      <c r="S994" s="3"/>
    </row>
    <row r="995" spans="2:19" x14ac:dyDescent="0.5">
      <c r="B995" s="5" t="str">
        <f t="shared" ref="B995:B1055" si="1193">B994</f>
        <v>SPS1</v>
      </c>
      <c r="C995" s="5" t="str">
        <f t="shared" ref="C995:C1055" si="1194">C994</f>
        <v>CH</v>
      </c>
      <c r="D995" t="s">
        <v>1010</v>
      </c>
      <c r="E995" t="s">
        <v>8</v>
      </c>
      <c r="F995" s="1">
        <f>[1]Residential!B$18</f>
        <v>46.69268163618645</v>
      </c>
      <c r="G995" s="1">
        <f>[1]Residential!C$18</f>
        <v>48.171453051105694</v>
      </c>
      <c r="H995" s="1">
        <f>[1]Residential!D$18</f>
        <v>48.077987501736928</v>
      </c>
      <c r="I995" s="1">
        <f>[1]Residential!E$18</f>
        <v>52.396339529367253</v>
      </c>
      <c r="J995" s="1">
        <f>[1]Residential!F$18</f>
        <v>51.521127906544059</v>
      </c>
      <c r="K995" s="1">
        <f>[1]Residential!G$18</f>
        <v>51.41924102587528</v>
      </c>
      <c r="L995" s="1">
        <f>[1]Residential!H$18</f>
        <v>40.638431444621219</v>
      </c>
      <c r="M995" s="1">
        <f>[1]Residential!I$18</f>
        <v>17.493537839966468</v>
      </c>
      <c r="N995" s="1">
        <f>[1]Residential!J$18</f>
        <v>5.4772990229661005</v>
      </c>
      <c r="O995" s="1">
        <f>[1]Residential!K$18</f>
        <v>3.4445622820404478</v>
      </c>
      <c r="P995" s="1">
        <f>[1]Residential!L$18</f>
        <v>3.4608996996571872</v>
      </c>
      <c r="Q995" s="1">
        <f>[1]Residential!M$18</f>
        <v>2.0488582418179804</v>
      </c>
      <c r="S995" s="3"/>
    </row>
    <row r="996" spans="2:19" x14ac:dyDescent="0.5">
      <c r="B996" s="5" t="str">
        <f t="shared" si="1193"/>
        <v>SPS1</v>
      </c>
      <c r="C996" s="5" t="str">
        <f t="shared" si="1194"/>
        <v>CH</v>
      </c>
      <c r="D996" t="s">
        <v>1011</v>
      </c>
      <c r="E996" t="s">
        <v>8</v>
      </c>
      <c r="F996" s="1">
        <f>[1]Residential!B$19</f>
        <v>0.30923678152430795</v>
      </c>
      <c r="G996" s="1">
        <f>[1]Residential!C$19</f>
        <v>1.3958470960132698E-3</v>
      </c>
      <c r="H996" s="1">
        <f>[1]Residential!D$19</f>
        <v>1.3868743951001266E-3</v>
      </c>
      <c r="I996" s="1">
        <f>[1]Residential!E$19</f>
        <v>1.3889482604047408E-3</v>
      </c>
      <c r="J996" s="1">
        <f>[1]Residential!F$19</f>
        <v>1.3885547575761552E-3</v>
      </c>
      <c r="K996" s="1">
        <f>[1]Residential!G$19</f>
        <v>0.1099557245961393</v>
      </c>
      <c r="L996" s="1">
        <f>[1]Residential!H$19</f>
        <v>0.10848443792399123</v>
      </c>
      <c r="M996" s="1">
        <f>[1]Residential!I$19</f>
        <v>1.4699896457094037</v>
      </c>
      <c r="N996" s="1">
        <f>[1]Residential!J$19</f>
        <v>4.0533113326417496</v>
      </c>
      <c r="O996" s="1">
        <f>[1]Residential!K$19</f>
        <v>4.0282618389945544</v>
      </c>
      <c r="P996" s="1">
        <f>[1]Residential!L$19</f>
        <v>4.0495031515179907</v>
      </c>
      <c r="Q996" s="1">
        <f>[1]Residential!M$19</f>
        <v>4.0309491863506244</v>
      </c>
      <c r="S996" s="3"/>
    </row>
    <row r="997" spans="2:19" x14ac:dyDescent="0.5">
      <c r="B997" s="5" t="str">
        <f t="shared" si="1193"/>
        <v>SPS1</v>
      </c>
      <c r="C997" s="5" t="str">
        <f t="shared" si="1194"/>
        <v>CH</v>
      </c>
      <c r="D997" t="s">
        <v>1012</v>
      </c>
      <c r="E997" t="s">
        <v>8</v>
      </c>
      <c r="F997" s="1">
        <f>SUM(F998:F999)</f>
        <v>38.494650702976003</v>
      </c>
      <c r="G997" s="1">
        <f t="shared" ref="G997:K997" si="1195">SUM(G998:G999)</f>
        <v>41.394919420988955</v>
      </c>
      <c r="H997" s="1">
        <f t="shared" si="1195"/>
        <v>39.683089028802151</v>
      </c>
      <c r="I997" s="1">
        <f t="shared" si="1195"/>
        <v>39.683249478063196</v>
      </c>
      <c r="J997" s="1">
        <f t="shared" si="1195"/>
        <v>41.087218795383862</v>
      </c>
      <c r="K997" s="1">
        <f t="shared" si="1195"/>
        <v>39.42844330585784</v>
      </c>
      <c r="L997" s="1">
        <f t="shared" ref="L997:O997" si="1196">SUM(L998:L999)</f>
        <v>32.958964412793947</v>
      </c>
      <c r="M997" s="1">
        <f t="shared" si="1196"/>
        <v>16.624180055524093</v>
      </c>
      <c r="N997" s="1">
        <f t="shared" si="1196"/>
        <v>8.2147796521707832</v>
      </c>
      <c r="O997" s="1">
        <f t="shared" si="1196"/>
        <v>6.4439779559397277</v>
      </c>
      <c r="P997" s="1">
        <f>SUM(P998:P999)</f>
        <v>6.4439283944630485</v>
      </c>
      <c r="Q997" s="1">
        <f>SUM(Q998:Q999)</f>
        <v>5.1787026685358999</v>
      </c>
      <c r="S997" s="3"/>
    </row>
    <row r="998" spans="2:19" x14ac:dyDescent="0.5">
      <c r="B998" s="5" t="str">
        <f t="shared" si="1193"/>
        <v>SPS1</v>
      </c>
      <c r="C998" s="5" t="str">
        <f t="shared" si="1194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38.494650702976003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41.394919420988955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39.677952383431546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39.677909208057422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37.734200836869917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33.835772068970726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27.522743063361602</v>
      </c>
      <c r="M998" s="1" cm="1">
        <f t="array" ref="M998">SUMPRODUCT(([1]OUT_FinalEnergyCons!$B$4:$B$10000="Var_Fin")*1,([1]OUT_FinalEnergyCons!$C$4:$C$10000="RNGA")*1, (ISNUMBER(SEARCH("RH*-SHNGABR",[1]OUT_FinalEnergyCons!$A$4:$A$10000)))*1,[1]OUT_FinalEnergyCons!K$4:K$10000)</f>
        <v>12.589436858915555</v>
      </c>
      <c r="N998" s="1" cm="1">
        <f t="array" ref="N998">SUMPRODUCT(([1]OUT_FinalEnergyCons!$B$4:$B$10000="Var_Fin")*1,([1]OUT_FinalEnergyCons!$C$4:$C$10000="RNGA")*1, (ISNUMBER(SEARCH("RH*-SHNGABR",[1]OUT_FinalEnergyCons!$A$4:$A$10000)))*1,[1]OUT_FinalEnergyCons!L$4:L$10000)</f>
        <v>6.2069199937786417</v>
      </c>
      <c r="O998" s="1" cm="1">
        <f t="array" ref="O998">SUMPRODUCT(([1]OUT_FinalEnergyCons!$B$4:$B$10000="Var_Fin")*1,([1]OUT_FinalEnergyCons!$C$4:$C$10000="RNGA")*1, (ISNUMBER(SEARCH("RH*-SHNGABR",[1]OUT_FinalEnergyCons!$A$4:$A$10000)))*1,[1]OUT_FinalEnergyCons!M$4:M$10000)</f>
        <v>4.6285500824169681</v>
      </c>
      <c r="P998" s="1" cm="1">
        <f t="array" ref="P998">SUMPRODUCT(([1]OUT_FinalEnergyCons!$B$4:$B$10000="Var_Fin")*1,([1]OUT_FinalEnergyCons!$C$4:$C$10000="RNGA")*1, (ISNUMBER(SEARCH("RH*-SHNGABR",[1]OUT_FinalEnergyCons!$A$4:$A$10000)))*1,[1]OUT_FinalEnergyCons!N$4:N$10000)</f>
        <v>4.628538626657436</v>
      </c>
      <c r="Q998" s="1" cm="1">
        <f t="array" ref="Q998">SUMPRODUCT(([1]OUT_FinalEnergyCons!$B$4:$B$10000="Var_Fin")*1,([1]OUT_FinalEnergyCons!$C$4:$C$10000="RNGA")*1, (ISNUMBER(SEARCH("RH*-SHNGABR",[1]OUT_FinalEnergyCons!$A$4:$A$10000)))*1,[1]OUT_FinalEnergyCons!O$4:O$10000)</f>
        <v>3.3633149379325462</v>
      </c>
      <c r="S998" s="3"/>
    </row>
    <row r="999" spans="2:19" x14ac:dyDescent="0.5">
      <c r="B999" s="5" t="str">
        <f t="shared" si="1193"/>
        <v>SPS1</v>
      </c>
      <c r="C999" s="5" t="str">
        <f t="shared" si="1194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5.136645370601667E-3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5.3402700057726951E-3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3.3530179585139415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5.5926712368871128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5.4362213494323468</v>
      </c>
      <c r="M999" s="1" cm="1">
        <f t="array" ref="M999">SUMPRODUCT(([1]OUT_FinalEnergyCons!$B$4:$B$10000="Var_Fin")*1, ([1]OUT_FinalEnergyCons!$C$4:$C$10000="RNGA")*1,ISNUMBER(SEARCH("RH*-SHngahp",[1]OUT_FinalEnergyCons!$A$4:$A$10000))*1,[1]OUT_FinalEnergyCons!K$4:K$10000)</f>
        <v>4.034743196608539</v>
      </c>
      <c r="N999" s="1" cm="1">
        <f t="array" ref="N999">SUMPRODUCT(([1]OUT_FinalEnergyCons!$B$4:$B$10000="Var_Fin")*1, ([1]OUT_FinalEnergyCons!$C$4:$C$10000="RNGA")*1,ISNUMBER(SEARCH("RH*-SHngahp",[1]OUT_FinalEnergyCons!$A$4:$A$10000))*1,[1]OUT_FinalEnergyCons!L$4:L$10000)</f>
        <v>2.0078596583921415</v>
      </c>
      <c r="O999" s="1" cm="1">
        <f t="array" ref="O999">SUMPRODUCT(([1]OUT_FinalEnergyCons!$B$4:$B$10000="Var_Fin")*1, ([1]OUT_FinalEnergyCons!$C$4:$C$10000="RNGA")*1,ISNUMBER(SEARCH("RH*-SHngahp",[1]OUT_FinalEnergyCons!$A$4:$A$10000))*1,[1]OUT_FinalEnergyCons!M$4:M$10000)</f>
        <v>1.8154278735227598</v>
      </c>
      <c r="P999" s="1" cm="1">
        <f t="array" ref="P999">SUMPRODUCT(([1]OUT_FinalEnergyCons!$B$4:$B$10000="Var_Fin")*1, ([1]OUT_FinalEnergyCons!$C$4:$C$10000="RNGA")*1,ISNUMBER(SEARCH("RH*-SHngahp",[1]OUT_FinalEnergyCons!$A$4:$A$10000))*1,[1]OUT_FinalEnergyCons!N$4:N$10000)</f>
        <v>1.8153897678056123</v>
      </c>
      <c r="Q999" s="1" cm="1">
        <f t="array" ref="Q999">SUMPRODUCT(([1]OUT_FinalEnergyCons!$B$4:$B$10000="Var_Fin")*1, ([1]OUT_FinalEnergyCons!$C$4:$C$10000="RNGA")*1,ISNUMBER(SEARCH("RH*-SHngahp",[1]OUT_FinalEnergyCons!$A$4:$A$10000))*1,[1]OUT_FinalEnergyCons!O$4:O$10000)</f>
        <v>1.8153877306033537</v>
      </c>
      <c r="S999" s="3"/>
    </row>
    <row r="1000" spans="2:19" x14ac:dyDescent="0.5">
      <c r="B1000" s="5" t="str">
        <f t="shared" si="1193"/>
        <v>SPS1</v>
      </c>
      <c r="C1000" s="5" t="str">
        <f t="shared" si="1194"/>
        <v>CH</v>
      </c>
      <c r="D1000" t="s">
        <v>1013</v>
      </c>
      <c r="E1000" t="s">
        <v>8</v>
      </c>
      <c r="F1000" s="1">
        <f>SUM(F1001:F1002)</f>
        <v>38.241385255734059</v>
      </c>
      <c r="G1000" s="1">
        <f t="shared" ref="G1000:K1000" si="1197">SUM(G1001:G1002)</f>
        <v>41.393719969858601</v>
      </c>
      <c r="H1000" s="1">
        <f t="shared" si="1197"/>
        <v>39.681944349596009</v>
      </c>
      <c r="I1000" s="1">
        <f t="shared" si="1197"/>
        <v>39.682197562609389</v>
      </c>
      <c r="J1000" s="1">
        <f t="shared" si="1197"/>
        <v>41.086111476544403</v>
      </c>
      <c r="K1000" s="1">
        <f t="shared" si="1197"/>
        <v>39.344308808780632</v>
      </c>
      <c r="L1000" s="1">
        <f t="shared" ref="L1000:O1000" si="1198">SUM(L1001:L1002)</f>
        <v>32.871214588017381</v>
      </c>
      <c r="M1000" s="1">
        <f t="shared" si="1198"/>
        <v>15.335528850283508</v>
      </c>
      <c r="N1000" s="1">
        <f t="shared" si="1198"/>
        <v>4.7210832133370877</v>
      </c>
      <c r="O1000" s="1">
        <f t="shared" si="1198"/>
        <v>2.9703205981858165</v>
      </c>
      <c r="P1000" s="1">
        <f>SUM(P1001:P1002)</f>
        <v>2.9694532086943846</v>
      </c>
      <c r="Q1000" s="1">
        <f>SUM(Q1001:Q1002)</f>
        <v>1.7451914011609879</v>
      </c>
      <c r="S1000" s="3"/>
    </row>
    <row r="1001" spans="2:19" x14ac:dyDescent="0.5">
      <c r="B1001" s="5" t="str">
        <f t="shared" si="1193"/>
        <v>SPS1</v>
      </c>
      <c r="C1001" s="5" t="str">
        <f t="shared" si="1194"/>
        <v>CH</v>
      </c>
      <c r="D1001" t="s">
        <v>716</v>
      </c>
      <c r="E1001" t="s">
        <v>8</v>
      </c>
      <c r="F1001" s="1">
        <f>F998-F1004</f>
        <v>38.241385255734059</v>
      </c>
      <c r="G1001" s="1">
        <f t="shared" ref="G1001:K1001" si="1199">G998-G1004</f>
        <v>41.393719969858601</v>
      </c>
      <c r="H1001" s="1">
        <f t="shared" si="1199"/>
        <v>39.676807852394596</v>
      </c>
      <c r="I1001" s="1">
        <f t="shared" si="1199"/>
        <v>39.6768574341624</v>
      </c>
      <c r="J1001" s="1">
        <f t="shared" si="1199"/>
        <v>37.733183883357277</v>
      </c>
      <c r="K1001" s="1">
        <f t="shared" si="1199"/>
        <v>33.763571509487342</v>
      </c>
      <c r="L1001" s="1">
        <f t="shared" ref="L1001:O1001" si="1200">L998-L1004</f>
        <v>27.449466614170653</v>
      </c>
      <c r="M1001" s="1">
        <f t="shared" si="1200"/>
        <v>11.61354554112687</v>
      </c>
      <c r="N1001" s="1">
        <f t="shared" si="1200"/>
        <v>3.5671542061887402</v>
      </c>
      <c r="O1001" s="1">
        <f t="shared" si="1200"/>
        <v>2.1335078647910835</v>
      </c>
      <c r="P1001" s="1">
        <f>P998-P1004</f>
        <v>2.1328959658061324</v>
      </c>
      <c r="Q1001" s="1">
        <f>Q998-Q1004</f>
        <v>1.1334167425247483</v>
      </c>
      <c r="S1001" s="3"/>
    </row>
    <row r="1002" spans="2:19" x14ac:dyDescent="0.5">
      <c r="B1002" s="5" t="str">
        <f t="shared" si="1193"/>
        <v>SPS1</v>
      </c>
      <c r="C1002" s="5" t="str">
        <f t="shared" si="1194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201">G999-G1005</f>
        <v>0</v>
      </c>
      <c r="H1002" s="1">
        <f t="shared" si="1201"/>
        <v>5.1364972014119959E-3</v>
      </c>
      <c r="I1002" s="1">
        <f t="shared" si="1201"/>
        <v>5.340128446988562E-3</v>
      </c>
      <c r="J1002" s="1">
        <f t="shared" si="1201"/>
        <v>3.3529275931871232</v>
      </c>
      <c r="K1002" s="1">
        <f t="shared" si="1201"/>
        <v>5.5807372992932907</v>
      </c>
      <c r="L1002" s="1">
        <f t="shared" ref="L1002:O1002" si="1202">L999-L1005</f>
        <v>5.4217479738467311</v>
      </c>
      <c r="M1002" s="1">
        <f t="shared" si="1202"/>
        <v>3.7219833091566383</v>
      </c>
      <c r="N1002" s="1">
        <f t="shared" si="1202"/>
        <v>1.1539290071483475</v>
      </c>
      <c r="O1002" s="1">
        <f t="shared" si="1202"/>
        <v>0.83681273339473317</v>
      </c>
      <c r="P1002" s="1">
        <f>P999-P1005</f>
        <v>0.83655724288825217</v>
      </c>
      <c r="Q1002" s="1">
        <f>Q999-Q1005</f>
        <v>0.61177465863623959</v>
      </c>
      <c r="S1002" s="3"/>
    </row>
    <row r="1003" spans="2:19" x14ac:dyDescent="0.5">
      <c r="B1003" s="5" t="str">
        <f t="shared" si="1193"/>
        <v>SPS1</v>
      </c>
      <c r="C1003" s="5" t="str">
        <f t="shared" si="1194"/>
        <v>CH</v>
      </c>
      <c r="D1003" t="s">
        <v>1014</v>
      </c>
      <c r="E1003" t="s">
        <v>8</v>
      </c>
      <c r="F1003" s="1">
        <f>SUM(F1004:F1005)</f>
        <v>0.253265447241941</v>
      </c>
      <c r="G1003" s="1">
        <f t="shared" ref="G1003:K1003" si="1203">SUM(G1004:G1005)</f>
        <v>1.1994511303575343E-3</v>
      </c>
      <c r="H1003" s="1">
        <f t="shared" si="1203"/>
        <v>1.1446792061388723E-3</v>
      </c>
      <c r="I1003" s="1">
        <f t="shared" si="1203"/>
        <v>1.0519154538024872E-3</v>
      </c>
      <c r="J1003" s="1">
        <f t="shared" si="1203"/>
        <v>1.1073188394583582E-3</v>
      </c>
      <c r="K1003" s="1">
        <f t="shared" si="1203"/>
        <v>8.4134497077207659E-2</v>
      </c>
      <c r="L1003" s="1">
        <f t="shared" ref="L1003:O1003" si="1204">SUM(L1004:L1005)</f>
        <v>8.774982477656515E-2</v>
      </c>
      <c r="M1003" s="1">
        <f t="shared" si="1204"/>
        <v>1.2886512052405863</v>
      </c>
      <c r="N1003" s="1">
        <f t="shared" si="1204"/>
        <v>3.4936964388336955</v>
      </c>
      <c r="O1003" s="1">
        <f t="shared" si="1204"/>
        <v>3.4736573577539112</v>
      </c>
      <c r="P1003" s="1">
        <f>SUM(P1004:P1005)</f>
        <v>3.4744751857686635</v>
      </c>
      <c r="Q1003" s="1">
        <f>SUM(Q1004:Q1005)</f>
        <v>3.4335112673749117</v>
      </c>
      <c r="S1003" s="3"/>
    </row>
    <row r="1004" spans="2:19" x14ac:dyDescent="0.5">
      <c r="B1004" s="5" t="str">
        <f t="shared" si="1193"/>
        <v>SPS1</v>
      </c>
      <c r="C1004" s="5" t="str">
        <f t="shared" si="1194"/>
        <v>CH</v>
      </c>
      <c r="D1004" t="s">
        <v>717</v>
      </c>
      <c r="E1004" t="s">
        <v>8</v>
      </c>
      <c r="F1004" s="1">
        <f>F998*IFERROR(F$996/F$994,0)</f>
        <v>0.253265447241941</v>
      </c>
      <c r="G1004" s="1">
        <f t="shared" ref="G1004:K1004" si="1205">G998*IFERROR(G996/G994,0)</f>
        <v>1.1994511303575343E-3</v>
      </c>
      <c r="H1004" s="1">
        <f t="shared" si="1205"/>
        <v>1.1445310369492014E-3</v>
      </c>
      <c r="I1004" s="1">
        <f t="shared" si="1205"/>
        <v>1.0517738950183546E-3</v>
      </c>
      <c r="J1004" s="1">
        <f t="shared" si="1205"/>
        <v>1.0169535126399406E-3</v>
      </c>
      <c r="K1004" s="1">
        <f t="shared" si="1205"/>
        <v>7.220055948338551E-2</v>
      </c>
      <c r="L1004" s="1">
        <f t="shared" ref="L1004:O1004" si="1206">L998*IFERROR(L996/L994,0)</f>
        <v>7.3276449190949375E-2</v>
      </c>
      <c r="M1004" s="1">
        <f t="shared" si="1206"/>
        <v>0.97589131778868543</v>
      </c>
      <c r="N1004" s="1">
        <f t="shared" si="1206"/>
        <v>2.6397657875899014</v>
      </c>
      <c r="O1004" s="1">
        <f t="shared" si="1206"/>
        <v>2.4950422176258846</v>
      </c>
      <c r="P1004" s="1">
        <f>P998*IFERROR(P996/P994,0)</f>
        <v>2.4956426608513036</v>
      </c>
      <c r="Q1004" s="1">
        <f>Q998*IFERROR(Q996/Q994,0)</f>
        <v>2.2298981954077979</v>
      </c>
      <c r="S1004" s="3"/>
    </row>
    <row r="1005" spans="2:19" x14ac:dyDescent="0.5">
      <c r="B1005" s="5" t="str">
        <f t="shared" si="1193"/>
        <v>SPS1</v>
      </c>
      <c r="C1005" s="5" t="str">
        <f t="shared" si="1194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207">G999*IFERROR(G$996/G$994,0)</f>
        <v>0</v>
      </c>
      <c r="H1005" s="1">
        <f t="shared" si="1207"/>
        <v>1.481691896709361E-7</v>
      </c>
      <c r="I1005" s="1">
        <f t="shared" si="1207"/>
        <v>1.4155878413272441E-7</v>
      </c>
      <c r="J1005" s="1">
        <f t="shared" si="1207"/>
        <v>9.0365326818417563E-5</v>
      </c>
      <c r="K1005" s="1">
        <f t="shared" si="1207"/>
        <v>1.193393759382215E-2</v>
      </c>
      <c r="L1005" s="1">
        <f t="shared" ref="L1005:O1005" si="1208">L999*IFERROR(L$996/L$994,0)</f>
        <v>1.447337558561577E-2</v>
      </c>
      <c r="M1005" s="1">
        <f t="shared" si="1208"/>
        <v>0.31275988745190081</v>
      </c>
      <c r="N1005" s="1">
        <f t="shared" si="1208"/>
        <v>0.85393065124379408</v>
      </c>
      <c r="O1005" s="1">
        <f t="shared" si="1208"/>
        <v>0.97861514012802664</v>
      </c>
      <c r="P1005" s="1">
        <f>P999*IFERROR(P$996/P$994,0)</f>
        <v>0.97883252491736017</v>
      </c>
      <c r="Q1005" s="1">
        <f>Q999*IFERROR(Q$996/Q$994,0)</f>
        <v>1.2036130719671141</v>
      </c>
      <c r="S1005" s="3"/>
    </row>
    <row r="1006" spans="2:19" x14ac:dyDescent="0.5">
      <c r="B1006" s="5" t="str">
        <f t="shared" si="1193"/>
        <v>SPS1</v>
      </c>
      <c r="C1006" s="5" t="str">
        <f t="shared" si="1194"/>
        <v>CH</v>
      </c>
      <c r="D1006" t="s">
        <v>1015</v>
      </c>
      <c r="E1006" t="s">
        <v>8</v>
      </c>
      <c r="F1006" s="1">
        <f>SUM(F1007:F1008)</f>
        <v>8.507267714734752</v>
      </c>
      <c r="G1006" s="1">
        <f t="shared" ref="G1006:K1006" si="1209">SUM(G1007:G1008)</f>
        <v>6.7779294772127514</v>
      </c>
      <c r="H1006" s="1">
        <f t="shared" si="1209"/>
        <v>8.3962853473298829</v>
      </c>
      <c r="I1006" s="1">
        <f t="shared" si="1209"/>
        <v>12.714478999564465</v>
      </c>
      <c r="J1006" s="1">
        <f t="shared" si="1209"/>
        <v>10.435297665917776</v>
      </c>
      <c r="K1006" s="1">
        <f t="shared" si="1209"/>
        <v>12.100753444613581</v>
      </c>
      <c r="L1006" s="1">
        <f t="shared" ref="L1006:O1006" si="1210">SUM(L1007:L1008)</f>
        <v>7.7879514697512606</v>
      </c>
      <c r="M1006" s="1">
        <f t="shared" si="1210"/>
        <v>2.3393474301517783</v>
      </c>
      <c r="N1006" s="1">
        <f t="shared" si="1210"/>
        <v>1.3158307034370669</v>
      </c>
      <c r="O1006" s="1">
        <f t="shared" si="1210"/>
        <v>1.0288461650952738</v>
      </c>
      <c r="P1006" s="1">
        <f>SUM(P1007:P1008)</f>
        <v>1.0664744567121291</v>
      </c>
      <c r="Q1006" s="1">
        <f>SUM(Q1007:Q1008)</f>
        <v>0.90110475963270531</v>
      </c>
      <c r="S1006" s="3"/>
    </row>
    <row r="1007" spans="2:19" x14ac:dyDescent="0.5">
      <c r="B1007" s="5" t="str">
        <f t="shared" si="1193"/>
        <v>SPS1</v>
      </c>
      <c r="C1007" s="5" t="str">
        <f t="shared" si="1194"/>
        <v>CH</v>
      </c>
      <c r="D1007" t="s">
        <v>719</v>
      </c>
      <c r="E1007" t="s">
        <v>8</v>
      </c>
      <c r="F1007" s="1">
        <f>F994-F998-F999-F1008</f>
        <v>8.507267714734752</v>
      </c>
      <c r="G1007" s="1">
        <f t="shared" ref="G1007:K1007" si="1211">G994-G998-G999-G1008</f>
        <v>6.7779294772127514</v>
      </c>
      <c r="H1007" s="1">
        <f t="shared" si="1211"/>
        <v>8.395072581820255</v>
      </c>
      <c r="I1007" s="1">
        <f t="shared" si="1211"/>
        <v>12.713030423843447</v>
      </c>
      <c r="J1007" s="1">
        <f t="shared" si="1211"/>
        <v>9.4169134024102217</v>
      </c>
      <c r="K1007" s="1">
        <f t="shared" si="1211"/>
        <v>10.200868634411471</v>
      </c>
      <c r="L1007" s="1">
        <f t="shared" ref="L1007:O1007" si="1212">L994-L998-L999-L1008</f>
        <v>5.7122463707031095</v>
      </c>
      <c r="M1007" s="1">
        <f t="shared" si="1212"/>
        <v>1.3270120493977531</v>
      </c>
      <c r="N1007" s="1">
        <f t="shared" si="1212"/>
        <v>0.81204976467799228</v>
      </c>
      <c r="O1007" s="1">
        <f t="shared" si="1212"/>
        <v>0.57334646191267602</v>
      </c>
      <c r="P1007" s="1">
        <f>P994-P998-P999-P1008</f>
        <v>0.61098477768483339</v>
      </c>
      <c r="Q1007" s="1">
        <f>Q994-Q998-Q999-Q1008</f>
        <v>0.44561531757326589</v>
      </c>
      <c r="S1007" s="3"/>
    </row>
    <row r="1008" spans="2:19" x14ac:dyDescent="0.5">
      <c r="B1008" s="5" t="str">
        <f t="shared" si="1193"/>
        <v>SPS1</v>
      </c>
      <c r="C1008" s="5" t="str">
        <f t="shared" si="1194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1.2127655096277846E-3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1.4485757210175947E-3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1.0183842635075542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1.8998848102021091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2.0757050990481511</v>
      </c>
      <c r="M1008" s="1" cm="1">
        <f t="array" ref="M1008">SUMPRODUCT(([1]OUT_FinalEnergyCons!$B$4:$B$10000="Var_Fin")*1, ([1]OUT_FinalEnergyCons!$C$4:$C$10000="RNGA")*1,ISNUMBER(SEARCH("RH*-wHngahp",[1]OUT_FinalEnergyCons!$A$4:$A$10000))*1,[1]OUT_FinalEnergyCons!K$4:K$10000)</f>
        <v>1.0123353807540252</v>
      </c>
      <c r="N1008" s="1" cm="1">
        <f t="array" ref="N1008">SUMPRODUCT(([1]OUT_FinalEnergyCons!$B$4:$B$10000="Var_Fin")*1, ([1]OUT_FinalEnergyCons!$C$4:$C$10000="RNGA")*1,ISNUMBER(SEARCH("RH*-wHngahp",[1]OUT_FinalEnergyCons!$A$4:$A$10000))*1,[1]OUT_FinalEnergyCons!L$4:L$10000)</f>
        <v>0.50378093875907459</v>
      </c>
      <c r="O1008" s="1" cm="1">
        <f t="array" ref="O1008">SUMPRODUCT(([1]OUT_FinalEnergyCons!$B$4:$B$10000="Var_Fin")*1, ([1]OUT_FinalEnergyCons!$C$4:$C$10000="RNGA")*1,ISNUMBER(SEARCH("RH*-wHngahp",[1]OUT_FinalEnergyCons!$A$4:$A$10000))*1,[1]OUT_FinalEnergyCons!M$4:M$10000)</f>
        <v>0.4554997031825978</v>
      </c>
      <c r="P1008" s="1" cm="1">
        <f t="array" ref="P1008">SUMPRODUCT(([1]OUT_FinalEnergyCons!$B$4:$B$10000="Var_Fin")*1, ([1]OUT_FinalEnergyCons!$C$4:$C$10000="RNGA")*1,ISNUMBER(SEARCH("RH*-wHngahp",[1]OUT_FinalEnergyCons!$A$4:$A$10000))*1,[1]OUT_FinalEnergyCons!N$4:N$10000)</f>
        <v>0.45548967902729581</v>
      </c>
      <c r="Q1008" s="1" cm="1">
        <f t="array" ref="Q1008">SUMPRODUCT(([1]OUT_FinalEnergyCons!$B$4:$B$10000="Var_Fin")*1, ([1]OUT_FinalEnergyCons!$C$4:$C$10000="RNGA")*1,ISNUMBER(SEARCH("RH*-wHngahp",[1]OUT_FinalEnergyCons!$A$4:$A$10000))*1,[1]OUT_FinalEnergyCons!O$4:O$10000)</f>
        <v>0.45548944205943942</v>
      </c>
      <c r="S1008" s="3"/>
    </row>
    <row r="1009" spans="2:19" x14ac:dyDescent="0.5">
      <c r="B1009" s="5" t="str">
        <f t="shared" si="1193"/>
        <v>SPS1</v>
      </c>
      <c r="C1009" s="5" t="str">
        <f t="shared" si="1194"/>
        <v>CH</v>
      </c>
      <c r="D1009" t="s">
        <v>1016</v>
      </c>
      <c r="E1009" t="s">
        <v>8</v>
      </c>
      <c r="F1009" s="1">
        <f>SUM(F1010:F1011)</f>
        <v>8.4512963804523853</v>
      </c>
      <c r="G1009" s="1">
        <f t="shared" ref="G1009:K1009" si="1213">SUM(G1010:G1011)</f>
        <v>6.7777330812470957</v>
      </c>
      <c r="H1009" s="1">
        <f t="shared" si="1213"/>
        <v>8.3960431521409209</v>
      </c>
      <c r="I1009" s="1">
        <f t="shared" si="1213"/>
        <v>12.714141966757863</v>
      </c>
      <c r="J1009" s="1">
        <f t="shared" si="1213"/>
        <v>10.435016429999658</v>
      </c>
      <c r="K1009" s="1">
        <f t="shared" si="1213"/>
        <v>12.074932217094648</v>
      </c>
      <c r="L1009" s="1">
        <f t="shared" ref="L1009:O1009" si="1214">SUM(L1010:L1011)</f>
        <v>7.7672168566038344</v>
      </c>
      <c r="M1009" s="1">
        <f t="shared" si="1214"/>
        <v>2.1580089896829611</v>
      </c>
      <c r="N1009" s="1">
        <f t="shared" si="1214"/>
        <v>0.7562158096290128</v>
      </c>
      <c r="O1009" s="1">
        <f t="shared" si="1214"/>
        <v>0.47424168385463061</v>
      </c>
      <c r="P1009" s="1">
        <f>SUM(P1010:P1011)</f>
        <v>0.49144649096280274</v>
      </c>
      <c r="Q1009" s="1">
        <f>SUM(Q1010:Q1011)</f>
        <v>0.30366684065699312</v>
      </c>
      <c r="S1009" s="3"/>
    </row>
    <row r="1010" spans="2:19" x14ac:dyDescent="0.5">
      <c r="B1010" s="5" t="str">
        <f t="shared" si="1193"/>
        <v>SPS1</v>
      </c>
      <c r="C1010" s="5" t="str">
        <f t="shared" si="1194"/>
        <v>CH</v>
      </c>
      <c r="D1010" t="s">
        <v>718</v>
      </c>
      <c r="E1010" t="s">
        <v>8</v>
      </c>
      <c r="F1010" s="1">
        <f>F1007-F1013</f>
        <v>8.4512963804523853</v>
      </c>
      <c r="G1010" s="1">
        <f t="shared" ref="G1010:K1010" si="1215">G1007-G1013</f>
        <v>6.7777330812470957</v>
      </c>
      <c r="H1010" s="1">
        <f t="shared" si="1215"/>
        <v>8.3948304216141416</v>
      </c>
      <c r="I1010" s="1">
        <f t="shared" si="1215"/>
        <v>12.712693429435394</v>
      </c>
      <c r="J1010" s="1">
        <f t="shared" si="1215"/>
        <v>9.4166596124014124</v>
      </c>
      <c r="K1010" s="1">
        <f t="shared" si="1215"/>
        <v>10.17910148155562</v>
      </c>
      <c r="L1010" s="1">
        <f t="shared" ref="L1010:O1010" si="1216">L1007-L1013</f>
        <v>5.6970381071232259</v>
      </c>
      <c r="M1010" s="1">
        <f t="shared" si="1216"/>
        <v>1.2241464842322125</v>
      </c>
      <c r="N1010" s="1">
        <f t="shared" si="1216"/>
        <v>0.46668987784748667</v>
      </c>
      <c r="O1010" s="1">
        <f t="shared" si="1216"/>
        <v>0.26428128981205196</v>
      </c>
      <c r="P1010" s="1">
        <f>P1007-P1013</f>
        <v>0.28155041420363774</v>
      </c>
      <c r="Q1010" s="1">
        <f>Q1007-Q1013</f>
        <v>0.15016966028566181</v>
      </c>
      <c r="S1010" s="3"/>
    </row>
    <row r="1011" spans="2:19" x14ac:dyDescent="0.5">
      <c r="B1011" s="5" t="str">
        <f t="shared" si="1193"/>
        <v>SPS1</v>
      </c>
      <c r="C1011" s="5" t="str">
        <f t="shared" si="1194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217">G1008-G1014</f>
        <v>0</v>
      </c>
      <c r="H1011" s="1">
        <f t="shared" si="1217"/>
        <v>1.2127305267800586E-3</v>
      </c>
      <c r="I1011" s="1">
        <f t="shared" si="1217"/>
        <v>1.4485373224689129E-3</v>
      </c>
      <c r="J1011" s="1">
        <f t="shared" si="1217"/>
        <v>1.0183568175982458</v>
      </c>
      <c r="K1011" s="1">
        <f t="shared" si="1217"/>
        <v>1.8958307355390287</v>
      </c>
      <c r="L1011" s="1">
        <f t="shared" ref="L1011:O1011" si="1218">L1008-L1014</f>
        <v>2.0701787494806085</v>
      </c>
      <c r="M1011" s="1">
        <f t="shared" si="1218"/>
        <v>0.93386250545074845</v>
      </c>
      <c r="N1011" s="1">
        <f t="shared" si="1218"/>
        <v>0.28952593178152608</v>
      </c>
      <c r="O1011" s="1">
        <f t="shared" si="1218"/>
        <v>0.20996039404257866</v>
      </c>
      <c r="P1011" s="1">
        <f>P1008-P1014</f>
        <v>0.209896076759165</v>
      </c>
      <c r="Q1011" s="1">
        <f>Q1008-Q1014</f>
        <v>0.15349718037133131</v>
      </c>
      <c r="S1011" s="3"/>
    </row>
    <row r="1012" spans="2:19" x14ac:dyDescent="0.5">
      <c r="B1012" s="5" t="str">
        <f t="shared" si="1193"/>
        <v>SPS1</v>
      </c>
      <c r="C1012" s="5" t="str">
        <f t="shared" si="1194"/>
        <v>CH</v>
      </c>
      <c r="D1012" t="s">
        <v>1017</v>
      </c>
      <c r="E1012" t="s">
        <v>8</v>
      </c>
      <c r="F1012" s="1">
        <f t="shared" ref="F1012:K1012" si="1219">SUM(F1013:F1014)</f>
        <v>5.5971334282366961E-2</v>
      </c>
      <c r="G1012" s="1">
        <f t="shared" si="1219"/>
        <v>1.963959656557355E-4</v>
      </c>
      <c r="H1012" s="1">
        <f t="shared" si="1219"/>
        <v>2.4219518896125434E-4</v>
      </c>
      <c r="I1012" s="1">
        <f t="shared" si="1219"/>
        <v>3.3703280660225349E-4</v>
      </c>
      <c r="J1012" s="1">
        <f t="shared" si="1219"/>
        <v>2.8123591811779703E-4</v>
      </c>
      <c r="K1012" s="1">
        <f t="shared" si="1219"/>
        <v>2.5821227518931622E-2</v>
      </c>
      <c r="L1012" s="1">
        <f t="shared" ref="L1012:O1012" si="1220">SUM(L1013:L1014)</f>
        <v>2.0734613147426091E-2</v>
      </c>
      <c r="M1012" s="1">
        <f t="shared" si="1220"/>
        <v>0.18133844046881739</v>
      </c>
      <c r="N1012" s="1">
        <f t="shared" si="1220"/>
        <v>0.55961489380805418</v>
      </c>
      <c r="O1012" s="1">
        <f t="shared" si="1220"/>
        <v>0.55460448124064321</v>
      </c>
      <c r="P1012" s="1">
        <f>SUM(P1013:P1014)</f>
        <v>0.57502796574932646</v>
      </c>
      <c r="Q1012" s="1">
        <f>SUM(Q1013:Q1014)</f>
        <v>0.59743791897571219</v>
      </c>
      <c r="S1012" s="3"/>
    </row>
    <row r="1013" spans="2:19" x14ac:dyDescent="0.5">
      <c r="B1013" s="5" t="str">
        <f t="shared" si="1193"/>
        <v>SPS1</v>
      </c>
      <c r="C1013" s="5" t="str">
        <f t="shared" si="1194"/>
        <v>CH</v>
      </c>
      <c r="D1013" t="s">
        <v>738</v>
      </c>
      <c r="E1013" t="s">
        <v>8</v>
      </c>
      <c r="F1013" s="1">
        <f>F1007*IFERROR(F$996/F$994,0)</f>
        <v>5.5971334282366961E-2</v>
      </c>
      <c r="G1013" s="1">
        <f t="shared" ref="G1013:K1013" si="1221">G1007*IFERROR(G$996/G$994,0)</f>
        <v>1.963959656557355E-4</v>
      </c>
      <c r="H1013" s="1">
        <f t="shared" si="1221"/>
        <v>2.4216020611352832E-4</v>
      </c>
      <c r="I1013" s="1">
        <f t="shared" si="1221"/>
        <v>3.3699440805357153E-4</v>
      </c>
      <c r="J1013" s="1">
        <f t="shared" si="1221"/>
        <v>2.5379000880946162E-4</v>
      </c>
      <c r="K1013" s="1">
        <f t="shared" si="1221"/>
        <v>2.1767152855851214E-2</v>
      </c>
      <c r="L1013" s="1">
        <f t="shared" ref="L1013:O1013" si="1222">L1007*IFERROR(L$996/L$994,0)</f>
        <v>1.5208263579883422E-2</v>
      </c>
      <c r="M1013" s="1">
        <f t="shared" si="1222"/>
        <v>0.10286556516554066</v>
      </c>
      <c r="N1013" s="1">
        <f t="shared" si="1222"/>
        <v>0.34535988683050561</v>
      </c>
      <c r="O1013" s="1">
        <f t="shared" si="1222"/>
        <v>0.30906517210062406</v>
      </c>
      <c r="P1013" s="1">
        <f>P1007*IFERROR(P$996/P$994,0)</f>
        <v>0.32943436348119565</v>
      </c>
      <c r="Q1013" s="1">
        <f>Q1007*IFERROR(Q$996/Q$994,0)</f>
        <v>0.29544565728760408</v>
      </c>
      <c r="S1013" s="3"/>
    </row>
    <row r="1014" spans="2:19" x14ac:dyDescent="0.5">
      <c r="B1014" s="5" t="str">
        <f t="shared" si="1193"/>
        <v>SPS1</v>
      </c>
      <c r="C1014" s="5" t="str">
        <f t="shared" si="1194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223">G1008*IFERROR(G$996/G$994,0)</f>
        <v>0</v>
      </c>
      <c r="H1014" s="1">
        <f t="shared" si="1223"/>
        <v>3.4982847726036551E-8</v>
      </c>
      <c r="I1014" s="1">
        <f t="shared" si="1223"/>
        <v>3.8398548681952824E-8</v>
      </c>
      <c r="J1014" s="1">
        <f t="shared" si="1223"/>
        <v>2.7445909308335418E-5</v>
      </c>
      <c r="K1014" s="1">
        <f t="shared" si="1223"/>
        <v>4.0540746630804078E-3</v>
      </c>
      <c r="L1014" s="1">
        <f t="shared" ref="L1014:O1014" si="1224">L1008*IFERROR(L$996/L$994,0)</f>
        <v>5.526349567542669E-3</v>
      </c>
      <c r="M1014" s="1">
        <f t="shared" si="1224"/>
        <v>7.8472875303276735E-2</v>
      </c>
      <c r="N1014" s="1">
        <f t="shared" si="1224"/>
        <v>0.21425500697754854</v>
      </c>
      <c r="O1014" s="1">
        <f t="shared" si="1224"/>
        <v>0.24553930914001915</v>
      </c>
      <c r="P1014" s="1">
        <f>P1008*IFERROR(P$996/P$994,0)</f>
        <v>0.24559360226813082</v>
      </c>
      <c r="Q1014" s="1">
        <f>Q1008*IFERROR(Q$996/Q$994,0)</f>
        <v>0.30199226168810811</v>
      </c>
      <c r="S1014" s="3"/>
    </row>
    <row r="1015" spans="2:19" x14ac:dyDescent="0.5">
      <c r="B1015" s="5" t="str">
        <f t="shared" si="1193"/>
        <v>SPS1</v>
      </c>
      <c r="C1015" s="5" t="str">
        <f t="shared" si="1194"/>
        <v>CH</v>
      </c>
      <c r="D1015" t="s">
        <v>1018</v>
      </c>
      <c r="E1015" t="s">
        <v>8</v>
      </c>
      <c r="F1015" s="1">
        <f>[1]Residential!B$20</f>
        <v>0.10000055531616782</v>
      </c>
      <c r="G1015" s="1">
        <f>[1]Residential!C$20</f>
        <v>0.10000010817032533</v>
      </c>
      <c r="H1015" s="1">
        <f>[1]Residential!D$20</f>
        <v>1.4773589279447603E-3</v>
      </c>
      <c r="I1015" s="1">
        <f>[1]Residential!E$20</f>
        <v>9.3006343979099276E-4</v>
      </c>
      <c r="J1015" s="1">
        <f>[1]Residential!F$20</f>
        <v>3.641328532400939E-4</v>
      </c>
      <c r="K1015" s="1">
        <f>[1]Residential!G$20</f>
        <v>0</v>
      </c>
      <c r="L1015" s="1">
        <f>[1]Residential!H$20</f>
        <v>0</v>
      </c>
      <c r="M1015" s="1">
        <f>[1]Residential!I$20</f>
        <v>0</v>
      </c>
      <c r="N1015" s="1">
        <f>[1]Residential!J$20</f>
        <v>0</v>
      </c>
      <c r="O1015" s="1">
        <f>[1]Residential!K$20</f>
        <v>0</v>
      </c>
      <c r="P1015" s="1">
        <f>[1]Residential!L$20</f>
        <v>0</v>
      </c>
      <c r="Q1015" s="1">
        <f>[1]Residential!M$20</f>
        <v>0</v>
      </c>
      <c r="S1015" s="3"/>
    </row>
    <row r="1016" spans="2:19" x14ac:dyDescent="0.5">
      <c r="B1016" s="5" t="str">
        <f t="shared" si="1193"/>
        <v>SPS1</v>
      </c>
      <c r="C1016" s="5" t="str">
        <f t="shared" si="1194"/>
        <v>CH</v>
      </c>
      <c r="D1016" t="s">
        <v>1019</v>
      </c>
      <c r="E1016" t="s">
        <v>8</v>
      </c>
      <c r="F1016" s="1">
        <f>F1015</f>
        <v>0.10000055531616782</v>
      </c>
      <c r="G1016" s="1">
        <f t="shared" ref="G1016:G1017" si="1225">G1015</f>
        <v>0.10000010817032533</v>
      </c>
      <c r="H1016" s="1">
        <f t="shared" ref="H1016:H1017" si="1226">H1015</f>
        <v>1.4773589279447603E-3</v>
      </c>
      <c r="I1016" s="1">
        <f t="shared" ref="I1016:I1017" si="1227">I1015</f>
        <v>9.3006343979099276E-4</v>
      </c>
      <c r="J1016" s="1">
        <f t="shared" ref="J1016:J1017" si="1228">J1015</f>
        <v>3.641328532400939E-4</v>
      </c>
      <c r="K1016" s="1">
        <f t="shared" ref="K1016:K1017" si="1229">K1015</f>
        <v>0</v>
      </c>
      <c r="L1016" s="1">
        <f t="shared" ref="L1016:O1016" si="1230">L1015</f>
        <v>0</v>
      </c>
      <c r="M1016" s="1">
        <f t="shared" si="1230"/>
        <v>0</v>
      </c>
      <c r="N1016" s="1">
        <f t="shared" si="1230"/>
        <v>0</v>
      </c>
      <c r="O1016" s="1">
        <f t="shared" si="1230"/>
        <v>0</v>
      </c>
      <c r="P1016" s="1">
        <f>P1015</f>
        <v>0</v>
      </c>
      <c r="Q1016" s="1">
        <f>Q1015</f>
        <v>0</v>
      </c>
      <c r="S1016" s="3"/>
    </row>
    <row r="1017" spans="2:19" x14ac:dyDescent="0.5">
      <c r="B1017" s="5" t="str">
        <f t="shared" si="1193"/>
        <v>SPS1</v>
      </c>
      <c r="C1017" s="5" t="str">
        <f t="shared" si="1194"/>
        <v>CH</v>
      </c>
      <c r="D1017" t="s">
        <v>764</v>
      </c>
      <c r="E1017" t="s">
        <v>8</v>
      </c>
      <c r="F1017" s="1">
        <f t="shared" ref="F1017" si="1231">F1016</f>
        <v>0.10000055531616782</v>
      </c>
      <c r="G1017" s="1">
        <f t="shared" si="1225"/>
        <v>0.10000010817032533</v>
      </c>
      <c r="H1017" s="1">
        <f t="shared" si="1226"/>
        <v>1.4773589279447603E-3</v>
      </c>
      <c r="I1017" s="1">
        <f t="shared" si="1227"/>
        <v>9.3006343979099276E-4</v>
      </c>
      <c r="J1017" s="1">
        <f t="shared" si="1228"/>
        <v>3.641328532400939E-4</v>
      </c>
      <c r="K1017" s="1">
        <f t="shared" si="1229"/>
        <v>0</v>
      </c>
      <c r="L1017" s="1">
        <f t="shared" ref="L1017:O1017" si="1232">L1016</f>
        <v>0</v>
      </c>
      <c r="M1017" s="1">
        <f t="shared" si="1232"/>
        <v>0</v>
      </c>
      <c r="N1017" s="1">
        <f t="shared" si="1232"/>
        <v>0</v>
      </c>
      <c r="O1017" s="1">
        <f t="shared" si="1232"/>
        <v>0</v>
      </c>
      <c r="P1017" s="1">
        <f>P1016</f>
        <v>0</v>
      </c>
      <c r="Q1017" s="1">
        <f>Q1016</f>
        <v>0</v>
      </c>
      <c r="S1017" s="3"/>
    </row>
    <row r="1018" spans="2:19" x14ac:dyDescent="0.5">
      <c r="B1018" s="5" t="str">
        <f t="shared" si="1193"/>
        <v>SPS1</v>
      </c>
      <c r="C1018" s="5" t="str">
        <f t="shared" si="1194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S1018" s="3"/>
    </row>
    <row r="1019" spans="2:19" x14ac:dyDescent="0.5">
      <c r="B1019" s="5" t="str">
        <f t="shared" si="1193"/>
        <v>SPS1</v>
      </c>
      <c r="C1019" s="5" t="str">
        <f t="shared" si="1194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S1019" s="3"/>
    </row>
    <row r="1020" spans="2:19" x14ac:dyDescent="0.5">
      <c r="B1020" s="5" t="str">
        <f t="shared" si="1193"/>
        <v>SPS1</v>
      </c>
      <c r="C1020" s="5" t="str">
        <f t="shared" si="1194"/>
        <v>CH</v>
      </c>
      <c r="D1020" t="s">
        <v>1021</v>
      </c>
      <c r="E1020" t="s">
        <v>8</v>
      </c>
      <c r="F1020" s="1">
        <f>F1021+F1023</f>
        <v>13.722992790185113</v>
      </c>
      <c r="G1020" s="1">
        <f t="shared" ref="G1020:K1020" si="1233">G1021+G1023</f>
        <v>13.956563426280887</v>
      </c>
      <c r="H1020" s="1">
        <f t="shared" si="1233"/>
        <v>12.063918531197139</v>
      </c>
      <c r="I1020" s="1">
        <f t="shared" si="1233"/>
        <v>10.180416407927041</v>
      </c>
      <c r="J1020" s="1">
        <f t="shared" si="1233"/>
        <v>9.0130245960648097</v>
      </c>
      <c r="K1020" s="1">
        <f t="shared" si="1233"/>
        <v>6.9628463606777729</v>
      </c>
      <c r="L1020" s="1">
        <f t="shared" ref="L1020:O1020" si="1234">L1021+L1023</f>
        <v>6.0537322282360488</v>
      </c>
      <c r="M1020" s="1">
        <f t="shared" si="1234"/>
        <v>5.4554383583551331</v>
      </c>
      <c r="N1020" s="1">
        <f t="shared" si="1234"/>
        <v>4.8312681626763547</v>
      </c>
      <c r="O1020" s="1">
        <f t="shared" si="1234"/>
        <v>4.6975304663602842</v>
      </c>
      <c r="P1020" s="1">
        <f>P1021+P1023</f>
        <v>4.5527512179268808</v>
      </c>
      <c r="Q1020" s="1">
        <f>Q1021+Q1023</f>
        <v>3.4675971170213065</v>
      </c>
      <c r="S1020" s="3"/>
    </row>
    <row r="1021" spans="2:19" x14ac:dyDescent="0.5">
      <c r="B1021" s="5" t="str">
        <f t="shared" si="1193"/>
        <v>SPS1</v>
      </c>
      <c r="C1021" s="5" t="str">
        <f t="shared" si="1194"/>
        <v>CH</v>
      </c>
      <c r="D1021" t="s">
        <v>1022</v>
      </c>
      <c r="E1021" t="s">
        <v>8</v>
      </c>
      <c r="F1021" s="1">
        <f>F1022</f>
        <v>12.68205022262241</v>
      </c>
      <c r="G1021" s="1">
        <f t="shared" ref="G1021:O1021" si="1235">G1022</f>
        <v>12.762081443432598</v>
      </c>
      <c r="H1021" s="1">
        <f t="shared" si="1235"/>
        <v>11.39674595923837</v>
      </c>
      <c r="I1021" s="1">
        <f t="shared" si="1235"/>
        <v>9.6174637568376475</v>
      </c>
      <c r="J1021" s="1">
        <f t="shared" si="1235"/>
        <v>8.5146275260060893</v>
      </c>
      <c r="K1021" s="1">
        <f t="shared" si="1235"/>
        <v>6.5778154161445483</v>
      </c>
      <c r="L1021" s="1">
        <f t="shared" si="1235"/>
        <v>5.7189760559758342</v>
      </c>
      <c r="M1021" s="1">
        <f t="shared" si="1235"/>
        <v>5.153768174603246</v>
      </c>
      <c r="N1021" s="1">
        <f t="shared" si="1235"/>
        <v>4.5641127840548608</v>
      </c>
      <c r="O1021" s="1">
        <f t="shared" si="1235"/>
        <v>4.4377659206830717</v>
      </c>
      <c r="P1021" s="1">
        <f>P1022</f>
        <v>4.3009966617256987</v>
      </c>
      <c r="Q1021" s="1">
        <f>Q1022</f>
        <v>3.275833955085381</v>
      </c>
      <c r="S1021" s="3"/>
    </row>
    <row r="1022" spans="2:19" x14ac:dyDescent="0.5">
      <c r="B1022" s="5" t="str">
        <f t="shared" si="1193"/>
        <v>SPS1</v>
      </c>
      <c r="C1022" s="5" t="str">
        <f t="shared" si="1194"/>
        <v>CH</v>
      </c>
      <c r="D1022" t="s">
        <v>766</v>
      </c>
      <c r="E1022" t="s">
        <v>8</v>
      </c>
      <c r="F1022" s="1">
        <f>[1]Residential!B$22-F1024-F1025</f>
        <v>12.68205022262241</v>
      </c>
      <c r="G1022" s="1">
        <f>[1]Residential!C$22-G1024-G1025</f>
        <v>12.762081443432598</v>
      </c>
      <c r="H1022" s="1">
        <f>[1]Residential!D$22-H1024-H1025</f>
        <v>11.39674595923837</v>
      </c>
      <c r="I1022" s="1">
        <f>[1]Residential!E$22-I1024-I1025</f>
        <v>9.6174637568376475</v>
      </c>
      <c r="J1022" s="1">
        <f>[1]Residential!F$22-J1024-J1025</f>
        <v>8.5146275260060893</v>
      </c>
      <c r="K1022" s="1">
        <f>[1]Residential!G$22-K1024-K1025</f>
        <v>6.5778154161445483</v>
      </c>
      <c r="L1022" s="1">
        <f>[1]Residential!H$22-L1024-L1025</f>
        <v>5.7189760559758342</v>
      </c>
      <c r="M1022" s="1">
        <f>[1]Residential!I$22-M1024-M1025</f>
        <v>5.153768174603246</v>
      </c>
      <c r="N1022" s="1">
        <f>[1]Residential!J$22-N1024-N1025</f>
        <v>4.5641127840548608</v>
      </c>
      <c r="O1022" s="1">
        <f>[1]Residential!K$22-O1024-O1025</f>
        <v>4.4377659206830717</v>
      </c>
      <c r="P1022" s="1">
        <f>[1]Residential!L$22-P1024-P1025</f>
        <v>4.3009966617256987</v>
      </c>
      <c r="Q1022" s="1">
        <f>[1]Residential!M$22-Q1024-Q1025</f>
        <v>3.275833955085381</v>
      </c>
      <c r="S1022" s="3"/>
    </row>
    <row r="1023" spans="2:19" x14ac:dyDescent="0.5">
      <c r="B1023" s="5" t="str">
        <f t="shared" si="1193"/>
        <v>SPS1</v>
      </c>
      <c r="C1023" s="5" t="str">
        <f t="shared" si="1194"/>
        <v>CH</v>
      </c>
      <c r="D1023" t="s">
        <v>1023</v>
      </c>
      <c r="E1023" t="s">
        <v>8</v>
      </c>
      <c r="F1023" s="1">
        <f>F1024</f>
        <v>1.040942567562704</v>
      </c>
      <c r="G1023" s="1">
        <f t="shared" ref="G1023" si="1236">G1024</f>
        <v>1.1944819828482891</v>
      </c>
      <c r="H1023" s="1">
        <f t="shared" ref="H1023" si="1237">H1024</f>
        <v>0.66717257195876833</v>
      </c>
      <c r="I1023" s="1">
        <f t="shared" ref="I1023" si="1238">I1024</f>
        <v>0.56295265108939252</v>
      </c>
      <c r="J1023" s="1">
        <f t="shared" ref="J1023" si="1239">J1024</f>
        <v>0.49839707005872097</v>
      </c>
      <c r="K1023" s="1">
        <f t="shared" ref="K1023:O1023" si="1240">K1024</f>
        <v>0.38503094453322467</v>
      </c>
      <c r="L1023" s="1">
        <f t="shared" si="1240"/>
        <v>0.33475617226021476</v>
      </c>
      <c r="M1023" s="1">
        <f t="shared" si="1240"/>
        <v>0.30167018375188698</v>
      </c>
      <c r="N1023" s="1">
        <f t="shared" si="1240"/>
        <v>0.26715537862149358</v>
      </c>
      <c r="O1023" s="1">
        <f t="shared" si="1240"/>
        <v>0.25976454567721197</v>
      </c>
      <c r="P1023" s="1">
        <f>P1024</f>
        <v>0.2517545562011822</v>
      </c>
      <c r="Q1023" s="1">
        <f>Q1024</f>
        <v>0.19176316193592566</v>
      </c>
      <c r="S1023" s="3"/>
    </row>
    <row r="1024" spans="2:19" x14ac:dyDescent="0.5">
      <c r="B1024" s="5" t="str">
        <f t="shared" si="1193"/>
        <v>SPS1</v>
      </c>
      <c r="C1024" s="5" t="str">
        <f t="shared" si="1194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1.040942567562704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1.1944819828482891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0.66717257195876833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0.56295265108939252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0.49839707005872097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0.38503094453322467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0.33475617226021476</v>
      </c>
      <c r="M1024" s="1" cm="1">
        <f t="array" ref="M1024">SUMPRODUCT(([1]OUT_FinalEnergyCons!$B$4:$B$10000="Var_Fin")*1, ISNUMBER(SEARCH("WOD",[1]OUT_FinalEnergyCons!$C$4:$C$10000))*1,(ISNUMBER(SEARCH("RH*-wHWODBR",[1]OUT_FinalEnergyCons!$A$4:$A$10000)))*1,[1]OUT_FinalEnergyCons!K$4:K$10000)</f>
        <v>0.30167018375188698</v>
      </c>
      <c r="N1024" s="1" cm="1">
        <f t="array" ref="N1024">SUMPRODUCT(([1]OUT_FinalEnergyCons!$B$4:$B$10000="Var_Fin")*1, ISNUMBER(SEARCH("WOD",[1]OUT_FinalEnergyCons!$C$4:$C$10000))*1,(ISNUMBER(SEARCH("RH*-wHWODBR",[1]OUT_FinalEnergyCons!$A$4:$A$10000)))*1,[1]OUT_FinalEnergyCons!L$4:L$10000)</f>
        <v>0.26715537862149358</v>
      </c>
      <c r="O1024" s="1" cm="1">
        <f t="array" ref="O1024">SUMPRODUCT(([1]OUT_FinalEnergyCons!$B$4:$B$10000="Var_Fin")*1, ISNUMBER(SEARCH("WOD",[1]OUT_FinalEnergyCons!$C$4:$C$10000))*1,(ISNUMBER(SEARCH("RH*-wHWODBR",[1]OUT_FinalEnergyCons!$A$4:$A$10000)))*1,[1]OUT_FinalEnergyCons!M$4:M$10000)</f>
        <v>0.25976454567721197</v>
      </c>
      <c r="P1024" s="1" cm="1">
        <f t="array" ref="P1024">SUMPRODUCT(([1]OUT_FinalEnergyCons!$B$4:$B$10000="Var_Fin")*1, ISNUMBER(SEARCH("WOD",[1]OUT_FinalEnergyCons!$C$4:$C$10000))*1,(ISNUMBER(SEARCH("RH*-wHWODBR",[1]OUT_FinalEnergyCons!$A$4:$A$10000)))*1,[1]OUT_FinalEnergyCons!N$4:N$10000)</f>
        <v>0.2517545562011822</v>
      </c>
      <c r="Q1024" s="1" cm="1">
        <f t="array" ref="Q1024">SUMPRODUCT(([1]OUT_FinalEnergyCons!$B$4:$B$10000="Var_Fin")*1, ISNUMBER(SEARCH("WOD",[1]OUT_FinalEnergyCons!$C$4:$C$10000))*1,(ISNUMBER(SEARCH("RH*-wHWODBR",[1]OUT_FinalEnergyCons!$A$4:$A$10000)))*1,[1]OUT_FinalEnergyCons!O$4:O$10000)</f>
        <v>0.19176316193592566</v>
      </c>
      <c r="S1024" s="3"/>
    </row>
    <row r="1025" spans="2:19" x14ac:dyDescent="0.5">
      <c r="B1025" s="5" t="str">
        <f t="shared" si="1193"/>
        <v>SPS1</v>
      </c>
      <c r="C1025" s="5" t="str">
        <f t="shared" si="1194"/>
        <v>CH</v>
      </c>
      <c r="D1025" t="s">
        <v>1024</v>
      </c>
      <c r="E1025" t="s">
        <v>8</v>
      </c>
      <c r="F1025" s="1">
        <f>F1026+F1028</f>
        <v>3.2682087032691132</v>
      </c>
      <c r="G1025" s="1">
        <f t="shared" ref="G1025:K1025" si="1241">G1026+G1028</f>
        <v>3.8319839468679731</v>
      </c>
      <c r="H1025" s="1">
        <f t="shared" si="1241"/>
        <v>3.7300975440830526</v>
      </c>
      <c r="I1025" s="1">
        <f t="shared" si="1241"/>
        <v>3.8838303458525738</v>
      </c>
      <c r="J1025" s="1">
        <f t="shared" si="1241"/>
        <v>4.0221949858411765</v>
      </c>
      <c r="K1025" s="1">
        <f t="shared" si="1241"/>
        <v>4.1349482482562481</v>
      </c>
      <c r="L1025" s="1">
        <f t="shared" ref="L1025:O1025" si="1242">L1026+L1028</f>
        <v>4.2268074806070812</v>
      </c>
      <c r="M1025" s="1">
        <f t="shared" si="1242"/>
        <v>4.314990120662249</v>
      </c>
      <c r="N1025" s="1">
        <f t="shared" si="1242"/>
        <v>4.3776710658521205</v>
      </c>
      <c r="O1025" s="1">
        <f t="shared" si="1242"/>
        <v>4.449041145536583</v>
      </c>
      <c r="P1025" s="1">
        <f>P1026+P1028</f>
        <v>4.4491112325601323</v>
      </c>
      <c r="Q1025" s="1">
        <f>Q1026+Q1028</f>
        <v>4.4491302685742191</v>
      </c>
      <c r="S1025" s="3"/>
    </row>
    <row r="1026" spans="2:19" x14ac:dyDescent="0.5">
      <c r="B1026" s="5" t="str">
        <f t="shared" si="1193"/>
        <v>SPS1</v>
      </c>
      <c r="C1026" s="5" t="str">
        <f t="shared" si="1194"/>
        <v>CH</v>
      </c>
      <c r="D1026" t="s">
        <v>1025</v>
      </c>
      <c r="E1026" t="s">
        <v>8</v>
      </c>
      <c r="F1026" s="1">
        <f>F1027</f>
        <v>2.9965397796741171</v>
      </c>
      <c r="G1026" s="1">
        <f t="shared" ref="G1026:O1026" si="1243">G1027</f>
        <v>3.5202458064449966</v>
      </c>
      <c r="H1026" s="1">
        <f t="shared" si="1243"/>
        <v>3.5238333289334398</v>
      </c>
      <c r="I1026" s="1">
        <f t="shared" si="1243"/>
        <v>3.6690638809918008</v>
      </c>
      <c r="J1026" s="1">
        <f t="shared" si="1243"/>
        <v>3.7997765725469468</v>
      </c>
      <c r="K1026" s="1">
        <f t="shared" si="1243"/>
        <v>3.9062931321679084</v>
      </c>
      <c r="L1026" s="1">
        <f t="shared" si="1243"/>
        <v>3.9930760271163179</v>
      </c>
      <c r="M1026" s="1">
        <f t="shared" si="1243"/>
        <v>4.0763834447939171</v>
      </c>
      <c r="N1026" s="1">
        <f t="shared" si="1243"/>
        <v>4.1355985907928607</v>
      </c>
      <c r="O1026" s="1">
        <f t="shared" si="1243"/>
        <v>4.203019636599981</v>
      </c>
      <c r="P1026" s="1">
        <f>P1027</f>
        <v>4.2030882189010494</v>
      </c>
      <c r="Q1026" s="1">
        <f>Q1027</f>
        <v>4.2031023836661197</v>
      </c>
      <c r="S1026" s="3"/>
    </row>
    <row r="1027" spans="2:19" x14ac:dyDescent="0.5">
      <c r="B1027" s="5" t="str">
        <f t="shared" si="1193"/>
        <v>SPS1</v>
      </c>
      <c r="C1027" s="5" t="str">
        <f t="shared" si="1194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2.9965397796741171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3.5202458064449966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3.5238333289334398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3.6690638809918008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3.7997765725469468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3.9062931321679084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3.9930760271163179</v>
      </c>
      <c r="M1027" s="1" cm="1">
        <f t="array" ref="M1027">SUMPRODUCT(([1]OUT_FinalEnergyCons!$B$4:$B$10000="Var_Fin")*1, ISNUMBER(SEARCH("RPLT",[1]OUT_FinalEnergyCons!$C$4:$C$10000))*1,(ISNUMBER(SEARCH("RH*-SHPLTBR",[1]OUT_FinalEnergyCons!$A$4:$A$10000)))*1,[1]OUT_FinalEnergyCons!K$4:K$10000)</f>
        <v>4.0763834447939171</v>
      </c>
      <c r="N1027" s="1" cm="1">
        <f t="array" ref="N1027">SUMPRODUCT(([1]OUT_FinalEnergyCons!$B$4:$B$10000="Var_Fin")*1, ISNUMBER(SEARCH("RPLT",[1]OUT_FinalEnergyCons!$C$4:$C$10000))*1,(ISNUMBER(SEARCH("RH*-SHPLTBR",[1]OUT_FinalEnergyCons!$A$4:$A$10000)))*1,[1]OUT_FinalEnergyCons!L$4:L$10000)</f>
        <v>4.1355985907928607</v>
      </c>
      <c r="O1027" s="1" cm="1">
        <f t="array" ref="O1027">SUMPRODUCT(([1]OUT_FinalEnergyCons!$B$4:$B$10000="Var_Fin")*1, ISNUMBER(SEARCH("RPLT",[1]OUT_FinalEnergyCons!$C$4:$C$10000))*1,(ISNUMBER(SEARCH("RH*-SHPLTBR",[1]OUT_FinalEnergyCons!$A$4:$A$10000)))*1,[1]OUT_FinalEnergyCons!M$4:M$10000)</f>
        <v>4.203019636599981</v>
      </c>
      <c r="P1027" s="1" cm="1">
        <f t="array" ref="P1027">SUMPRODUCT(([1]OUT_FinalEnergyCons!$B$4:$B$10000="Var_Fin")*1, ISNUMBER(SEARCH("RPLT",[1]OUT_FinalEnergyCons!$C$4:$C$10000))*1,(ISNUMBER(SEARCH("RH*-SHPLTBR",[1]OUT_FinalEnergyCons!$A$4:$A$10000)))*1,[1]OUT_FinalEnergyCons!N$4:N$10000)</f>
        <v>4.2030882189010494</v>
      </c>
      <c r="Q1027" s="1" cm="1">
        <f t="array" ref="Q1027">SUMPRODUCT(([1]OUT_FinalEnergyCons!$B$4:$B$10000="Var_Fin")*1, ISNUMBER(SEARCH("RPLT",[1]OUT_FinalEnergyCons!$C$4:$C$10000))*1,(ISNUMBER(SEARCH("RH*-SHPLTBR",[1]OUT_FinalEnergyCons!$A$4:$A$10000)))*1,[1]OUT_FinalEnergyCons!O$4:O$10000)</f>
        <v>4.2031023836661197</v>
      </c>
      <c r="S1027" s="3"/>
    </row>
    <row r="1028" spans="2:19" x14ac:dyDescent="0.5">
      <c r="B1028" s="5" t="str">
        <f t="shared" si="1193"/>
        <v>SPS1</v>
      </c>
      <c r="C1028" s="5" t="str">
        <f t="shared" si="1194"/>
        <v>CH</v>
      </c>
      <c r="D1028" t="s">
        <v>1026</v>
      </c>
      <c r="E1028" t="s">
        <v>8</v>
      </c>
      <c r="F1028" s="1">
        <f>F1029</f>
        <v>0.27166892359499606</v>
      </c>
      <c r="G1028" s="1">
        <f t="shared" ref="G1028:O1028" si="1244">G1029</f>
        <v>0.31173814042297648</v>
      </c>
      <c r="H1028" s="1">
        <f t="shared" si="1244"/>
        <v>0.2062642151496126</v>
      </c>
      <c r="I1028" s="1">
        <f t="shared" si="1244"/>
        <v>0.21476646486077322</v>
      </c>
      <c r="J1028" s="1">
        <f t="shared" si="1244"/>
        <v>0.22241841329422962</v>
      </c>
      <c r="K1028" s="1">
        <f t="shared" si="1244"/>
        <v>0.2286551160883396</v>
      </c>
      <c r="L1028" s="1">
        <f t="shared" si="1244"/>
        <v>0.23373145349076321</v>
      </c>
      <c r="M1028" s="1">
        <f t="shared" si="1244"/>
        <v>0.23860667586833215</v>
      </c>
      <c r="N1028" s="1">
        <f t="shared" si="1244"/>
        <v>0.24207247505925952</v>
      </c>
      <c r="O1028" s="1">
        <f t="shared" si="1244"/>
        <v>0.24602150893660196</v>
      </c>
      <c r="P1028" s="1">
        <f>P1029</f>
        <v>0.24602301365908263</v>
      </c>
      <c r="Q1028" s="1">
        <f>Q1029</f>
        <v>0.24602788490809901</v>
      </c>
      <c r="S1028" s="3"/>
    </row>
    <row r="1029" spans="2:19" x14ac:dyDescent="0.5">
      <c r="B1029" s="5" t="str">
        <f t="shared" si="1193"/>
        <v>SPS1</v>
      </c>
      <c r="C1029" s="5" t="str">
        <f t="shared" si="1194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0.27166892359499606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0.31173814042297648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0.2062642151496126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0.21476646486077322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0.22241841329422962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0.2286551160883396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0.23373145349076321</v>
      </c>
      <c r="M1029" s="1" cm="1">
        <f t="array" ref="M1029">SUMPRODUCT(([1]OUT_FinalEnergyCons!$B$4:$B$10000="Var_Fin")*1, ISNUMBER(SEARCH("PLT",[1]OUT_FinalEnergyCons!$C$4:$C$10000))*1,(ISNUMBER(SEARCH("RH*-wHPLTBR",[1]OUT_FinalEnergyCons!$A$4:$A$10000)))*1,[1]OUT_FinalEnergyCons!K$4:K$10000)</f>
        <v>0.23860667586833215</v>
      </c>
      <c r="N1029" s="1" cm="1">
        <f t="array" ref="N1029">SUMPRODUCT(([1]OUT_FinalEnergyCons!$B$4:$B$10000="Var_Fin")*1, ISNUMBER(SEARCH("PLT",[1]OUT_FinalEnergyCons!$C$4:$C$10000))*1,(ISNUMBER(SEARCH("RH*-wHPLTBR",[1]OUT_FinalEnergyCons!$A$4:$A$10000)))*1,[1]OUT_FinalEnergyCons!L$4:L$10000)</f>
        <v>0.24207247505925952</v>
      </c>
      <c r="O1029" s="1" cm="1">
        <f t="array" ref="O1029">SUMPRODUCT(([1]OUT_FinalEnergyCons!$B$4:$B$10000="Var_Fin")*1, ISNUMBER(SEARCH("PLT",[1]OUT_FinalEnergyCons!$C$4:$C$10000))*1,(ISNUMBER(SEARCH("RH*-wHPLTBR",[1]OUT_FinalEnergyCons!$A$4:$A$10000)))*1,[1]OUT_FinalEnergyCons!M$4:M$10000)</f>
        <v>0.24602150893660196</v>
      </c>
      <c r="P1029" s="1" cm="1">
        <f t="array" ref="P1029">SUMPRODUCT(([1]OUT_FinalEnergyCons!$B$4:$B$10000="Var_Fin")*1, ISNUMBER(SEARCH("PLT",[1]OUT_FinalEnergyCons!$C$4:$C$10000))*1,(ISNUMBER(SEARCH("RH*-wHPLTBR",[1]OUT_FinalEnergyCons!$A$4:$A$10000)))*1,[1]OUT_FinalEnergyCons!N$4:N$10000)</f>
        <v>0.24602301365908263</v>
      </c>
      <c r="Q1029" s="1" cm="1">
        <f t="array" ref="Q1029">SUMPRODUCT(([1]OUT_FinalEnergyCons!$B$4:$B$10000="Var_Fin")*1, ISNUMBER(SEARCH("PLT",[1]OUT_FinalEnergyCons!$C$4:$C$10000))*1,(ISNUMBER(SEARCH("RH*-wHPLTBR",[1]OUT_FinalEnergyCons!$A$4:$A$10000)))*1,[1]OUT_FinalEnergyCons!O$4:O$10000)</f>
        <v>0.24602788490809901</v>
      </c>
      <c r="S1029" s="3"/>
    </row>
    <row r="1030" spans="2:19" x14ac:dyDescent="0.5">
      <c r="B1030" s="5" t="str">
        <f t="shared" si="1193"/>
        <v>SPS1</v>
      </c>
      <c r="C1030" s="5" t="str">
        <f t="shared" si="1194"/>
        <v>CH</v>
      </c>
      <c r="D1030" t="s">
        <v>1027</v>
      </c>
      <c r="E1030" t="s">
        <v>8</v>
      </c>
      <c r="F1030" s="1">
        <f>[1]Residential!B$23</f>
        <v>2.5068260308942825</v>
      </c>
      <c r="G1030" s="1">
        <f>[1]Residential!C$23</f>
        <v>2.927993619011235</v>
      </c>
      <c r="H1030" s="1">
        <f>[1]Residential!D$23</f>
        <v>2.8881894976391456</v>
      </c>
      <c r="I1030" s="1">
        <f>[1]Residential!E$23</f>
        <v>2.4064628465601472</v>
      </c>
      <c r="J1030" s="1">
        <f>[1]Residential!F$23</f>
        <v>1.9130169714082634</v>
      </c>
      <c r="K1030" s="1">
        <f>[1]Residential!G$23</f>
        <v>1.9618233006955756</v>
      </c>
      <c r="L1030" s="1">
        <f>[1]Residential!H$23</f>
        <v>2.1412642291415378</v>
      </c>
      <c r="M1030" s="1">
        <f>[1]Residential!I$23</f>
        <v>5.4719768818281498</v>
      </c>
      <c r="N1030" s="1">
        <f>[1]Residential!J$23</f>
        <v>5.471766535089829</v>
      </c>
      <c r="O1030" s="1">
        <f>[1]Residential!K$23</f>
        <v>5.2875705140473794</v>
      </c>
      <c r="P1030" s="1">
        <f>[1]Residential!L$23</f>
        <v>5.4715714774450346</v>
      </c>
      <c r="Q1030" s="1">
        <f>[1]Residential!M$23</f>
        <v>4.249789052234874</v>
      </c>
      <c r="S1030" s="3"/>
    </row>
    <row r="1031" spans="2:19" x14ac:dyDescent="0.5">
      <c r="B1031" s="5" t="str">
        <f t="shared" si="1193"/>
        <v>SPS1</v>
      </c>
      <c r="C1031" s="5" t="str">
        <f t="shared" si="1194"/>
        <v>CH</v>
      </c>
      <c r="D1031" t="s">
        <v>1028</v>
      </c>
      <c r="E1031" t="s">
        <v>8</v>
      </c>
      <c r="F1031" s="1">
        <f>F1032</f>
        <v>0.78533800623443151</v>
      </c>
      <c r="G1031" s="1">
        <f t="shared" ref="G1031:O1031" si="1245">G1032</f>
        <v>0.94127330729621783</v>
      </c>
      <c r="H1031" s="1">
        <f t="shared" si="1245"/>
        <v>0.94166677096040985</v>
      </c>
      <c r="I1031" s="1">
        <f t="shared" si="1245"/>
        <v>0.85770398137828163</v>
      </c>
      <c r="J1031" s="1">
        <f t="shared" si="1245"/>
        <v>0.84172041240735895</v>
      </c>
      <c r="K1031" s="1">
        <f t="shared" si="1245"/>
        <v>0.86319605508025887</v>
      </c>
      <c r="L1031" s="1">
        <f t="shared" si="1245"/>
        <v>0.8863436427597815</v>
      </c>
      <c r="M1031" s="1">
        <f t="shared" si="1245"/>
        <v>2.4076703425895714</v>
      </c>
      <c r="N1031" s="1">
        <f t="shared" si="1245"/>
        <v>2.4075772122628694</v>
      </c>
      <c r="O1031" s="1">
        <f t="shared" si="1245"/>
        <v>2.3265313405335206</v>
      </c>
      <c r="P1031" s="1">
        <f>P1032</f>
        <v>2.4074919321331398</v>
      </c>
      <c r="Q1031" s="1">
        <f>Q1032</f>
        <v>1.8698913334463416</v>
      </c>
      <c r="S1031" s="3"/>
    </row>
    <row r="1032" spans="2:19" x14ac:dyDescent="0.5">
      <c r="B1032" s="5" t="str">
        <f t="shared" si="1193"/>
        <v>SPS1</v>
      </c>
      <c r="C1032" s="5" t="str">
        <f t="shared" si="1194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0.78533800623443151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0.94127330729621783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0.94166677096040985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0.85770398137828163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0.84172041240735895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0.86319605508025887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0.8863436427597815</v>
      </c>
      <c r="M1032" s="1" cm="1">
        <f t="array" ref="M1032">SUMPRODUCT(([1]OUT_FinalEnergyCons!$B$4:$B$10000="Var_Fin")*1, ("SOL"=[1]OUT_FinalEnergyCons!$C$4:$C$10000)*1,(ISNUMBER(SEARCH("RH*-SHSOLBR",[1]OUT_FinalEnergyCons!$A$4:$A$10000)))*1,[1]OUT_FinalEnergyCons!K$4:K$10000)</f>
        <v>2.4076703425895714</v>
      </c>
      <c r="N1032" s="1" cm="1">
        <f t="array" ref="N1032">SUMPRODUCT(([1]OUT_FinalEnergyCons!$B$4:$B$10000="Var_Fin")*1, ("SOL"=[1]OUT_FinalEnergyCons!$C$4:$C$10000)*1,(ISNUMBER(SEARCH("RH*-SHSOLBR",[1]OUT_FinalEnergyCons!$A$4:$A$10000)))*1,[1]OUT_FinalEnergyCons!L$4:L$10000)</f>
        <v>2.4075772122628694</v>
      </c>
      <c r="O1032" s="1" cm="1">
        <f t="array" ref="O1032">SUMPRODUCT(([1]OUT_FinalEnergyCons!$B$4:$B$10000="Var_Fin")*1, ("SOL"=[1]OUT_FinalEnergyCons!$C$4:$C$10000)*1,(ISNUMBER(SEARCH("RH*-SHSOLBR",[1]OUT_FinalEnergyCons!$A$4:$A$10000)))*1,[1]OUT_FinalEnergyCons!M$4:M$10000)</f>
        <v>2.3265313405335206</v>
      </c>
      <c r="P1032" s="1" cm="1">
        <f t="array" ref="P1032">SUMPRODUCT(([1]OUT_FinalEnergyCons!$B$4:$B$10000="Var_Fin")*1, ("SOL"=[1]OUT_FinalEnergyCons!$C$4:$C$10000)*1,(ISNUMBER(SEARCH("RH*-SHSOLBR",[1]OUT_FinalEnergyCons!$A$4:$A$10000)))*1,[1]OUT_FinalEnergyCons!N$4:N$10000)</f>
        <v>2.4074919321331398</v>
      </c>
      <c r="Q1032" s="1" cm="1">
        <f t="array" ref="Q1032">SUMPRODUCT(([1]OUT_FinalEnergyCons!$B$4:$B$10000="Var_Fin")*1, ("SOL"=[1]OUT_FinalEnergyCons!$C$4:$C$10000)*1,(ISNUMBER(SEARCH("RH*-SHSOLBR",[1]OUT_FinalEnergyCons!$A$4:$A$10000)))*1,[1]OUT_FinalEnergyCons!O$4:O$10000)</f>
        <v>1.8698913334463416</v>
      </c>
      <c r="S1032" s="3"/>
    </row>
    <row r="1033" spans="2:19" x14ac:dyDescent="0.5">
      <c r="B1033" s="5" t="str">
        <f t="shared" si="1193"/>
        <v>SPS1</v>
      </c>
      <c r="C1033" s="5" t="str">
        <f t="shared" si="1194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246">G1030-G1031</f>
        <v>1.9867203117150172</v>
      </c>
      <c r="H1033" s="1">
        <f t="shared" si="1246"/>
        <v>1.9465227266787357</v>
      </c>
      <c r="I1033" s="1">
        <f t="shared" si="1246"/>
        <v>1.5487588651818656</v>
      </c>
      <c r="J1033" s="1">
        <f t="shared" si="1246"/>
        <v>1.0712965590009045</v>
      </c>
      <c r="K1033" s="1">
        <f t="shared" si="1246"/>
        <v>1.0986272456153168</v>
      </c>
      <c r="L1033" s="1">
        <f t="shared" ref="L1033:O1033" si="1247">L1030-L1031</f>
        <v>1.2549205863817563</v>
      </c>
      <c r="M1033" s="1">
        <f t="shared" si="1247"/>
        <v>3.0643065392385784</v>
      </c>
      <c r="N1033" s="1">
        <f t="shared" si="1247"/>
        <v>3.0641893228269597</v>
      </c>
      <c r="O1033" s="1">
        <f t="shared" si="1247"/>
        <v>2.9610391735138588</v>
      </c>
      <c r="P1033" s="1">
        <f>P1030-P1031</f>
        <v>3.0640795453118947</v>
      </c>
      <c r="Q1033" s="1">
        <f>Q1030-Q1031</f>
        <v>2.3798977187885324</v>
      </c>
      <c r="S1033" s="3"/>
    </row>
    <row r="1034" spans="2:19" x14ac:dyDescent="0.5">
      <c r="B1034" s="5" t="str">
        <f t="shared" si="1193"/>
        <v>SPS1</v>
      </c>
      <c r="C1034" s="5" t="str">
        <f t="shared" si="1194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248">G1033</f>
        <v>1.9867203117150172</v>
      </c>
      <c r="H1034" s="1">
        <f t="shared" si="1248"/>
        <v>1.9465227266787357</v>
      </c>
      <c r="I1034" s="1">
        <f t="shared" si="1248"/>
        <v>1.5487588651818656</v>
      </c>
      <c r="J1034" s="1">
        <f t="shared" si="1248"/>
        <v>1.0712965590009045</v>
      </c>
      <c r="K1034" s="1">
        <f t="shared" si="1248"/>
        <v>1.0986272456153168</v>
      </c>
      <c r="L1034" s="1">
        <f t="shared" ref="L1034:O1034" si="1249">L1033</f>
        <v>1.2549205863817563</v>
      </c>
      <c r="M1034" s="1">
        <f t="shared" si="1249"/>
        <v>3.0643065392385784</v>
      </c>
      <c r="N1034" s="1">
        <f t="shared" si="1249"/>
        <v>3.0641893228269597</v>
      </c>
      <c r="O1034" s="1">
        <f t="shared" si="1249"/>
        <v>2.9610391735138588</v>
      </c>
      <c r="P1034" s="1">
        <f>P1033</f>
        <v>3.0640795453118947</v>
      </c>
      <c r="Q1034" s="1">
        <f>Q1033</f>
        <v>2.3798977187885324</v>
      </c>
      <c r="S1034" s="3"/>
    </row>
    <row r="1035" spans="2:19" x14ac:dyDescent="0.5">
      <c r="B1035" s="5" t="str">
        <f t="shared" si="1193"/>
        <v>SPS1</v>
      </c>
      <c r="C1035" s="5" t="str">
        <f t="shared" si="1194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1.2933325520848016E-3</v>
      </c>
      <c r="J1035" s="1">
        <f>[1]Residential!F$24</f>
        <v>6.3119645370728936E-2</v>
      </c>
      <c r="K1035" s="1">
        <f>[1]Residential!G$24</f>
        <v>0.35824127909314796</v>
      </c>
      <c r="L1035" s="1">
        <f>[1]Residential!H$24</f>
        <v>0.98276140402398238</v>
      </c>
      <c r="M1035" s="1">
        <f>[1]Residential!I$24</f>
        <v>0.58566415474237699</v>
      </c>
      <c r="N1035" s="1">
        <f>[1]Residential!J$24</f>
        <v>0.13094918882263881</v>
      </c>
      <c r="O1035" s="1">
        <f>[1]Residential!K$24</f>
        <v>0.12985794148171337</v>
      </c>
      <c r="P1035" s="1">
        <f>[1]Residential!L$24</f>
        <v>9.2216037477318227E-2</v>
      </c>
      <c r="Q1035" s="1">
        <f>[1]Residential!M$24</f>
        <v>6.5367883141964858E-2</v>
      </c>
      <c r="S1035" s="3"/>
    </row>
    <row r="1036" spans="2:19" x14ac:dyDescent="0.5">
      <c r="B1036" s="5" t="str">
        <f t="shared" si="1193"/>
        <v>SPS1</v>
      </c>
      <c r="C1036" s="5" t="str">
        <f t="shared" si="1194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250">G1035-G1038-G1040</f>
        <v>0</v>
      </c>
      <c r="H1036" s="1">
        <f t="shared" si="1250"/>
        <v>0</v>
      </c>
      <c r="I1036" s="1">
        <f t="shared" si="1250"/>
        <v>1.2933325520848016E-3</v>
      </c>
      <c r="J1036" s="1">
        <f t="shared" si="1250"/>
        <v>6.3119645370728936E-2</v>
      </c>
      <c r="K1036" s="1">
        <f t="shared" si="1250"/>
        <v>0.35824127909314796</v>
      </c>
      <c r="L1036" s="1">
        <f t="shared" ref="L1036:O1036" si="1251">L1035-L1038-L1040</f>
        <v>0.98276140402398238</v>
      </c>
      <c r="M1036" s="1">
        <f t="shared" si="1251"/>
        <v>0.58566415474237699</v>
      </c>
      <c r="N1036" s="1">
        <f t="shared" si="1251"/>
        <v>0.13094918882263881</v>
      </c>
      <c r="O1036" s="1">
        <f t="shared" si="1251"/>
        <v>0.12985794148171337</v>
      </c>
      <c r="P1036" s="1">
        <f>P1035-P1038-P1040</f>
        <v>9.2216037477318227E-2</v>
      </c>
      <c r="Q1036" s="1">
        <f>Q1035-Q1038-Q1040</f>
        <v>6.5367883141964858E-2</v>
      </c>
      <c r="S1036" s="3"/>
    </row>
    <row r="1037" spans="2:19" x14ac:dyDescent="0.5">
      <c r="B1037" s="5" t="str">
        <f t="shared" si="1193"/>
        <v>SPS1</v>
      </c>
      <c r="C1037" s="5" t="str">
        <f t="shared" si="1194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252">G1038+G1040</f>
        <v>0</v>
      </c>
      <c r="H1037" s="1">
        <f t="shared" si="1252"/>
        <v>0</v>
      </c>
      <c r="I1037" s="1">
        <f t="shared" si="1252"/>
        <v>0</v>
      </c>
      <c r="J1037" s="1">
        <f t="shared" si="1252"/>
        <v>0</v>
      </c>
      <c r="K1037" s="1">
        <f t="shared" si="1252"/>
        <v>0</v>
      </c>
      <c r="L1037" s="1">
        <f t="shared" ref="L1037:O1037" si="1253">L1038+L1040</f>
        <v>0</v>
      </c>
      <c r="M1037" s="1">
        <f t="shared" si="1253"/>
        <v>0</v>
      </c>
      <c r="N1037" s="1">
        <f t="shared" si="1253"/>
        <v>0</v>
      </c>
      <c r="O1037" s="1">
        <f t="shared" si="1253"/>
        <v>0</v>
      </c>
      <c r="P1037" s="1">
        <f>P1038+P1040</f>
        <v>0</v>
      </c>
      <c r="Q1037" s="1">
        <f>Q1038+Q1040</f>
        <v>0</v>
      </c>
      <c r="S1037" s="3"/>
    </row>
    <row r="1038" spans="2:19" x14ac:dyDescent="0.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O1038" si="1254">G1039</f>
        <v>0</v>
      </c>
      <c r="H1038" s="1">
        <f t="shared" si="1254"/>
        <v>0</v>
      </c>
      <c r="I1038" s="1">
        <f t="shared" si="1254"/>
        <v>0</v>
      </c>
      <c r="J1038" s="1">
        <f t="shared" si="1254"/>
        <v>0</v>
      </c>
      <c r="K1038" s="1">
        <f t="shared" si="1254"/>
        <v>0</v>
      </c>
      <c r="L1038" s="1">
        <f t="shared" si="1254"/>
        <v>0</v>
      </c>
      <c r="M1038" s="1">
        <f t="shared" si="1254"/>
        <v>0</v>
      </c>
      <c r="N1038" s="1">
        <f t="shared" si="1254"/>
        <v>0</v>
      </c>
      <c r="O1038" s="1">
        <f t="shared" si="1254"/>
        <v>0</v>
      </c>
      <c r="P1038" s="1">
        <f>P1039</f>
        <v>0</v>
      </c>
      <c r="Q1038" s="1">
        <f>Q1039</f>
        <v>0</v>
      </c>
      <c r="S1038" s="3"/>
    </row>
    <row r="1039" spans="2:19" x14ac:dyDescent="0.5">
      <c r="B1039" s="5" t="str">
        <f t="shared" si="1193"/>
        <v>SPS1</v>
      </c>
      <c r="C1039" s="5" t="str">
        <f t="shared" si="1194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M1039" s="1" cm="1">
        <f t="array" ref="M1039">SUMPRODUCT(([1]OUT_FinalEnergyCons!$B$4:$B$10000="Var_Fin")*1, ISNUMBER(SEARCH("RSH2",[1]OUT_FinalEnergyCons!$C$4:$C$10000))*1,(ISNUMBER(SEARCH("RH*-SHH2BR",[1]OUT_FinalEnergyCons!$A$4:$A$10000)))*1,[1]OUT_FinalEnergyCons!K$4:K$10000)</f>
        <v>0</v>
      </c>
      <c r="N1039" s="1" cm="1">
        <f t="array" ref="N1039">SUMPRODUCT(([1]OUT_FinalEnergyCons!$B$4:$B$10000="Var_Fin")*1, ISNUMBER(SEARCH("RSH2",[1]OUT_FinalEnergyCons!$C$4:$C$10000))*1,(ISNUMBER(SEARCH("RH*-SHH2BR",[1]OUT_FinalEnergyCons!$A$4:$A$10000)))*1,[1]OUT_FinalEnergyCons!L$4:L$10000)</f>
        <v>0</v>
      </c>
      <c r="O1039" s="1" cm="1">
        <f t="array" ref="O1039">SUMPRODUCT(([1]OUT_FinalEnergyCons!$B$4:$B$10000="Var_Fin")*1, ISNUMBER(SEARCH("RSH2",[1]OUT_FinalEnergyCons!$C$4:$C$10000))*1,(ISNUMBER(SEARCH("RH*-SHH2BR",[1]OUT_FinalEnergyCons!$A$4:$A$10000)))*1,[1]OUT_FinalEnergyCons!M$4:M$10000)</f>
        <v>0</v>
      </c>
      <c r="P1039" s="1" cm="1">
        <f t="array" ref="P1039">SUMPRODUCT(([1]OUT_FinalEnergyCons!$B$4:$B$10000="Var_Fin")*1, ISNUMBER(SEARCH("RSH2",[1]OUT_FinalEnergyCons!$C$4:$C$10000))*1,(ISNUMBER(SEARCH("RH*-SHH2BR",[1]OUT_FinalEnergyCons!$A$4:$A$10000)))*1,[1]OUT_FinalEnergyCons!N$4:N$10000)</f>
        <v>0</v>
      </c>
      <c r="Q1039" s="1" cm="1">
        <f t="array" ref="Q1039">SUMPRODUCT(([1]OUT_FinalEnergyCons!$B$4:$B$10000="Var_Fin")*1, ISNUMBER(SEARCH("RSH2",[1]OUT_FinalEnergyCons!$C$4:$C$10000))*1,(ISNUMBER(SEARCH("RH*-SHH2BR",[1]OUT_FinalEnergyCons!$A$4:$A$10000)))*1,[1]OUT_FinalEnergyCons!O$4:O$10000)</f>
        <v>0</v>
      </c>
      <c r="S1039" s="3"/>
    </row>
    <row r="1040" spans="2:19" x14ac:dyDescent="0.5">
      <c r="B1040" s="5" t="str">
        <f t="shared" si="1193"/>
        <v>SPS1</v>
      </c>
      <c r="C1040" s="5" t="str">
        <f t="shared" si="1194"/>
        <v>CH</v>
      </c>
      <c r="D1040" t="s">
        <v>1033</v>
      </c>
      <c r="E1040" t="s">
        <v>8</v>
      </c>
      <c r="F1040" s="1">
        <f>F1041</f>
        <v>0</v>
      </c>
      <c r="G1040" s="1">
        <f t="shared" ref="G1040:O1040" si="1255">G1041</f>
        <v>0</v>
      </c>
      <c r="H1040" s="1">
        <f t="shared" si="1255"/>
        <v>0</v>
      </c>
      <c r="I1040" s="1">
        <f t="shared" si="1255"/>
        <v>0</v>
      </c>
      <c r="J1040" s="1">
        <f t="shared" si="1255"/>
        <v>0</v>
      </c>
      <c r="K1040" s="1">
        <f t="shared" si="1255"/>
        <v>0</v>
      </c>
      <c r="L1040" s="1">
        <f t="shared" si="1255"/>
        <v>0</v>
      </c>
      <c r="M1040" s="1">
        <f t="shared" si="1255"/>
        <v>0</v>
      </c>
      <c r="N1040" s="1">
        <f t="shared" si="1255"/>
        <v>0</v>
      </c>
      <c r="O1040" s="1">
        <f t="shared" si="1255"/>
        <v>0</v>
      </c>
      <c r="P1040" s="1">
        <f>P1041</f>
        <v>0</v>
      </c>
      <c r="Q1040" s="1">
        <f>Q1041</f>
        <v>0</v>
      </c>
      <c r="S1040" s="3"/>
    </row>
    <row r="1041" spans="2:19" x14ac:dyDescent="0.5">
      <c r="B1041" s="5" t="str">
        <f t="shared" si="1193"/>
        <v>SPS1</v>
      </c>
      <c r="C1041" s="5" t="str">
        <f t="shared" si="1194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M1041" s="1" cm="1">
        <f t="array" ref="M1041">SUMPRODUCT(([1]OUT_FinalEnergyCons!$B$4:$B$10000="Var_Fin")*1, ISNUMBER(SEARCH("RSH2",[1]OUT_FinalEnergyCons!$C$4:$C$10000))*1,(ISNUMBER(SEARCH("RH*-wHH2BR",[1]OUT_FinalEnergyCons!$A$4:$A$10000)))*1,[1]OUT_FinalEnergyCons!K$4:K$10000)</f>
        <v>0</v>
      </c>
      <c r="N1041" s="1" cm="1">
        <f t="array" ref="N1041">SUMPRODUCT(([1]OUT_FinalEnergyCons!$B$4:$B$10000="Var_Fin")*1, ISNUMBER(SEARCH("RSH2",[1]OUT_FinalEnergyCons!$C$4:$C$10000))*1,(ISNUMBER(SEARCH("RH*-wHH2BR",[1]OUT_FinalEnergyCons!$A$4:$A$10000)))*1,[1]OUT_FinalEnergyCons!L$4:L$10000)</f>
        <v>0</v>
      </c>
      <c r="O1041" s="1" cm="1">
        <f t="array" ref="O1041">SUMPRODUCT(([1]OUT_FinalEnergyCons!$B$4:$B$10000="Var_Fin")*1, ISNUMBER(SEARCH("RSH2",[1]OUT_FinalEnergyCons!$C$4:$C$10000))*1,(ISNUMBER(SEARCH("RH*-wHH2BR",[1]OUT_FinalEnergyCons!$A$4:$A$10000)))*1,[1]OUT_FinalEnergyCons!M$4:M$10000)</f>
        <v>0</v>
      </c>
      <c r="P1041" s="1" cm="1">
        <f t="array" ref="P1041">SUMPRODUCT(([1]OUT_FinalEnergyCons!$B$4:$B$10000="Var_Fin")*1, ISNUMBER(SEARCH("RSH2",[1]OUT_FinalEnergyCons!$C$4:$C$10000))*1,(ISNUMBER(SEARCH("RH*-wHH2BR",[1]OUT_FinalEnergyCons!$A$4:$A$10000)))*1,[1]OUT_FinalEnergyCons!N$4:N$10000)</f>
        <v>0</v>
      </c>
      <c r="Q1041" s="1" cm="1">
        <f t="array" ref="Q1041">SUMPRODUCT(([1]OUT_FinalEnergyCons!$B$4:$B$10000="Var_Fin")*1, ISNUMBER(SEARCH("RSH2",[1]OUT_FinalEnergyCons!$C$4:$C$10000))*1,(ISNUMBER(SEARCH("RH*-wHH2BR",[1]OUT_FinalEnergyCons!$A$4:$A$10000)))*1,[1]OUT_FinalEnergyCons!O$4:O$10000)</f>
        <v>0</v>
      </c>
      <c r="S1041" s="3"/>
    </row>
    <row r="1042" spans="2:19" x14ac:dyDescent="0.5">
      <c r="B1042" s="5" t="str">
        <f t="shared" si="1193"/>
        <v>SPS1</v>
      </c>
      <c r="C1042" s="5" t="str">
        <f t="shared" si="1194"/>
        <v>CH</v>
      </c>
      <c r="D1042" t="s">
        <v>1034</v>
      </c>
      <c r="E1042" t="s">
        <v>8</v>
      </c>
      <c r="F1042" s="1">
        <f>[1]Residential!B$21</f>
        <v>5.7553090427820637</v>
      </c>
      <c r="G1042" s="1">
        <f>[1]Residential!C$21</f>
        <v>9.6701872292542514</v>
      </c>
      <c r="H1042" s="1">
        <f>[1]Residential!D$21</f>
        <v>10.159283578325978</v>
      </c>
      <c r="I1042" s="1">
        <f>[1]Residential!E$21</f>
        <v>7.0426611101362848</v>
      </c>
      <c r="J1042" s="1">
        <f>[1]Residential!F$21</f>
        <v>7.1989017554717574</v>
      </c>
      <c r="K1042" s="1">
        <f>[1]Residential!G$21</f>
        <v>9.3972636664818765</v>
      </c>
      <c r="L1042" s="1">
        <f>[1]Residential!H$21</f>
        <v>7.8528833061967642</v>
      </c>
      <c r="M1042" s="1">
        <f>[1]Residential!I$21</f>
        <v>9.8612389228604158</v>
      </c>
      <c r="N1042" s="1">
        <f>[1]Residential!J$21</f>
        <v>9.6770521142854129</v>
      </c>
      <c r="O1042" s="1">
        <f>[1]Residential!K$21</f>
        <v>9.5577704781620643</v>
      </c>
      <c r="P1042" s="1">
        <f>[1]Residential!L$21</f>
        <v>9.8007822067706236</v>
      </c>
      <c r="Q1042" s="1">
        <f>[1]Residential!M$21</f>
        <v>8.5176238504284925</v>
      </c>
      <c r="S1042" s="3"/>
    </row>
    <row r="1043" spans="2:19" x14ac:dyDescent="0.5">
      <c r="B1043" s="5" t="str">
        <f t="shared" si="1193"/>
        <v>SPS1</v>
      </c>
      <c r="C1043" s="5" t="str">
        <f t="shared" si="1194"/>
        <v>CH</v>
      </c>
      <c r="D1043" t="s">
        <v>1035</v>
      </c>
      <c r="E1043" t="s">
        <v>8</v>
      </c>
      <c r="F1043" s="1">
        <f>SUM(F1044:F1046)</f>
        <v>9.4204182832079125E-2</v>
      </c>
      <c r="G1043" s="1">
        <f t="shared" ref="G1043:K1043" si="1256">SUM(G1044:G1046)</f>
        <v>6.9253764646196592E-2</v>
      </c>
      <c r="H1043" s="1">
        <f t="shared" si="1256"/>
        <v>0.27215868355507894</v>
      </c>
      <c r="I1043" s="1">
        <f t="shared" si="1256"/>
        <v>0.26525570949323407</v>
      </c>
      <c r="J1043" s="1">
        <f t="shared" si="1256"/>
        <v>0.26421875898968805</v>
      </c>
      <c r="K1043" s="1">
        <f t="shared" si="1256"/>
        <v>0.54365620218720823</v>
      </c>
      <c r="L1043" s="1">
        <f t="shared" ref="L1043:O1043" si="1257">SUM(L1044:L1046)</f>
        <v>0.53889070681868612</v>
      </c>
      <c r="M1043" s="1">
        <f t="shared" si="1257"/>
        <v>0.53062358576841728</v>
      </c>
      <c r="N1043" s="1">
        <f t="shared" si="1257"/>
        <v>0.53409050738688868</v>
      </c>
      <c r="O1043" s="1">
        <f t="shared" si="1257"/>
        <v>0.54000448800162892</v>
      </c>
      <c r="P1043" s="1">
        <f>SUM(P1044:P1046)</f>
        <v>0.5382090548680436</v>
      </c>
      <c r="Q1043" s="1">
        <f>SUM(Q1044:Q1046)</f>
        <v>0.54776599536069726</v>
      </c>
      <c r="S1043" s="3"/>
    </row>
    <row r="1044" spans="2:19" x14ac:dyDescent="0.5">
      <c r="B1044" s="5" t="str">
        <f t="shared" si="1193"/>
        <v>SPS1</v>
      </c>
      <c r="C1044" s="5" t="str">
        <f t="shared" si="1194"/>
        <v>CH</v>
      </c>
      <c r="D1044" t="s">
        <v>749</v>
      </c>
      <c r="E1044" t="s">
        <v>8</v>
      </c>
      <c r="F1044" s="1">
        <f t="shared" ref="F1044:K1045" si="1258">SUM(F244,F246)</f>
        <v>9.4204182832079125E-2</v>
      </c>
      <c r="G1044" s="1">
        <f t="shared" si="1258"/>
        <v>6.9253764646196592E-2</v>
      </c>
      <c r="H1044" s="1">
        <f t="shared" si="1258"/>
        <v>0.27215868355507894</v>
      </c>
      <c r="I1044" s="1">
        <f t="shared" si="1258"/>
        <v>0.26160219985610406</v>
      </c>
      <c r="J1044" s="1">
        <f t="shared" si="1258"/>
        <v>0.2581819755793196</v>
      </c>
      <c r="K1044" s="1">
        <f t="shared" si="1258"/>
        <v>0.10912379204890281</v>
      </c>
      <c r="L1044" s="1">
        <f t="shared" ref="L1044:O1044" si="1259">SUM(L244,L246)</f>
        <v>0</v>
      </c>
      <c r="M1044" s="1">
        <f t="shared" si="1259"/>
        <v>0</v>
      </c>
      <c r="N1044" s="1">
        <f t="shared" si="1259"/>
        <v>1.3900466989452808E-2</v>
      </c>
      <c r="O1044" s="1">
        <f t="shared" si="1259"/>
        <v>2.4446819357818693E-2</v>
      </c>
      <c r="P1044" s="1">
        <f>SUM(P244,P246)</f>
        <v>2.3239771498431823E-2</v>
      </c>
      <c r="Q1044" s="1">
        <f>SUM(Q244,Q246)</f>
        <v>4.440145223850081E-2</v>
      </c>
      <c r="S1044" s="3"/>
    </row>
    <row r="1045" spans="2:19" x14ac:dyDescent="0.5">
      <c r="B1045" s="5" t="str">
        <f t="shared" si="1193"/>
        <v>SPS1</v>
      </c>
      <c r="C1045" s="5" t="str">
        <f t="shared" si="1194"/>
        <v>CH</v>
      </c>
      <c r="D1045" t="s">
        <v>750</v>
      </c>
      <c r="E1045" t="s">
        <v>8</v>
      </c>
      <c r="F1045" s="1">
        <f t="shared" si="1258"/>
        <v>0</v>
      </c>
      <c r="G1045" s="1">
        <f t="shared" si="1258"/>
        <v>0</v>
      </c>
      <c r="H1045" s="1">
        <f t="shared" si="1258"/>
        <v>0</v>
      </c>
      <c r="I1045" s="1">
        <f t="shared" si="1258"/>
        <v>0</v>
      </c>
      <c r="J1045" s="1">
        <f t="shared" si="1258"/>
        <v>0</v>
      </c>
      <c r="K1045" s="1">
        <f t="shared" si="1258"/>
        <v>0</v>
      </c>
      <c r="L1045" s="1">
        <f t="shared" ref="L1045:O1045" si="1260">SUM(L245,L247)</f>
        <v>0</v>
      </c>
      <c r="M1045" s="1">
        <f t="shared" si="1260"/>
        <v>0</v>
      </c>
      <c r="N1045" s="1">
        <f t="shared" si="1260"/>
        <v>0</v>
      </c>
      <c r="O1045" s="1">
        <f t="shared" si="1260"/>
        <v>0</v>
      </c>
      <c r="P1045" s="1">
        <f>SUM(P245,P247)</f>
        <v>0</v>
      </c>
      <c r="Q1045" s="1">
        <f>SUM(Q245,Q247)</f>
        <v>0</v>
      </c>
      <c r="S1045" s="3"/>
    </row>
    <row r="1046" spans="2:19" x14ac:dyDescent="0.5">
      <c r="B1046" s="5" t="str">
        <f t="shared" si="1193"/>
        <v>SPS1</v>
      </c>
      <c r="C1046" s="5" t="str">
        <f t="shared" si="1194"/>
        <v>CH</v>
      </c>
      <c r="D1046" t="s">
        <v>751</v>
      </c>
      <c r="E1046" t="s">
        <v>8</v>
      </c>
      <c r="F1046" s="1">
        <f t="shared" ref="F1046:K1046" si="1261">SUM(F285,F286)</f>
        <v>0</v>
      </c>
      <c r="G1046" s="1">
        <f t="shared" si="1261"/>
        <v>0</v>
      </c>
      <c r="H1046" s="1">
        <f t="shared" si="1261"/>
        <v>0</v>
      </c>
      <c r="I1046" s="1">
        <f t="shared" si="1261"/>
        <v>3.6535096371300246E-3</v>
      </c>
      <c r="J1046" s="1">
        <f t="shared" si="1261"/>
        <v>6.0367834103684653E-3</v>
      </c>
      <c r="K1046" s="1">
        <f t="shared" si="1261"/>
        <v>0.43453241013830546</v>
      </c>
      <c r="L1046" s="1">
        <f t="shared" ref="L1046:O1046" si="1262">SUM(L285,L286)</f>
        <v>0.53889070681868612</v>
      </c>
      <c r="M1046" s="1">
        <f t="shared" si="1262"/>
        <v>0.53062358576841728</v>
      </c>
      <c r="N1046" s="1">
        <f t="shared" si="1262"/>
        <v>0.52019004039743588</v>
      </c>
      <c r="O1046" s="1">
        <f t="shared" si="1262"/>
        <v>0.51555766864381025</v>
      </c>
      <c r="P1046" s="1">
        <f>SUM(P285,P286)</f>
        <v>0.51496928336961179</v>
      </c>
      <c r="Q1046" s="1">
        <f>SUM(Q285,Q286)</f>
        <v>0.50336454312219647</v>
      </c>
      <c r="S1046" s="3"/>
    </row>
    <row r="1047" spans="2:19" x14ac:dyDescent="0.5">
      <c r="B1047" s="5" t="str">
        <f t="shared" si="1193"/>
        <v>SPS1</v>
      </c>
      <c r="C1047" s="5" t="str">
        <f t="shared" si="1194"/>
        <v>CH</v>
      </c>
      <c r="D1047" t="s">
        <v>1036</v>
      </c>
      <c r="E1047" t="s">
        <v>8</v>
      </c>
      <c r="F1047" s="1">
        <f>F1042-F1043</f>
        <v>5.6611048599499849</v>
      </c>
      <c r="G1047" s="1">
        <f t="shared" ref="G1047:K1047" si="1263">G1042-G1043</f>
        <v>9.6009334646080546</v>
      </c>
      <c r="H1047" s="1">
        <f t="shared" si="1263"/>
        <v>9.8871248947708992</v>
      </c>
      <c r="I1047" s="1">
        <f t="shared" si="1263"/>
        <v>6.7774054006430511</v>
      </c>
      <c r="J1047" s="1">
        <f t="shared" si="1263"/>
        <v>6.9346829964820689</v>
      </c>
      <c r="K1047" s="1">
        <f t="shared" si="1263"/>
        <v>8.8536074642946687</v>
      </c>
      <c r="L1047" s="1">
        <f t="shared" ref="L1047:O1047" si="1264">L1042-L1043</f>
        <v>7.3139925993780786</v>
      </c>
      <c r="M1047" s="1">
        <f t="shared" si="1264"/>
        <v>9.3306153370919986</v>
      </c>
      <c r="N1047" s="1">
        <f t="shared" si="1264"/>
        <v>9.142961606898524</v>
      </c>
      <c r="O1047" s="1">
        <f t="shared" si="1264"/>
        <v>9.0177659901604361</v>
      </c>
      <c r="P1047" s="1">
        <f>P1042-P1043</f>
        <v>9.2625731519025791</v>
      </c>
      <c r="Q1047" s="1">
        <f>Q1042-Q1043</f>
        <v>7.9698578550677954</v>
      </c>
      <c r="S1047" s="3"/>
    </row>
    <row r="1048" spans="2:19" x14ac:dyDescent="0.5">
      <c r="B1048" s="5" t="str">
        <f t="shared" si="1193"/>
        <v>SPS1</v>
      </c>
      <c r="C1048" s="5" t="str">
        <f t="shared" si="1194"/>
        <v>CH</v>
      </c>
      <c r="D1048" t="s">
        <v>1037</v>
      </c>
      <c r="E1048" t="s">
        <v>8</v>
      </c>
      <c r="F1048" s="1">
        <f>[1]Residential!B$25</f>
        <v>15.194971142673158</v>
      </c>
      <c r="G1048" s="1">
        <f>[1]Residential!C$25</f>
        <v>18.072650388172683</v>
      </c>
      <c r="H1048" s="1">
        <f>[1]Residential!D$25</f>
        <v>20.547699660210831</v>
      </c>
      <c r="I1048" s="1">
        <f>[1]Residential!E$25</f>
        <v>28.602101697596009</v>
      </c>
      <c r="J1048" s="1">
        <f>[1]Residential!F$25</f>
        <v>45.777840231144026</v>
      </c>
      <c r="K1048" s="1">
        <f>[1]Residential!G$25</f>
        <v>49.406218052932076</v>
      </c>
      <c r="L1048" s="1">
        <f>[1]Residential!H$25</f>
        <v>59.614043411858852</v>
      </c>
      <c r="M1048" s="1">
        <f>[1]Residential!I$25</f>
        <v>70.50279064990707</v>
      </c>
      <c r="N1048" s="1">
        <f>[1]Residential!J$25</f>
        <v>71.826728264852179</v>
      </c>
      <c r="O1048" s="1">
        <f>[1]Residential!K$25</f>
        <v>72.378420496133302</v>
      </c>
      <c r="P1048" s="1">
        <f>[1]Residential!L$25</f>
        <v>72.301520582230964</v>
      </c>
      <c r="Q1048" s="1">
        <f>[1]Residential!M$25</f>
        <v>73.743835058211715</v>
      </c>
      <c r="S1048" s="3"/>
    </row>
    <row r="1049" spans="2:19" x14ac:dyDescent="0.5">
      <c r="B1049" s="5" t="str">
        <f t="shared" si="1193"/>
        <v>SPS1</v>
      </c>
      <c r="C1049" s="5" t="str">
        <f t="shared" si="1194"/>
        <v>CH</v>
      </c>
      <c r="D1049" t="s">
        <v>1038</v>
      </c>
      <c r="E1049" t="s">
        <v>8</v>
      </c>
      <c r="F1049" s="1">
        <f>F1048-F1052</f>
        <v>13.10397717745084</v>
      </c>
      <c r="G1049" s="1">
        <f t="shared" ref="G1049:K1049" si="1265">G1048-G1052</f>
        <v>15.723625392350844</v>
      </c>
      <c r="H1049" s="1">
        <f t="shared" si="1265"/>
        <v>17.331101079786485</v>
      </c>
      <c r="I1049" s="1">
        <f t="shared" si="1265"/>
        <v>23.760690398048098</v>
      </c>
      <c r="J1049" s="1">
        <f t="shared" si="1265"/>
        <v>37.395460589645083</v>
      </c>
      <c r="K1049" s="1">
        <f t="shared" si="1265"/>
        <v>41.387099230641482</v>
      </c>
      <c r="L1049" s="1">
        <f t="shared" ref="L1049:O1049" si="1266">L1048-L1052</f>
        <v>49.290567382500413</v>
      </c>
      <c r="M1049" s="1">
        <f t="shared" si="1266"/>
        <v>58.448586452871709</v>
      </c>
      <c r="N1049" s="1">
        <f t="shared" si="1266"/>
        <v>59.832255648647774</v>
      </c>
      <c r="O1049" s="1">
        <f t="shared" si="1266"/>
        <v>60.437380848357911</v>
      </c>
      <c r="P1049" s="1">
        <f>P1048-P1052</f>
        <v>60.437392731913121</v>
      </c>
      <c r="Q1049" s="1">
        <f>Q1048-Q1052</f>
        <v>60.437429525291563</v>
      </c>
      <c r="S1049" s="3"/>
    </row>
    <row r="1050" spans="2:19" x14ac:dyDescent="0.5">
      <c r="B1050" s="5" t="str">
        <f t="shared" si="1193"/>
        <v>SPS1</v>
      </c>
      <c r="C1050" s="5" t="str">
        <f t="shared" si="1194"/>
        <v>CH</v>
      </c>
      <c r="D1050" t="s">
        <v>752</v>
      </c>
      <c r="E1050" t="s">
        <v>8</v>
      </c>
      <c r="F1050" s="1">
        <f>F1049-F1051</f>
        <v>13.10397717745084</v>
      </c>
      <c r="G1050" s="1">
        <f t="shared" ref="G1050:K1050" si="1267">G1049-G1051</f>
        <v>15.723625392350844</v>
      </c>
      <c r="H1050" s="1">
        <f t="shared" si="1267"/>
        <v>17.325964434415884</v>
      </c>
      <c r="I1050" s="1">
        <f t="shared" si="1267"/>
        <v>23.754922906441863</v>
      </c>
      <c r="J1050" s="1">
        <f t="shared" si="1267"/>
        <v>33.539489937354048</v>
      </c>
      <c r="K1050" s="1">
        <f t="shared" si="1267"/>
        <v>34.564040321639204</v>
      </c>
      <c r="L1050" s="1">
        <f t="shared" ref="L1050:O1050" si="1268">L1049-L1051</f>
        <v>42.33220405522701</v>
      </c>
      <c r="M1050" s="1">
        <f t="shared" si="1268"/>
        <v>53.042030569416269</v>
      </c>
      <c r="N1050" s="1">
        <f t="shared" si="1268"/>
        <v>57.141723706402303</v>
      </c>
      <c r="O1050" s="1">
        <f t="shared" si="1268"/>
        <v>58.004707497837416</v>
      </c>
      <c r="P1050" s="1">
        <f>P1049-P1051</f>
        <v>58.004770443053602</v>
      </c>
      <c r="Q1050" s="1">
        <f>Q1049-Q1051</f>
        <v>58.004809966283069</v>
      </c>
      <c r="S1050" s="3"/>
    </row>
    <row r="1051" spans="2:19" x14ac:dyDescent="0.5">
      <c r="B1051" s="5" t="str">
        <f t="shared" si="1193"/>
        <v>SPS1</v>
      </c>
      <c r="C1051" s="5" t="str">
        <f t="shared" si="1194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5.136645370601667E-3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5.7674916062345127E-3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3.8559706522910355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6.8230589090022749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6.9583633272734007</v>
      </c>
      <c r="M1051" s="1" cm="1">
        <f t="array" ref="M1051">SUMPRODUCT(([1]OUT_FinalEnergyCons!$B$4:$B$10000="Var_FOut")*1, ISNUMBER(SEARCH("RH*SHANGAH",[1]OUT_FinalEnergyCons!$C$4:$C$10000))*1,ISNUMBER(SEARCH("RH*-SHngahp",[1]OUT_FinalEnergyCons!$A$4:$A$10000))*1,[1]OUT_FinalEnergyCons!K$4:K$10000)-M999</f>
        <v>5.4065558834554421</v>
      </c>
      <c r="N1051" s="1" cm="1">
        <f t="array" ref="N1051">SUMPRODUCT(([1]OUT_FinalEnergyCons!$B$4:$B$10000="Var_FOut")*1, ISNUMBER(SEARCH("RH*SHANGAH",[1]OUT_FinalEnergyCons!$C$4:$C$10000))*1,ISNUMBER(SEARCH("RH*-SHngahp",[1]OUT_FinalEnergyCons!$A$4:$A$10000))*1,[1]OUT_FinalEnergyCons!L$4:L$10000)-N999</f>
        <v>2.6905319422454692</v>
      </c>
      <c r="O1051" s="1" cm="1">
        <f t="array" ref="O1051">SUMPRODUCT(([1]OUT_FinalEnergyCons!$B$4:$B$10000="Var_FOut")*1, ISNUMBER(SEARCH("RH*SHANGAH",[1]OUT_FinalEnergyCons!$C$4:$C$10000))*1,ISNUMBER(SEARCH("RH*-SHngahp",[1]OUT_FinalEnergyCons!$A$4:$A$10000))*1,[1]OUT_FinalEnergyCons!M$4:M$10000)-O999</f>
        <v>2.4326733505204947</v>
      </c>
      <c r="P1051" s="1" cm="1">
        <f t="array" ref="P1051">SUMPRODUCT(([1]OUT_FinalEnergyCons!$B$4:$B$10000="Var_FOut")*1, ISNUMBER(SEARCH("RH*SHANGAH",[1]OUT_FinalEnergyCons!$C$4:$C$10000))*1,ISNUMBER(SEARCH("RH*-SHngahp",[1]OUT_FinalEnergyCons!$A$4:$A$10000))*1,[1]OUT_FinalEnergyCons!N$4:N$10000)-P999</f>
        <v>2.4326222888595161</v>
      </c>
      <c r="Q1051" s="1" cm="1">
        <f t="array" ref="Q1051">SUMPRODUCT(([1]OUT_FinalEnergyCons!$B$4:$B$10000="Var_FOut")*1, ISNUMBER(SEARCH("RH*SHANGAH",[1]OUT_FinalEnergyCons!$C$4:$C$10000))*1,ISNUMBER(SEARCH("RH*-SHngahp",[1]OUT_FinalEnergyCons!$A$4:$A$10000))*1,[1]OUT_FinalEnergyCons!O$4:O$10000)-Q999</f>
        <v>2.4326195590084905</v>
      </c>
      <c r="S1051" s="3"/>
    </row>
    <row r="1052" spans="2:19" x14ac:dyDescent="0.5">
      <c r="B1052" s="5" t="str">
        <f t="shared" si="1193"/>
        <v>SPS1</v>
      </c>
      <c r="C1052" s="5" t="str">
        <f t="shared" si="1194"/>
        <v>CH</v>
      </c>
      <c r="D1052" t="s">
        <v>1039</v>
      </c>
      <c r="E1052" t="s">
        <v>8</v>
      </c>
      <c r="F1052" s="1">
        <f>SUM(F1053:F1054)</f>
        <v>2.0909939652223182</v>
      </c>
      <c r="G1052" s="1">
        <f t="shared" ref="G1052:K1052" si="1269">SUM(G1053:G1054)</f>
        <v>2.3490249958218392</v>
      </c>
      <c r="H1052" s="1">
        <f t="shared" si="1269"/>
        <v>3.2165985804243467</v>
      </c>
      <c r="I1052" s="1">
        <f t="shared" si="1269"/>
        <v>4.8414112995479108</v>
      </c>
      <c r="J1052" s="1">
        <f t="shared" si="1269"/>
        <v>8.3823796414989395</v>
      </c>
      <c r="K1052" s="1">
        <f t="shared" si="1269"/>
        <v>8.0191188222905918</v>
      </c>
      <c r="L1052" s="1">
        <f t="shared" ref="L1052:O1052" si="1270">SUM(L1053:L1054)</f>
        <v>10.323476029358442</v>
      </c>
      <c r="M1052" s="1">
        <f t="shared" si="1270"/>
        <v>12.054204197035364</v>
      </c>
      <c r="N1052" s="1">
        <f t="shared" si="1270"/>
        <v>11.994472616204401</v>
      </c>
      <c r="O1052" s="1">
        <f t="shared" si="1270"/>
        <v>11.941039647775389</v>
      </c>
      <c r="P1052" s="1">
        <f>SUM(P1053:P1054)</f>
        <v>11.864127850317841</v>
      </c>
      <c r="Q1052" s="1">
        <f>SUM(Q1053:Q1054)</f>
        <v>13.306405532920149</v>
      </c>
      <c r="S1052" s="3"/>
    </row>
    <row r="1053" spans="2:19" x14ac:dyDescent="0.5">
      <c r="B1053" s="5" t="str">
        <f t="shared" si="1193"/>
        <v>SPS1</v>
      </c>
      <c r="C1053" s="5" t="str">
        <f t="shared" si="1194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2.0909939652223182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2.3490249958218392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3.2157484318020977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4.8403828107859885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7.6104443697602155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6.4878116652676923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8.5819594512570454</v>
      </c>
      <c r="M1053" s="1" cm="1">
        <f t="array" ref="M1053">SUMPRODUCT(([1]OUT_FinalEnergyCons!$B$4:$B$10000="Var_FOut")*1, ISNUMBER(SEARCH("RHSA-WHAELCH",[1]OUT_FinalEnergyCons!$C$4:$C$10000))*1,(ISNUMBER(SEARCH("RHSA-WHELCHP",[1]OUT_FinalEnergyCons!$A$4:$A$10000)))*1,[1]OUT_FinalEnergyCons!K$4:K$10000)-M979</f>
        <v>11.171447745017854</v>
      </c>
      <c r="N1053" s="1" cm="1">
        <f t="array" ref="N1053">SUMPRODUCT(([1]OUT_FinalEnergyCons!$B$4:$B$10000="Var_FOut")*1, ISNUMBER(SEARCH("RHSA-WHAELCH",[1]OUT_FinalEnergyCons!$C$4:$C$10000))*1,(ISNUMBER(SEARCH("RHSA-WHELCHP",[1]OUT_FinalEnergyCons!$A$4:$A$10000)))*1,[1]OUT_FinalEnergyCons!L$4:L$10000)-N979</f>
        <v>11.555175637606489</v>
      </c>
      <c r="O1053" s="1" cm="1">
        <f t="array" ref="O1053">SUMPRODUCT(([1]OUT_FinalEnergyCons!$B$4:$B$10000="Var_FOut")*1, ISNUMBER(SEARCH("RHSA-WHAELCH",[1]OUT_FinalEnergyCons!$C$4:$C$10000))*1,(ISNUMBER(SEARCH("RHSA-WHELCHP",[1]OUT_FinalEnergyCons!$A$4:$A$10000)))*1,[1]OUT_FinalEnergyCons!M$4:M$10000)-O979</f>
        <v>11.543843906600163</v>
      </c>
      <c r="P1053" s="1" cm="1">
        <f t="array" ref="P1053">SUMPRODUCT(([1]OUT_FinalEnergyCons!$B$4:$B$10000="Var_FOut")*1, ISNUMBER(SEARCH("RHSA-WHAELCH",[1]OUT_FinalEnergyCons!$C$4:$C$10000))*1,(ISNUMBER(SEARCH("RHSA-WHELCHP",[1]OUT_FinalEnergyCons!$A$4:$A$10000)))*1,[1]OUT_FinalEnergyCons!N$4:N$10000)-P979</f>
        <v>11.466940850206038</v>
      </c>
      <c r="Q1053" s="1" cm="1">
        <f t="array" ref="Q1053">SUMPRODUCT(([1]OUT_FinalEnergyCons!$B$4:$B$10000="Var_FOut")*1, ISNUMBER(SEARCH("RHSA-WHAELCH",[1]OUT_FinalEnergyCons!$C$4:$C$10000))*1,(ISNUMBER(SEARCH("RHSA-WHELCHP",[1]OUT_FinalEnergyCons!$A$4:$A$10000)))*1,[1]OUT_FinalEnergyCons!O$4:O$10000)-Q979</f>
        <v>12.909218739444317</v>
      </c>
      <c r="S1053" s="3"/>
    </row>
    <row r="1054" spans="2:19" x14ac:dyDescent="0.5">
      <c r="B1054" s="5" t="str">
        <f t="shared" si="1193"/>
        <v>SPS1</v>
      </c>
      <c r="C1054" s="5" t="str">
        <f t="shared" si="1194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8.5014862224907844E-4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1.0284887619224914E-3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0.77193527173872356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1.5313071570229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1.7415165781013977</v>
      </c>
      <c r="M1054" s="1" cm="1">
        <f t="array" ref="M1054">SUMPRODUCT(([1]OUT_FinalEnergyCons!$B$4:$B$10000="Var_FOut")*1,ISNUMBER(SEARCH("RHSA-WHangah",[1]OUT_FinalEnergyCons!$C$4:$C$10000))*1,(ISNUMBER(SEARCH("RHSA-WHngahp",[1]OUT_FinalEnergyCons!$A$4:$A$10000)))*1,[1]OUT_FinalEnergyCons!K$4:K$10000)-M1008</f>
        <v>0.88275645201751063</v>
      </c>
      <c r="N1054" s="1" cm="1">
        <f t="array" ref="N1054">SUMPRODUCT(([1]OUT_FinalEnergyCons!$B$4:$B$10000="Var_FOut")*1,ISNUMBER(SEARCH("RHSA-WHangah",[1]OUT_FinalEnergyCons!$C$4:$C$10000))*1,(ISNUMBER(SEARCH("RHSA-WHngahp",[1]OUT_FinalEnergyCons!$A$4:$A$10000)))*1,[1]OUT_FinalEnergyCons!L$4:L$10000)-N1008</f>
        <v>0.4392969785979135</v>
      </c>
      <c r="O1054" s="1" cm="1">
        <f t="array" ref="O1054">SUMPRODUCT(([1]OUT_FinalEnergyCons!$B$4:$B$10000="Var_FOut")*1,ISNUMBER(SEARCH("RHSA-WHangah",[1]OUT_FinalEnergyCons!$C$4:$C$10000))*1,(ISNUMBER(SEARCH("RHSA-WHngahp",[1]OUT_FinalEnergyCons!$A$4:$A$10000)))*1,[1]OUT_FinalEnergyCons!M$4:M$10000)-O1008</f>
        <v>0.39719574117522527</v>
      </c>
      <c r="P1054" s="1" cm="1">
        <f t="array" ref="P1054">SUMPRODUCT(([1]OUT_FinalEnergyCons!$B$4:$B$10000="Var_FOut")*1,ISNUMBER(SEARCH("RHSA-WHangah",[1]OUT_FinalEnergyCons!$C$4:$C$10000))*1,(ISNUMBER(SEARCH("RHSA-WHngahp",[1]OUT_FinalEnergyCons!$A$4:$A$10000)))*1,[1]OUT_FinalEnergyCons!N$4:N$10000)-P1008</f>
        <v>0.39718700011180236</v>
      </c>
      <c r="Q1054" s="1" cm="1">
        <f t="array" ref="Q1054">SUMPRODUCT(([1]OUT_FinalEnergyCons!$B$4:$B$10000="Var_FOut")*1,ISNUMBER(SEARCH("RHSA-WHangah",[1]OUT_FinalEnergyCons!$C$4:$C$10000))*1,(ISNUMBER(SEARCH("RHSA-WHngahp",[1]OUT_FinalEnergyCons!$A$4:$A$10000)))*1,[1]OUT_FinalEnergyCons!O$4:O$10000)-Q1008</f>
        <v>0.39718679347583186</v>
      </c>
      <c r="S1054" s="3"/>
    </row>
    <row r="1055" spans="2:19" x14ac:dyDescent="0.5">
      <c r="B1055" s="5" t="str">
        <f t="shared" si="1193"/>
        <v>SPS1</v>
      </c>
      <c r="C1055" s="5" t="str">
        <f t="shared" si="1194"/>
        <v>CH</v>
      </c>
      <c r="D1055" s="2" t="s">
        <v>756</v>
      </c>
      <c r="E1055" t="s">
        <v>8</v>
      </c>
      <c r="F1055" s="3">
        <f>[1]Residential!B$245</f>
        <v>156.22412420270746</v>
      </c>
      <c r="G1055" s="3">
        <f>[1]Residential!C$245</f>
        <v>162.24361249712655</v>
      </c>
      <c r="H1055" s="3">
        <f>[1]Residential!D$245</f>
        <v>164.14829074004112</v>
      </c>
      <c r="I1055" s="3">
        <f>[1]Residential!E$245</f>
        <v>163.72513158461649</v>
      </c>
      <c r="J1055" s="3">
        <f>[1]Residential!F$245</f>
        <v>164.00381281131069</v>
      </c>
      <c r="K1055" s="3">
        <f>[1]Residential!G$245</f>
        <v>163.84894592320038</v>
      </c>
      <c r="L1055" s="3">
        <f>[1]Residential!H$245</f>
        <v>162.03106487823649</v>
      </c>
      <c r="M1055" s="3">
        <f>[1]Residential!I$245</f>
        <v>161.88947116849667</v>
      </c>
      <c r="N1055" s="3">
        <f>[1]Residential!J$245</f>
        <v>158.31326577224294</v>
      </c>
      <c r="O1055" s="3">
        <f>[1]Residential!K$245</f>
        <v>154.54437669109487</v>
      </c>
      <c r="P1055" s="3">
        <f>[1]Residential!L$245</f>
        <v>154.54827756613236</v>
      </c>
      <c r="Q1055" s="3">
        <f>[1]Residential!M$245</f>
        <v>141.85163691919757</v>
      </c>
      <c r="S1055" s="3"/>
    </row>
    <row r="1056" spans="2:19" x14ac:dyDescent="0.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129.24582830719967</v>
      </c>
      <c r="G1056" s="1">
        <f>[1]Residential!C$116</f>
        <v>136.31353076345621</v>
      </c>
      <c r="H1056" s="1">
        <f>[1]Residential!D$116</f>
        <v>138.19074336450296</v>
      </c>
      <c r="I1056" s="1">
        <f>[1]Residential!E$116</f>
        <v>138.07745578885581</v>
      </c>
      <c r="J1056" s="1">
        <f>[1]Residential!F$116</f>
        <v>138.235281723995</v>
      </c>
      <c r="K1056" s="1">
        <f>[1]Residential!G$116</f>
        <v>138.23554687885706</v>
      </c>
      <c r="L1056" s="1">
        <f>[1]Residential!H$116</f>
        <v>136.57436001891844</v>
      </c>
      <c r="M1056" s="1">
        <f>[1]Residential!I$116</f>
        <v>136.26595751790236</v>
      </c>
      <c r="N1056" s="1">
        <f>[1]Residential!J$116</f>
        <v>132.11810767113872</v>
      </c>
      <c r="O1056" s="1">
        <f>[1]Residential!K$116</f>
        <v>128.81332775337194</v>
      </c>
      <c r="P1056" s="1">
        <f>[1]Residential!L$116</f>
        <v>128.88210884784684</v>
      </c>
      <c r="Q1056" s="1">
        <f>[1]Residential!M$116</f>
        <v>116.80132934172738</v>
      </c>
      <c r="S1056" s="3"/>
    </row>
    <row r="1057" spans="2:19" x14ac:dyDescent="0.5">
      <c r="B1057" s="5" t="str">
        <f t="shared" ref="B1057:B1107" si="1271">B1056</f>
        <v>SPS1</v>
      </c>
      <c r="C1057" s="5" t="str">
        <f t="shared" ref="C1057:C1107" si="1272">C1056</f>
        <v>CH</v>
      </c>
      <c r="D1057" t="s">
        <v>1115</v>
      </c>
      <c r="E1057" t="s">
        <v>8</v>
      </c>
      <c r="F1057" s="1">
        <f>SUM(F1058:F1059)</f>
        <v>27.968332725685656</v>
      </c>
      <c r="G1057" s="1">
        <f t="shared" ref="G1057:K1057" si="1273">SUM(G1058:G1059)</f>
        <v>30.432477044379013</v>
      </c>
      <c r="H1057" s="1">
        <f t="shared" si="1273"/>
        <v>32.838634248728582</v>
      </c>
      <c r="I1057" s="1">
        <f t="shared" si="1273"/>
        <v>38.516306158803992</v>
      </c>
      <c r="J1057" s="1">
        <f t="shared" si="1273"/>
        <v>49.377994943966414</v>
      </c>
      <c r="K1057" s="1">
        <f t="shared" si="1273"/>
        <v>49.142662059652721</v>
      </c>
      <c r="L1057" s="1">
        <f t="shared" ref="L1057:O1057" si="1274">SUM(L1058:L1059)</f>
        <v>58.624665680740392</v>
      </c>
      <c r="M1057" s="1">
        <f t="shared" si="1274"/>
        <v>72.634607520124291</v>
      </c>
      <c r="N1057" s="1">
        <f t="shared" si="1274"/>
        <v>80.472007188501394</v>
      </c>
      <c r="O1057" s="1">
        <f t="shared" si="1274"/>
        <v>81.574832867776479</v>
      </c>
      <c r="P1057" s="1">
        <f>SUM(P1058:P1059)</f>
        <v>81.463582842999585</v>
      </c>
      <c r="Q1057" s="1">
        <f>SUM(Q1058:Q1059)</f>
        <v>79.253360246129716</v>
      </c>
      <c r="S1057" s="3"/>
    </row>
    <row r="1058" spans="2:19" x14ac:dyDescent="0.5">
      <c r="B1058" s="5" t="str">
        <f t="shared" si="1271"/>
        <v>SPS1</v>
      </c>
      <c r="C1058" s="5" t="str">
        <f t="shared" si="1272"/>
        <v>CH</v>
      </c>
      <c r="D1058" t="s">
        <v>1116</v>
      </c>
      <c r="E1058" t="s">
        <v>8</v>
      </c>
      <c r="F1058" s="1">
        <f>[1]Residential!B$102</f>
        <v>8.9080024235217081</v>
      </c>
      <c r="G1058" s="1">
        <f>[1]Residential!C$102</f>
        <v>7.7309114968304007</v>
      </c>
      <c r="H1058" s="1">
        <f>[1]Residential!D$102</f>
        <v>8.0872564852773259</v>
      </c>
      <c r="I1058" s="1">
        <f>[1]Residential!E$102</f>
        <v>5.1310091011019239</v>
      </c>
      <c r="J1058" s="1">
        <f>[1]Residential!F$102</f>
        <v>2.8554766437656252</v>
      </c>
      <c r="K1058" s="1">
        <f>[1]Residential!G$102</f>
        <v>1.7771253225915946</v>
      </c>
      <c r="L1058" s="1">
        <f>[1]Residential!H$102</f>
        <v>1.1738173200751678</v>
      </c>
      <c r="M1058" s="1">
        <f>[1]Residential!I$102</f>
        <v>1.3022215819437801</v>
      </c>
      <c r="N1058" s="1">
        <f>[1]Residential!J$102</f>
        <v>3.6262408247189803</v>
      </c>
      <c r="O1058" s="1">
        <f>[1]Residential!K$102</f>
        <v>3.5685020948227106</v>
      </c>
      <c r="P1058" s="1">
        <f>[1]Residential!L$102</f>
        <v>3.4571674195826838</v>
      </c>
      <c r="Q1058" s="1">
        <f>[1]Residential!M$102</f>
        <v>1.2468916707835012</v>
      </c>
      <c r="S1058" s="3"/>
    </row>
    <row r="1059" spans="2:19" x14ac:dyDescent="0.5">
      <c r="B1059" s="5" t="str">
        <f t="shared" si="1271"/>
        <v>SPS1</v>
      </c>
      <c r="C1059" s="5" t="str">
        <f t="shared" si="1272"/>
        <v>CH</v>
      </c>
      <c r="D1059" t="s">
        <v>1117</v>
      </c>
      <c r="E1059" t="s">
        <v>8</v>
      </c>
      <c r="F1059" s="1">
        <f>[1]Residential!B$104</f>
        <v>19.060330302163948</v>
      </c>
      <c r="G1059" s="1">
        <f>[1]Residential!C$104</f>
        <v>22.701565547548611</v>
      </c>
      <c r="H1059" s="1">
        <f>[1]Residential!D$104</f>
        <v>24.751377763451256</v>
      </c>
      <c r="I1059" s="1">
        <f>[1]Residential!E$104</f>
        <v>33.385297057702068</v>
      </c>
      <c r="J1059" s="1">
        <f>[1]Residential!F$104</f>
        <v>46.522518300200787</v>
      </c>
      <c r="K1059" s="1">
        <f>[1]Residential!G$104</f>
        <v>47.365536737061127</v>
      </c>
      <c r="L1059" s="1">
        <f>[1]Residential!H$104</f>
        <v>57.450848360665226</v>
      </c>
      <c r="M1059" s="1">
        <f>[1]Residential!I$104</f>
        <v>71.332385938180508</v>
      </c>
      <c r="N1059" s="1">
        <f>[1]Residential!J$104</f>
        <v>76.845766363782417</v>
      </c>
      <c r="O1059" s="1">
        <f>[1]Residential!K$104</f>
        <v>78.006330772953774</v>
      </c>
      <c r="P1059" s="1">
        <f>[1]Residential!L$104</f>
        <v>78.006415423416897</v>
      </c>
      <c r="Q1059" s="1">
        <f>[1]Residential!M$104</f>
        <v>78.006468575346219</v>
      </c>
      <c r="S1059" s="3"/>
    </row>
    <row r="1060" spans="2:19" x14ac:dyDescent="0.5">
      <c r="B1060" s="5" t="str">
        <f t="shared" si="1271"/>
        <v>SPS1</v>
      </c>
      <c r="C1060" s="5" t="str">
        <f t="shared" si="1272"/>
        <v>CH</v>
      </c>
      <c r="D1060" t="s">
        <v>1046</v>
      </c>
      <c r="E1060" t="s">
        <v>8</v>
      </c>
      <c r="F1060" s="1">
        <f>F1061</f>
        <v>45.124392332152084</v>
      </c>
      <c r="G1060" s="1">
        <f t="shared" ref="G1060:O1060" si="1275">G1061</f>
        <v>38.485918096470485</v>
      </c>
      <c r="H1060" s="1">
        <f t="shared" si="1275"/>
        <v>40.100753443423791</v>
      </c>
      <c r="I1060" s="1">
        <f t="shared" si="1275"/>
        <v>35.856962069998971</v>
      </c>
      <c r="J1060" s="1">
        <f t="shared" si="1275"/>
        <v>18.243025862491272</v>
      </c>
      <c r="K1060" s="1">
        <f t="shared" si="1275"/>
        <v>9.2519307239546773</v>
      </c>
      <c r="L1060" s="1">
        <f t="shared" si="1275"/>
        <v>5.8992353989361233</v>
      </c>
      <c r="M1060" s="1">
        <f t="shared" si="1275"/>
        <v>5.8992322782954973</v>
      </c>
      <c r="N1060" s="1">
        <f t="shared" si="1275"/>
        <v>5.2420668139244002</v>
      </c>
      <c r="O1060" s="1">
        <f t="shared" si="1275"/>
        <v>2.992509253269878</v>
      </c>
      <c r="P1060" s="1">
        <f>P1061</f>
        <v>2.9924953914302304</v>
      </c>
      <c r="Q1060" s="1">
        <f>Q1061</f>
        <v>0.60736001462734668</v>
      </c>
      <c r="S1060" s="3"/>
    </row>
    <row r="1061" spans="2:19" x14ac:dyDescent="0.5">
      <c r="B1061" s="5" t="str">
        <f t="shared" si="1271"/>
        <v>SPS1</v>
      </c>
      <c r="C1061" s="5" t="str">
        <f t="shared" si="1272"/>
        <v>CH</v>
      </c>
      <c r="D1061" t="s">
        <v>1047</v>
      </c>
      <c r="E1061" t="s">
        <v>8</v>
      </c>
      <c r="F1061" s="1">
        <f>[1]Residential!B$105</f>
        <v>45.124392332152084</v>
      </c>
      <c r="G1061" s="1">
        <f>[1]Residential!C$105</f>
        <v>38.485918096470485</v>
      </c>
      <c r="H1061" s="1">
        <f>[1]Residential!D$105</f>
        <v>40.100753443423791</v>
      </c>
      <c r="I1061" s="1">
        <f>[1]Residential!E$105</f>
        <v>35.856962069998971</v>
      </c>
      <c r="J1061" s="1">
        <f>[1]Residential!F$105</f>
        <v>18.243025862491272</v>
      </c>
      <c r="K1061" s="1">
        <f>[1]Residential!G$105</f>
        <v>9.2519307239546773</v>
      </c>
      <c r="L1061" s="1">
        <f>[1]Residential!H$105</f>
        <v>5.8992353989361233</v>
      </c>
      <c r="M1061" s="1">
        <f>[1]Residential!I$105</f>
        <v>5.8992322782954973</v>
      </c>
      <c r="N1061" s="1">
        <f>[1]Residential!J$105</f>
        <v>5.2420668139244002</v>
      </c>
      <c r="O1061" s="1">
        <f>[1]Residential!K$105</f>
        <v>2.992509253269878</v>
      </c>
      <c r="P1061" s="1">
        <f>[1]Residential!L$105</f>
        <v>2.9924953914302304</v>
      </c>
      <c r="Q1061" s="1">
        <f>[1]Residential!M$105</f>
        <v>0.60736001462734668</v>
      </c>
      <c r="S1061" s="3"/>
    </row>
    <row r="1062" spans="2:19" x14ac:dyDescent="0.5">
      <c r="B1062" s="5" t="str">
        <f t="shared" si="1271"/>
        <v>SPS1</v>
      </c>
      <c r="C1062" s="5" t="str">
        <f t="shared" si="1272"/>
        <v>CH</v>
      </c>
      <c r="D1062" t="s">
        <v>1048</v>
      </c>
      <c r="E1062" t="s">
        <v>8</v>
      </c>
      <c r="F1062" s="1">
        <f>SUM(F1063:F1064)</f>
        <v>36.569918167827197</v>
      </c>
      <c r="G1062" s="1">
        <f t="shared" ref="G1062:K1062" si="1276">SUM(G1063:G1064)</f>
        <v>39.325173449939513</v>
      </c>
      <c r="H1062" s="1">
        <f t="shared" si="1276"/>
        <v>37.704328055001191</v>
      </c>
      <c r="I1062" s="1">
        <f t="shared" si="1276"/>
        <v>37.705121509266526</v>
      </c>
      <c r="J1062" s="1">
        <f t="shared" si="1276"/>
        <v>43.056479405831404</v>
      </c>
      <c r="K1062" s="1">
        <f t="shared" si="1276"/>
        <v>44.559713611411581</v>
      </c>
      <c r="L1062" s="1">
        <f t="shared" ref="L1062:O1062" si="1277">SUM(L1063:L1064)</f>
        <v>38.541190586899269</v>
      </c>
      <c r="M1062" s="1">
        <f t="shared" si="1277"/>
        <v>21.401264096033763</v>
      </c>
      <c r="N1062" s="1">
        <f t="shared" si="1277"/>
        <v>10.594965594727316</v>
      </c>
      <c r="O1062" s="1">
        <f t="shared" si="1277"/>
        <v>8.6452238023393733</v>
      </c>
      <c r="P1062" s="1">
        <f>SUM(P1063:P1064)</f>
        <v>8.64512375198969</v>
      </c>
      <c r="Q1062" s="1">
        <f>SUM(Q1063:Q1064)</f>
        <v>7.4431564806477652</v>
      </c>
      <c r="S1062" s="3"/>
    </row>
    <row r="1063" spans="2:19" x14ac:dyDescent="0.5">
      <c r="B1063" s="5" t="str">
        <f t="shared" si="1271"/>
        <v>SPS1</v>
      </c>
      <c r="C1063" s="5" t="str">
        <f t="shared" si="1272"/>
        <v>CH</v>
      </c>
      <c r="D1063" t="s">
        <v>1049</v>
      </c>
      <c r="E1063" t="s">
        <v>8</v>
      </c>
      <c r="F1063" s="1">
        <f>[1]Residential!B$106</f>
        <v>36.569918167827197</v>
      </c>
      <c r="G1063" s="1">
        <f>[1]Residential!C$106</f>
        <v>39.325173449939513</v>
      </c>
      <c r="H1063" s="1">
        <f>[1]Residential!D$106</f>
        <v>37.694054764259988</v>
      </c>
      <c r="I1063" s="1">
        <f>[1]Residential!E$106</f>
        <v>37.694013747654516</v>
      </c>
      <c r="J1063" s="1">
        <f>[1]Residential!F$106</f>
        <v>35.847490795026424</v>
      </c>
      <c r="K1063" s="1">
        <f>[1]Residential!G$106</f>
        <v>32.143983465522197</v>
      </c>
      <c r="L1063" s="1">
        <f>[1]Residential!H$106</f>
        <v>26.146605910193522</v>
      </c>
      <c r="M1063" s="1">
        <f>[1]Residential!I$106</f>
        <v>11.959965015969786</v>
      </c>
      <c r="N1063" s="1">
        <f>[1]Residential!J$106</f>
        <v>5.8965739940897057</v>
      </c>
      <c r="O1063" s="1">
        <f>[1]Residential!K$106</f>
        <v>4.3971225782961199</v>
      </c>
      <c r="P1063" s="1">
        <f>[1]Residential!L$106</f>
        <v>4.3971116953245613</v>
      </c>
      <c r="Q1063" s="1">
        <f>[1]Residential!M$106</f>
        <v>3.1951491910359211</v>
      </c>
      <c r="S1063" s="3"/>
    </row>
    <row r="1064" spans="2:19" x14ac:dyDescent="0.5">
      <c r="B1064" s="5" t="str">
        <f t="shared" si="1271"/>
        <v>SPS1</v>
      </c>
      <c r="C1064" s="5" t="str">
        <f t="shared" si="127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1.0273290741203336E-2</v>
      </c>
      <c r="I1064" s="1">
        <f>[1]Residential!E$107</f>
        <v>1.1107761612007208E-2</v>
      </c>
      <c r="J1064" s="1">
        <f>[1]Residential!F$107</f>
        <v>7.208988610804977</v>
      </c>
      <c r="K1064" s="1">
        <f>[1]Residential!G$107</f>
        <v>12.415730145889388</v>
      </c>
      <c r="L1064" s="1">
        <f>[1]Residential!H$107</f>
        <v>12.394584676705747</v>
      </c>
      <c r="M1064" s="1">
        <f>[1]Residential!I$107</f>
        <v>9.4412990800639793</v>
      </c>
      <c r="N1064" s="1">
        <f>[1]Residential!J$107</f>
        <v>4.6983916006376107</v>
      </c>
      <c r="O1064" s="1">
        <f>[1]Residential!K$107</f>
        <v>4.2481012240432534</v>
      </c>
      <c r="P1064" s="1">
        <f>[1]Residential!L$107</f>
        <v>4.2480120566651287</v>
      </c>
      <c r="Q1064" s="1">
        <f>[1]Residential!M$107</f>
        <v>4.2480072896118442</v>
      </c>
      <c r="S1064" s="3"/>
    </row>
    <row r="1065" spans="2:19" x14ac:dyDescent="0.5">
      <c r="B1065" s="5" t="str">
        <f t="shared" si="1271"/>
        <v>SPS1</v>
      </c>
      <c r="C1065" s="5" t="str">
        <f t="shared" si="1272"/>
        <v>CH</v>
      </c>
      <c r="D1065" t="s">
        <v>1051</v>
      </c>
      <c r="E1065" t="s">
        <v>8</v>
      </c>
      <c r="F1065" s="1">
        <f>F1066</f>
        <v>7.2000399827640796E-2</v>
      </c>
      <c r="G1065" s="1">
        <f t="shared" ref="G1065:O1065" si="1278">G1066</f>
        <v>7.2000077882634309E-2</v>
      </c>
      <c r="H1065" s="1">
        <f t="shared" si="1278"/>
        <v>1.0636984281202258E-3</v>
      </c>
      <c r="I1065" s="1">
        <f t="shared" si="1278"/>
        <v>6.6964567664951449E-4</v>
      </c>
      <c r="J1065" s="1">
        <f t="shared" si="1278"/>
        <v>2.6217565433286774E-4</v>
      </c>
      <c r="K1065" s="1">
        <f t="shared" si="1278"/>
        <v>0</v>
      </c>
      <c r="L1065" s="1">
        <f t="shared" si="1278"/>
        <v>0</v>
      </c>
      <c r="M1065" s="1">
        <f t="shared" si="1278"/>
        <v>0</v>
      </c>
      <c r="N1065" s="1">
        <f t="shared" si="1278"/>
        <v>0</v>
      </c>
      <c r="O1065" s="1">
        <f t="shared" si="1278"/>
        <v>0</v>
      </c>
      <c r="P1065" s="1">
        <f>P1066</f>
        <v>0</v>
      </c>
      <c r="Q1065" s="1">
        <f>Q1066</f>
        <v>0</v>
      </c>
      <c r="S1065" s="3"/>
    </row>
    <row r="1066" spans="2:19" x14ac:dyDescent="0.5">
      <c r="B1066" s="5" t="str">
        <f t="shared" si="1271"/>
        <v>SPS1</v>
      </c>
      <c r="C1066" s="5" t="str">
        <f t="shared" si="1272"/>
        <v>CH</v>
      </c>
      <c r="D1066" t="s">
        <v>1052</v>
      </c>
      <c r="E1066" t="s">
        <v>8</v>
      </c>
      <c r="F1066" s="1">
        <f>[1]Residential!B$108</f>
        <v>7.2000399827640796E-2</v>
      </c>
      <c r="G1066" s="1">
        <f>[1]Residential!C$108</f>
        <v>7.2000077882634309E-2</v>
      </c>
      <c r="H1066" s="1">
        <f>[1]Residential!D$108</f>
        <v>1.0636984281202258E-3</v>
      </c>
      <c r="I1066" s="1">
        <f>[1]Residential!E$108</f>
        <v>6.6964567664951449E-4</v>
      </c>
      <c r="J1066" s="1">
        <f>[1]Residential!F$108</f>
        <v>2.6217565433286774E-4</v>
      </c>
      <c r="K1066" s="1">
        <f>[1]Residential!G$108</f>
        <v>0</v>
      </c>
      <c r="L1066" s="1">
        <f>[1]Residential!H$108</f>
        <v>0</v>
      </c>
      <c r="M1066" s="1">
        <f>[1]Residential!I$108</f>
        <v>0</v>
      </c>
      <c r="N1066" s="1">
        <f>[1]Residential!J$108</f>
        <v>0</v>
      </c>
      <c r="O1066" s="1">
        <f>[1]Residential!K$108</f>
        <v>0</v>
      </c>
      <c r="P1066" s="1">
        <f>[1]Residential!L$108</f>
        <v>0</v>
      </c>
      <c r="Q1066" s="1">
        <f>[1]Residential!M$108</f>
        <v>0</v>
      </c>
      <c r="S1066" s="3"/>
    </row>
    <row r="1067" spans="2:19" x14ac:dyDescent="0.5">
      <c r="B1067" s="5" t="str">
        <f t="shared" si="1271"/>
        <v>SPS1</v>
      </c>
      <c r="C1067" s="5" t="str">
        <f t="shared" si="1272"/>
        <v>CH</v>
      </c>
      <c r="D1067" t="s">
        <v>1053</v>
      </c>
      <c r="E1067" t="s">
        <v>8</v>
      </c>
      <c r="F1067" s="1">
        <f>SUM([1]Residential!B$109:B$110)</f>
        <v>4.0044121721550114</v>
      </c>
      <c r="G1067" s="1">
        <f>SUM([1]Residential!C$109:C$110)</f>
        <v>7.6968758869314398</v>
      </c>
      <c r="H1067" s="1">
        <f>SUM([1]Residential!D$109:D$110)</f>
        <v>8.2251079760718877</v>
      </c>
      <c r="I1067" s="1">
        <f>SUM([1]Residential!E$109:E$110)</f>
        <v>5.7084782851387397</v>
      </c>
      <c r="J1067" s="1">
        <f>SUM([1]Residential!F$109:F$110)</f>
        <v>5.8418663365001731</v>
      </c>
      <c r="K1067" s="1">
        <f>SUM([1]Residential!G$109:G$110)</f>
        <v>7.6345347328554318</v>
      </c>
      <c r="L1067" s="1">
        <f>SUM([1]Residential!H$109:H$110)</f>
        <v>6.3798474371375065</v>
      </c>
      <c r="M1067" s="1">
        <f>SUM([1]Residential!I$109:I$110)</f>
        <v>8.011492220255569</v>
      </c>
      <c r="N1067" s="1">
        <f>SUM([1]Residential!J$109:J$110)</f>
        <v>7.8618431302074185</v>
      </c>
      <c r="O1067" s="1">
        <f>SUM([1]Residential!K$109:K$110)</f>
        <v>7.7649431941735392</v>
      </c>
      <c r="P1067" s="1">
        <f>SUM([1]Residential!L$109:L$110)</f>
        <v>7.9623709138419612</v>
      </c>
      <c r="Q1067" s="1">
        <f>SUM([1]Residential!M$109:M$110)</f>
        <v>6.9199036568172536</v>
      </c>
      <c r="S1067" s="3"/>
    </row>
    <row r="1068" spans="2:19" x14ac:dyDescent="0.5">
      <c r="B1068" s="5" t="str">
        <f t="shared" si="1271"/>
        <v>SPS1</v>
      </c>
      <c r="C1068" s="5" t="str">
        <f t="shared" si="1272"/>
        <v>CH</v>
      </c>
      <c r="D1068" t="s">
        <v>1054</v>
      </c>
      <c r="E1068" t="s">
        <v>8</v>
      </c>
      <c r="F1068" s="1">
        <f>[1]Residential!B$109</f>
        <v>7.3945799795204492E-2</v>
      </c>
      <c r="G1068" s="1">
        <f>[1]Residential!C$109</f>
        <v>3.8683781315768167E-3</v>
      </c>
      <c r="H1068" s="1">
        <f>[1]Residential!D$109</f>
        <v>0.24493022667301514</v>
      </c>
      <c r="I1068" s="1">
        <f>[1]Residential!E$109</f>
        <v>0.25323462615912828</v>
      </c>
      <c r="J1068" s="1">
        <f>[1]Residential!F$109</f>
        <v>0.25325554367615621</v>
      </c>
      <c r="K1068" s="1">
        <f>[1]Residential!G$109</f>
        <v>0.52052839248820026</v>
      </c>
      <c r="L1068" s="1">
        <f>[1]Residential!H$109</f>
        <v>0.5205288259190014</v>
      </c>
      <c r="M1068" s="1">
        <f>[1]Residential!I$109</f>
        <v>0.5205307455105086</v>
      </c>
      <c r="N1068" s="1">
        <f>[1]Residential!J$109</f>
        <v>0.52060738211721991</v>
      </c>
      <c r="O1068" s="1">
        <f>[1]Residential!K$109</f>
        <v>0.52147494601870392</v>
      </c>
      <c r="P1068" s="1">
        <f>[1]Residential!L$109</f>
        <v>0.52150860904854579</v>
      </c>
      <c r="Q1068" s="1">
        <f>[1]Residential!M$109</f>
        <v>0.52160540914962705</v>
      </c>
      <c r="S1068" s="3"/>
    </row>
    <row r="1069" spans="2:19" x14ac:dyDescent="0.5">
      <c r="B1069" s="5" t="str">
        <f t="shared" si="1271"/>
        <v>SPS1</v>
      </c>
      <c r="C1069" s="5" t="str">
        <f t="shared" si="1272"/>
        <v>CH</v>
      </c>
      <c r="D1069" t="s">
        <v>1055</v>
      </c>
      <c r="E1069" t="s">
        <v>8</v>
      </c>
      <c r="F1069" s="1">
        <f>IFERROR(F$1068/F$1043,0)*F1044</f>
        <v>7.3945799795204492E-2</v>
      </c>
      <c r="G1069" s="1">
        <f t="shared" ref="G1069:K1069" si="1279">IFERROR(G$1068/G$1043,0)*G1044</f>
        <v>3.8683781315768167E-3</v>
      </c>
      <c r="H1069" s="1">
        <f t="shared" si="1279"/>
        <v>0.24493022667301514</v>
      </c>
      <c r="I1069" s="1">
        <f t="shared" si="1279"/>
        <v>0.24974668937203723</v>
      </c>
      <c r="J1069" s="1">
        <f t="shared" si="1279"/>
        <v>0.24746924420788974</v>
      </c>
      <c r="K1069" s="1">
        <f t="shared" si="1279"/>
        <v>0.10448153047626269</v>
      </c>
      <c r="L1069" s="1">
        <f t="shared" ref="L1069:O1069" si="1280">IFERROR(L$1068/L$1043,0)*L1044</f>
        <v>0</v>
      </c>
      <c r="M1069" s="1">
        <f t="shared" si="1280"/>
        <v>0</v>
      </c>
      <c r="N1069" s="1">
        <f t="shared" si="1280"/>
        <v>1.3549549429351104E-2</v>
      </c>
      <c r="O1069" s="1">
        <f t="shared" si="1280"/>
        <v>2.3607958985905786E-2</v>
      </c>
      <c r="P1069" s="1">
        <f t="shared" ref="P1069:Q1071" si="1281">IFERROR(P$1068/P$1043,0)*P1044</f>
        <v>2.2518649210992368E-2</v>
      </c>
      <c r="Q1069" s="1">
        <f t="shared" si="1281"/>
        <v>4.2280897057967677E-2</v>
      </c>
      <c r="S1069" s="3"/>
    </row>
    <row r="1070" spans="2:19" x14ac:dyDescent="0.5">
      <c r="B1070" s="5" t="str">
        <f t="shared" si="1271"/>
        <v>SPS1</v>
      </c>
      <c r="C1070" s="5" t="str">
        <f t="shared" si="1272"/>
        <v>CH</v>
      </c>
      <c r="D1070" t="s">
        <v>1056</v>
      </c>
      <c r="E1070" t="s">
        <v>8</v>
      </c>
      <c r="F1070" s="1">
        <f t="shared" ref="F1070:K1070" si="1282">IFERROR(F$1068/F$1043,0)*F1045</f>
        <v>0</v>
      </c>
      <c r="G1070" s="1">
        <f t="shared" si="1282"/>
        <v>0</v>
      </c>
      <c r="H1070" s="1">
        <f t="shared" si="1282"/>
        <v>0</v>
      </c>
      <c r="I1070" s="1">
        <f t="shared" si="1282"/>
        <v>0</v>
      </c>
      <c r="J1070" s="1">
        <f t="shared" si="1282"/>
        <v>0</v>
      </c>
      <c r="K1070" s="1">
        <f t="shared" si="1282"/>
        <v>0</v>
      </c>
      <c r="L1070" s="1">
        <f t="shared" ref="L1070:O1070" si="1283">IFERROR(L$1068/L$1043,0)*L1045</f>
        <v>0</v>
      </c>
      <c r="M1070" s="1">
        <f t="shared" si="1283"/>
        <v>0</v>
      </c>
      <c r="N1070" s="1">
        <f t="shared" si="1283"/>
        <v>0</v>
      </c>
      <c r="O1070" s="1">
        <f t="shared" si="1283"/>
        <v>0</v>
      </c>
      <c r="P1070" s="1">
        <f t="shared" si="1281"/>
        <v>0</v>
      </c>
      <c r="Q1070" s="1">
        <f t="shared" si="1281"/>
        <v>0</v>
      </c>
      <c r="S1070" s="3"/>
    </row>
    <row r="1071" spans="2:19" x14ac:dyDescent="0.5">
      <c r="B1071" s="5" t="str">
        <f t="shared" si="1271"/>
        <v>SPS1</v>
      </c>
      <c r="C1071" s="5" t="str">
        <f t="shared" si="1272"/>
        <v>CH</v>
      </c>
      <c r="D1071" t="s">
        <v>1057</v>
      </c>
      <c r="E1071" t="s">
        <v>8</v>
      </c>
      <c r="F1071" s="1">
        <f t="shared" ref="F1071:K1071" si="1284">IFERROR(F$1068/F$1043,0)*F1046</f>
        <v>0</v>
      </c>
      <c r="G1071" s="1">
        <f t="shared" si="1284"/>
        <v>0</v>
      </c>
      <c r="H1071" s="1">
        <f t="shared" si="1284"/>
        <v>0</v>
      </c>
      <c r="I1071" s="1">
        <f t="shared" si="1284"/>
        <v>3.4879367870910742E-3</v>
      </c>
      <c r="J1071" s="1">
        <f t="shared" si="1284"/>
        <v>5.7862994682664984E-3</v>
      </c>
      <c r="K1071" s="1">
        <f t="shared" si="1284"/>
        <v>0.41604686201193758</v>
      </c>
      <c r="L1071" s="1">
        <f t="shared" ref="L1071:O1071" si="1285">IFERROR(L$1068/L$1043,0)*L1046</f>
        <v>0.5205288259190014</v>
      </c>
      <c r="M1071" s="1">
        <f t="shared" si="1285"/>
        <v>0.5205307455105086</v>
      </c>
      <c r="N1071" s="1">
        <f t="shared" si="1285"/>
        <v>0.50705783268786886</v>
      </c>
      <c r="O1071" s="1">
        <f t="shared" si="1285"/>
        <v>0.49786698703279819</v>
      </c>
      <c r="P1071" s="1">
        <f t="shared" si="1281"/>
        <v>0.4989899598375534</v>
      </c>
      <c r="Q1071" s="1">
        <f t="shared" si="1281"/>
        <v>0.47932451209165944</v>
      </c>
      <c r="S1071" s="3"/>
    </row>
    <row r="1072" spans="2:19" x14ac:dyDescent="0.5">
      <c r="B1072" s="5" t="str">
        <f t="shared" si="1271"/>
        <v>SPS1</v>
      </c>
      <c r="C1072" s="5" t="str">
        <f t="shared" si="1272"/>
        <v>CH</v>
      </c>
      <c r="D1072" t="s">
        <v>1058</v>
      </c>
      <c r="E1072" t="s">
        <v>8</v>
      </c>
      <c r="F1072" s="1">
        <f>F1067-F1068</f>
        <v>3.930466372359807</v>
      </c>
      <c r="G1072" s="1">
        <f t="shared" ref="G1072:K1072" si="1286">G1067-G1068</f>
        <v>7.6930075087998633</v>
      </c>
      <c r="H1072" s="1">
        <f t="shared" si="1286"/>
        <v>7.9801777493988721</v>
      </c>
      <c r="I1072" s="1">
        <f t="shared" si="1286"/>
        <v>5.4552436589796116</v>
      </c>
      <c r="J1072" s="1">
        <f t="shared" si="1286"/>
        <v>5.5886107928240172</v>
      </c>
      <c r="K1072" s="1">
        <f t="shared" si="1286"/>
        <v>7.1140063403672311</v>
      </c>
      <c r="L1072" s="1">
        <f t="shared" ref="L1072:O1072" si="1287">L1067-L1068</f>
        <v>5.8593186112185052</v>
      </c>
      <c r="M1072" s="1">
        <f t="shared" si="1287"/>
        <v>7.4909614747450606</v>
      </c>
      <c r="N1072" s="1">
        <f t="shared" si="1287"/>
        <v>7.3412357480901989</v>
      </c>
      <c r="O1072" s="1">
        <f t="shared" si="1287"/>
        <v>7.2434682481548354</v>
      </c>
      <c r="P1072" s="1">
        <f>P1067-P1068</f>
        <v>7.4408623047934155</v>
      </c>
      <c r="Q1072" s="1">
        <f>Q1067-Q1068</f>
        <v>6.3982982476676264</v>
      </c>
      <c r="S1072" s="3"/>
    </row>
    <row r="1073" spans="2:19" x14ac:dyDescent="0.5">
      <c r="B1073" s="5" t="str">
        <f t="shared" si="1271"/>
        <v>SPS1</v>
      </c>
      <c r="C1073" s="5" t="str">
        <f t="shared" si="1272"/>
        <v>CH</v>
      </c>
      <c r="D1073" t="s">
        <v>1059</v>
      </c>
      <c r="E1073" t="s">
        <v>8</v>
      </c>
      <c r="F1073" s="1">
        <f>F1074</f>
        <v>9.1310761602881421</v>
      </c>
      <c r="G1073" s="1">
        <f t="shared" ref="G1073:O1073" si="1288">G1074</f>
        <v>9.1886986392714682</v>
      </c>
      <c r="H1073" s="1">
        <f t="shared" si="1288"/>
        <v>8.2056570906516235</v>
      </c>
      <c r="I1073" s="1">
        <f t="shared" si="1288"/>
        <v>6.9245739049231103</v>
      </c>
      <c r="J1073" s="1">
        <f t="shared" si="1288"/>
        <v>6.130531818724382</v>
      </c>
      <c r="K1073" s="1">
        <f t="shared" si="1288"/>
        <v>4.7360270996240788</v>
      </c>
      <c r="L1073" s="1">
        <f t="shared" si="1288"/>
        <v>4.1176627603026006</v>
      </c>
      <c r="M1073" s="1">
        <f t="shared" si="1288"/>
        <v>3.7107130857143376</v>
      </c>
      <c r="N1073" s="1">
        <f t="shared" si="1288"/>
        <v>3.2861612045194999</v>
      </c>
      <c r="O1073" s="1">
        <f t="shared" si="1288"/>
        <v>3.1951914628918132</v>
      </c>
      <c r="P1073" s="1">
        <f>P1074</f>
        <v>3.0967175964425064</v>
      </c>
      <c r="Q1073" s="1">
        <f>Q1074</f>
        <v>2.358600447661475</v>
      </c>
      <c r="S1073" s="3"/>
    </row>
    <row r="1074" spans="2:19" x14ac:dyDescent="0.5">
      <c r="B1074" s="5" t="str">
        <f t="shared" si="1271"/>
        <v>SPS1</v>
      </c>
      <c r="C1074" s="5" t="str">
        <f t="shared" si="1272"/>
        <v>CH</v>
      </c>
      <c r="D1074" t="s">
        <v>1060</v>
      </c>
      <c r="E1074" t="s">
        <v>8</v>
      </c>
      <c r="F1074" s="1">
        <f>[1]Residential!B$111</f>
        <v>9.1310761602881421</v>
      </c>
      <c r="G1074" s="1">
        <f>[1]Residential!C$111</f>
        <v>9.1886986392714682</v>
      </c>
      <c r="H1074" s="1">
        <f>[1]Residential!D$111</f>
        <v>8.2056570906516235</v>
      </c>
      <c r="I1074" s="1">
        <f>[1]Residential!E$111</f>
        <v>6.9245739049231103</v>
      </c>
      <c r="J1074" s="1">
        <f>[1]Residential!F$111</f>
        <v>6.130531818724382</v>
      </c>
      <c r="K1074" s="1">
        <f>[1]Residential!G$111</f>
        <v>4.7360270996240788</v>
      </c>
      <c r="L1074" s="1">
        <f>[1]Residential!H$111</f>
        <v>4.1176627603026006</v>
      </c>
      <c r="M1074" s="1">
        <f>[1]Residential!I$111</f>
        <v>3.7107130857143376</v>
      </c>
      <c r="N1074" s="1">
        <f>[1]Residential!J$111</f>
        <v>3.2861612045194999</v>
      </c>
      <c r="O1074" s="1">
        <f>[1]Residential!K$111</f>
        <v>3.1951914628918132</v>
      </c>
      <c r="P1074" s="1">
        <f>[1]Residential!L$111</f>
        <v>3.0967175964425064</v>
      </c>
      <c r="Q1074" s="1">
        <f>[1]Residential!M$111</f>
        <v>2.358600447661475</v>
      </c>
      <c r="S1074" s="3"/>
    </row>
    <row r="1075" spans="2:19" x14ac:dyDescent="0.5">
      <c r="B1075" s="5" t="str">
        <f t="shared" si="1271"/>
        <v>SPS1</v>
      </c>
      <c r="C1075" s="5" t="str">
        <f t="shared" si="1272"/>
        <v>CH</v>
      </c>
      <c r="D1075" t="s">
        <v>1061</v>
      </c>
      <c r="E1075" t="s">
        <v>8</v>
      </c>
      <c r="F1075" s="1">
        <f>F1076</f>
        <v>2.6968858017067054</v>
      </c>
      <c r="G1075" s="1">
        <f t="shared" ref="G1075:O1075" si="1289">G1076</f>
        <v>3.1682212258004965</v>
      </c>
      <c r="H1075" s="1">
        <f t="shared" si="1289"/>
        <v>3.1714499960400957</v>
      </c>
      <c r="I1075" s="1">
        <f t="shared" si="1289"/>
        <v>3.3021574928926198</v>
      </c>
      <c r="J1075" s="1">
        <f t="shared" si="1289"/>
        <v>3.4197989152922501</v>
      </c>
      <c r="K1075" s="1">
        <f t="shared" si="1289"/>
        <v>3.5156638189511176</v>
      </c>
      <c r="L1075" s="1">
        <f t="shared" si="1289"/>
        <v>3.5937684244046864</v>
      </c>
      <c r="M1075" s="1">
        <f t="shared" si="1289"/>
        <v>3.6687451003145291</v>
      </c>
      <c r="N1075" s="1">
        <f t="shared" si="1289"/>
        <v>3.7220387317135772</v>
      </c>
      <c r="O1075" s="1">
        <f t="shared" si="1289"/>
        <v>3.782717672939981</v>
      </c>
      <c r="P1075" s="1">
        <f>P1076</f>
        <v>3.7827793970109416</v>
      </c>
      <c r="Q1075" s="1">
        <f>Q1076</f>
        <v>3.7827921452995072</v>
      </c>
      <c r="S1075" s="3"/>
    </row>
    <row r="1076" spans="2:19" x14ac:dyDescent="0.5">
      <c r="B1076" s="5" t="str">
        <f t="shared" si="1271"/>
        <v>SPS1</v>
      </c>
      <c r="C1076" s="5" t="str">
        <f t="shared" si="1272"/>
        <v>CH</v>
      </c>
      <c r="D1076" t="s">
        <v>1062</v>
      </c>
      <c r="E1076" t="s">
        <v>8</v>
      </c>
      <c r="F1076" s="1">
        <f>[1]Residential!B$112</f>
        <v>2.6968858017067054</v>
      </c>
      <c r="G1076" s="1">
        <f>[1]Residential!C$112</f>
        <v>3.1682212258004965</v>
      </c>
      <c r="H1076" s="1">
        <f>[1]Residential!D$112</f>
        <v>3.1714499960400957</v>
      </c>
      <c r="I1076" s="1">
        <f>[1]Residential!E$112</f>
        <v>3.3021574928926198</v>
      </c>
      <c r="J1076" s="1">
        <f>[1]Residential!F$112</f>
        <v>3.4197989152922501</v>
      </c>
      <c r="K1076" s="1">
        <f>[1]Residential!G$112</f>
        <v>3.5156638189511176</v>
      </c>
      <c r="L1076" s="1">
        <f>[1]Residential!H$112</f>
        <v>3.5937684244046864</v>
      </c>
      <c r="M1076" s="1">
        <f>[1]Residential!I$112</f>
        <v>3.6687451003145291</v>
      </c>
      <c r="N1076" s="1">
        <f>[1]Residential!J$112</f>
        <v>3.7220387317135772</v>
      </c>
      <c r="O1076" s="1">
        <f>[1]Residential!K$112</f>
        <v>3.782717672939981</v>
      </c>
      <c r="P1076" s="1">
        <f>[1]Residential!L$112</f>
        <v>3.7827793970109416</v>
      </c>
      <c r="Q1076" s="1">
        <f>[1]Residential!M$112</f>
        <v>3.7827921452995072</v>
      </c>
      <c r="S1076" s="3"/>
    </row>
    <row r="1077" spans="2:19" x14ac:dyDescent="0.5">
      <c r="B1077" s="5" t="str">
        <f t="shared" si="1271"/>
        <v>SPS1</v>
      </c>
      <c r="C1077" s="5" t="str">
        <f t="shared" si="1272"/>
        <v>CH</v>
      </c>
      <c r="D1077" t="s">
        <v>1063</v>
      </c>
      <c r="E1077" t="s">
        <v>8</v>
      </c>
      <c r="F1077" s="1">
        <f>F1078</f>
        <v>0.78533800623443151</v>
      </c>
      <c r="G1077" s="1">
        <f t="shared" ref="G1077:O1077" si="1290">G1078</f>
        <v>0.94127330729621783</v>
      </c>
      <c r="H1077" s="1">
        <f t="shared" si="1290"/>
        <v>0.94166677096040985</v>
      </c>
      <c r="I1077" s="1">
        <f t="shared" si="1290"/>
        <v>0.85770398137828174</v>
      </c>
      <c r="J1077" s="1">
        <f t="shared" si="1290"/>
        <v>0.84172041240735895</v>
      </c>
      <c r="K1077" s="1">
        <f t="shared" si="1290"/>
        <v>0.86319605508025887</v>
      </c>
      <c r="L1077" s="1">
        <f t="shared" si="1290"/>
        <v>0.88634364275978139</v>
      </c>
      <c r="M1077" s="1">
        <f t="shared" si="1290"/>
        <v>2.4076703425895714</v>
      </c>
      <c r="N1077" s="1">
        <f t="shared" si="1290"/>
        <v>2.4075772122628698</v>
      </c>
      <c r="O1077" s="1">
        <f t="shared" si="1290"/>
        <v>2.3265313405335206</v>
      </c>
      <c r="P1077" s="1">
        <f>P1078</f>
        <v>2.4074919321331398</v>
      </c>
      <c r="Q1077" s="1">
        <f>Q1078</f>
        <v>1.8698913334463416</v>
      </c>
      <c r="S1077" s="3"/>
    </row>
    <row r="1078" spans="2:19" x14ac:dyDescent="0.5">
      <c r="B1078" s="5" t="str">
        <f t="shared" si="1271"/>
        <v>SPS1</v>
      </c>
      <c r="C1078" s="5" t="str">
        <f t="shared" si="1272"/>
        <v>CH</v>
      </c>
      <c r="D1078" t="s">
        <v>1064</v>
      </c>
      <c r="E1078" t="s">
        <v>8</v>
      </c>
      <c r="F1078" s="1">
        <f>[1]Residential!B$113</f>
        <v>0.78533800623443151</v>
      </c>
      <c r="G1078" s="1">
        <f>[1]Residential!C$113</f>
        <v>0.94127330729621783</v>
      </c>
      <c r="H1078" s="1">
        <f>[1]Residential!D$113</f>
        <v>0.94166677096040985</v>
      </c>
      <c r="I1078" s="1">
        <f>[1]Residential!E$113</f>
        <v>0.85770398137828174</v>
      </c>
      <c r="J1078" s="1">
        <f>[1]Residential!F$113</f>
        <v>0.84172041240735895</v>
      </c>
      <c r="K1078" s="1">
        <f>[1]Residential!G$113</f>
        <v>0.86319605508025887</v>
      </c>
      <c r="L1078" s="1">
        <f>[1]Residential!H$113</f>
        <v>0.88634364275978139</v>
      </c>
      <c r="M1078" s="1">
        <f>[1]Residential!I$113</f>
        <v>2.4076703425895714</v>
      </c>
      <c r="N1078" s="1">
        <f>[1]Residential!J$113</f>
        <v>2.4075772122628698</v>
      </c>
      <c r="O1078" s="1">
        <f>[1]Residential!K$113</f>
        <v>2.3265313405335206</v>
      </c>
      <c r="P1078" s="1">
        <f>[1]Residential!L$113</f>
        <v>2.4074919321331398</v>
      </c>
      <c r="Q1078" s="1">
        <f>[1]Residential!M$113</f>
        <v>1.8698913334463416</v>
      </c>
      <c r="S1078" s="3"/>
    </row>
    <row r="1079" spans="2:19" x14ac:dyDescent="0.5">
      <c r="B1079" s="5" t="str">
        <f t="shared" si="1271"/>
        <v>SPS1</v>
      </c>
      <c r="C1079" s="5" t="str">
        <f t="shared" si="1272"/>
        <v>CH</v>
      </c>
      <c r="D1079" t="s">
        <v>1065</v>
      </c>
      <c r="E1079" t="s">
        <v>8</v>
      </c>
      <c r="F1079" s="1">
        <f>F1080</f>
        <v>0</v>
      </c>
      <c r="G1079" s="1">
        <f t="shared" ref="G1079:O1079" si="1291">G1080</f>
        <v>0</v>
      </c>
      <c r="H1079" s="1">
        <f t="shared" si="1291"/>
        <v>0</v>
      </c>
      <c r="I1079" s="1">
        <f t="shared" si="1291"/>
        <v>0</v>
      </c>
      <c r="J1079" s="1">
        <f t="shared" si="1291"/>
        <v>0</v>
      </c>
      <c r="K1079" s="1">
        <f t="shared" si="1291"/>
        <v>0</v>
      </c>
      <c r="L1079" s="1">
        <f t="shared" si="1291"/>
        <v>0</v>
      </c>
      <c r="M1079" s="1">
        <f t="shared" si="1291"/>
        <v>0</v>
      </c>
      <c r="N1079" s="1">
        <f t="shared" si="1291"/>
        <v>0</v>
      </c>
      <c r="O1079" s="1">
        <f t="shared" si="1291"/>
        <v>0</v>
      </c>
      <c r="P1079" s="1">
        <f>P1080</f>
        <v>0</v>
      </c>
      <c r="Q1079" s="1">
        <f>Q1080</f>
        <v>0</v>
      </c>
      <c r="S1079" s="3"/>
    </row>
    <row r="1080" spans="2:19" x14ac:dyDescent="0.5">
      <c r="B1080" s="5" t="str">
        <f t="shared" si="1271"/>
        <v>SPS1</v>
      </c>
      <c r="C1080" s="5" t="str">
        <f t="shared" si="127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M1080" s="1">
        <f>[1]Residential!I$114</f>
        <v>0</v>
      </c>
      <c r="N1080" s="1">
        <f>[1]Residential!J$114</f>
        <v>0</v>
      </c>
      <c r="O1080" s="1">
        <f>[1]Residential!K$114</f>
        <v>0</v>
      </c>
      <c r="P1080" s="1">
        <f>[1]Residential!L$114</f>
        <v>0</v>
      </c>
      <c r="Q1080" s="1">
        <f>[1]Residential!M$114</f>
        <v>0</v>
      </c>
      <c r="S1080" s="3"/>
    </row>
    <row r="1081" spans="2:19" x14ac:dyDescent="0.5">
      <c r="B1081" s="5" t="str">
        <f t="shared" si="1271"/>
        <v>SPS1</v>
      </c>
      <c r="C1081" s="5" t="str">
        <f t="shared" si="1272"/>
        <v>CH</v>
      </c>
      <c r="D1081" t="s">
        <v>1067</v>
      </c>
      <c r="E1081" t="s">
        <v>8</v>
      </c>
      <c r="F1081" s="1">
        <f>[1]Residential!B$10-[1]Residential!B$223</f>
        <v>2.8934725413228115</v>
      </c>
      <c r="G1081" s="1">
        <f>[1]Residential!C$10-[1]Residential!C$223</f>
        <v>7.0028930354849255</v>
      </c>
      <c r="H1081" s="1">
        <f>[1]Residential!D$10-[1]Residential!D$223</f>
        <v>7.0020820851972223</v>
      </c>
      <c r="I1081" s="1">
        <f>[1]Residential!E$10-[1]Residential!E$223</f>
        <v>9.2054827407769118</v>
      </c>
      <c r="J1081" s="1">
        <f>[1]Residential!F$10-[1]Residential!F$223</f>
        <v>11.323601853127423</v>
      </c>
      <c r="K1081" s="1">
        <f>[1]Residential!G$10-[1]Residential!G$223</f>
        <v>18.531818777327214</v>
      </c>
      <c r="L1081" s="1">
        <f>[1]Residential!H$10-[1]Residential!H$223</f>
        <v>18.531646087738075</v>
      </c>
      <c r="M1081" s="1">
        <f>[1]Residential!I$10-[1]Residential!I$223</f>
        <v>18.532232874574813</v>
      </c>
      <c r="N1081" s="1">
        <f>[1]Residential!J$10-[1]Residential!J$223</f>
        <v>18.531447795282247</v>
      </c>
      <c r="O1081" s="1">
        <f>[1]Residential!K$10-[1]Residential!K$223</f>
        <v>18.531378159447371</v>
      </c>
      <c r="P1081" s="1">
        <f>[1]Residential!L$10-[1]Residential!L$223</f>
        <v>18.531547021998779</v>
      </c>
      <c r="Q1081" s="1">
        <f>[1]Residential!M$10-[1]Residential!M$223</f>
        <v>14.56626501709796</v>
      </c>
      <c r="S1081" s="3"/>
    </row>
    <row r="1082" spans="2:19" x14ac:dyDescent="0.5">
      <c r="B1082" s="5" t="str">
        <f t="shared" si="1271"/>
        <v>SPS1</v>
      </c>
      <c r="C1082" s="5" t="str">
        <f t="shared" si="1272"/>
        <v>CH</v>
      </c>
      <c r="D1082" t="s">
        <v>1068</v>
      </c>
      <c r="E1082" t="s">
        <v>8</v>
      </c>
      <c r="F1082" s="1">
        <f>[1]Residential!B$224</f>
        <v>26.978295895507802</v>
      </c>
      <c r="G1082" s="1">
        <f>[1]Residential!C$224</f>
        <v>25.930081733670363</v>
      </c>
      <c r="H1082" s="1">
        <f>[1]Residential!D$224</f>
        <v>25.957547375538155</v>
      </c>
      <c r="I1082" s="1">
        <f>[1]Residential!E$224</f>
        <v>25.647675795760684</v>
      </c>
      <c r="J1082" s="1">
        <f>[1]Residential!F$224</f>
        <v>25.768531087315694</v>
      </c>
      <c r="K1082" s="1">
        <f>[1]Residential!G$224</f>
        <v>25.613399044343318</v>
      </c>
      <c r="L1082" s="1">
        <f>[1]Residential!H$224</f>
        <v>25.456704859318055</v>
      </c>
      <c r="M1082" s="1">
        <f>[1]Residential!I$224</f>
        <v>25.623513650594273</v>
      </c>
      <c r="N1082" s="1">
        <f>[1]Residential!J$224</f>
        <v>26.195158101104212</v>
      </c>
      <c r="O1082" s="1">
        <f>[1]Residential!K$224</f>
        <v>25.731048937722914</v>
      </c>
      <c r="P1082" s="1">
        <f>[1]Residential!L$224</f>
        <v>25.666168718285526</v>
      </c>
      <c r="Q1082" s="1">
        <f>[1]Residential!M$224</f>
        <v>25.050307577470214</v>
      </c>
      <c r="S1082" s="3"/>
    </row>
    <row r="1083" spans="2:19" x14ac:dyDescent="0.5">
      <c r="B1083" s="5" t="str">
        <f t="shared" si="1271"/>
        <v>SPS1</v>
      </c>
      <c r="C1083" s="5" t="str">
        <f t="shared" si="1272"/>
        <v>CH</v>
      </c>
      <c r="D1083" t="s">
        <v>1118</v>
      </c>
      <c r="E1083" t="s">
        <v>8</v>
      </c>
      <c r="F1083" s="1">
        <f>SUM(F1084:F1085)</f>
        <v>9.8845883851582954</v>
      </c>
      <c r="G1083" s="1">
        <f t="shared" ref="G1083:K1083" si="1292">SUM(G1084:G1085)</f>
        <v>10.604165692368948</v>
      </c>
      <c r="H1083" s="1">
        <f t="shared" si="1292"/>
        <v>11.884907613465643</v>
      </c>
      <c r="I1083" s="1">
        <f t="shared" si="1292"/>
        <v>11.849947765934076</v>
      </c>
      <c r="J1083" s="1">
        <f t="shared" si="1292"/>
        <v>13.735954472550157</v>
      </c>
      <c r="K1083" s="1">
        <f t="shared" si="1292"/>
        <v>11.073730672219547</v>
      </c>
      <c r="L1083" s="1">
        <f t="shared" ref="L1083:O1083" si="1293">SUM(L1084:L1085)</f>
        <v>13.634951127185712</v>
      </c>
      <c r="M1083" s="1">
        <f t="shared" si="1293"/>
        <v>17.436209786130817</v>
      </c>
      <c r="N1083" s="1">
        <f t="shared" si="1293"/>
        <v>19.777054424409162</v>
      </c>
      <c r="O1083" s="1">
        <f t="shared" si="1293"/>
        <v>19.716258182233926</v>
      </c>
      <c r="P1083" s="1">
        <f>SUM(P1084:P1085)</f>
        <v>19.517990737882769</v>
      </c>
      <c r="Q1083" s="1">
        <f>SUM(Q1084:Q1085)</f>
        <v>19.95142470468727</v>
      </c>
      <c r="S1083" s="3"/>
    </row>
    <row r="1084" spans="2:19" x14ac:dyDescent="0.5">
      <c r="B1084" s="5" t="str">
        <f t="shared" si="1271"/>
        <v>SPS1</v>
      </c>
      <c r="C1084" s="5" t="str">
        <f t="shared" si="1272"/>
        <v>CH</v>
      </c>
      <c r="D1084" t="s">
        <v>1119</v>
      </c>
      <c r="E1084" t="s">
        <v>8</v>
      </c>
      <c r="F1084" s="1">
        <f>[1]Residential!B$231-F1058</f>
        <v>6.6446966368467919</v>
      </c>
      <c r="G1084" s="1">
        <f>[1]Residential!C$231-G1058</f>
        <v>6.9687086068308775</v>
      </c>
      <c r="H1084" s="1">
        <f>[1]Residential!D$231-H1058</f>
        <v>6.9167077201910132</v>
      </c>
      <c r="I1084" s="1">
        <f>[1]Residential!E$231-I1058</f>
        <v>4.393141814182691</v>
      </c>
      <c r="J1084" s="1">
        <f>[1]Residential!F$231-J1058</f>
        <v>2.1822746780437061</v>
      </c>
      <c r="K1084" s="1">
        <f>[1]Residential!G$231-K1058</f>
        <v>1.3581520093062389</v>
      </c>
      <c r="L1084" s="1">
        <f>[1]Residential!H$231-L1058</f>
        <v>0.89707910873396512</v>
      </c>
      <c r="M1084" s="1">
        <f>[1]Residential!I$231-M1058</f>
        <v>0.99521121799133949</v>
      </c>
      <c r="N1084" s="1">
        <f>[1]Residential!J$231-N1058</f>
        <v>2.7713242407618734</v>
      </c>
      <c r="O1084" s="1">
        <f>[1]Residential!K$231-O1058</f>
        <v>2.727204885728026</v>
      </c>
      <c r="P1084" s="1">
        <f>[1]Residential!L$231-P1058</f>
        <v>2.6421155243720018</v>
      </c>
      <c r="Q1084" s="1">
        <f>[1]Residential!M$231-Q1058</f>
        <v>0.95295184286356993</v>
      </c>
      <c r="S1084" s="3"/>
    </row>
    <row r="1085" spans="2:19" x14ac:dyDescent="0.5">
      <c r="B1085" s="5" t="str">
        <f t="shared" si="1271"/>
        <v>SPS1</v>
      </c>
      <c r="C1085" s="5" t="str">
        <f t="shared" si="1272"/>
        <v>CH</v>
      </c>
      <c r="D1085" t="s">
        <v>1120</v>
      </c>
      <c r="E1085" t="s">
        <v>8</v>
      </c>
      <c r="F1085" s="1">
        <f>[1]Residential!B$233-F1059</f>
        <v>3.2398917483115035</v>
      </c>
      <c r="G1085" s="1">
        <f>[1]Residential!C$233-G1059</f>
        <v>3.6354570855380715</v>
      </c>
      <c r="H1085" s="1">
        <f>[1]Residential!D$233-H1059</f>
        <v>4.9681998932746296</v>
      </c>
      <c r="I1085" s="1">
        <f>[1]Residential!E$233-I1059</f>
        <v>7.4568059517513845</v>
      </c>
      <c r="J1085" s="1">
        <f>[1]Residential!F$233-J1059</f>
        <v>11.553679794506451</v>
      </c>
      <c r="K1085" s="1">
        <f>[1]Residential!G$233-K1059</f>
        <v>9.715578662913309</v>
      </c>
      <c r="L1085" s="1">
        <f>[1]Residential!H$233-L1059</f>
        <v>12.737872018451746</v>
      </c>
      <c r="M1085" s="1">
        <f>[1]Residential!I$233-M1059</f>
        <v>16.440998568139477</v>
      </c>
      <c r="N1085" s="1">
        <f>[1]Residential!J$233-N1059</f>
        <v>17.005730183647287</v>
      </c>
      <c r="O1085" s="1">
        <f>[1]Residential!K$233-O1059</f>
        <v>16.989053296505901</v>
      </c>
      <c r="P1085" s="1">
        <f>[1]Residential!L$233-P1059</f>
        <v>16.875875213510767</v>
      </c>
      <c r="Q1085" s="1">
        <f>[1]Residential!M$233-Q1059</f>
        <v>18.9984728618237</v>
      </c>
      <c r="S1085" s="3"/>
    </row>
    <row r="1086" spans="2:19" x14ac:dyDescent="0.5">
      <c r="B1086" s="5" t="str">
        <f t="shared" si="1271"/>
        <v>SPS1</v>
      </c>
      <c r="C1086" s="5" t="str">
        <f t="shared" si="1272"/>
        <v>CH</v>
      </c>
      <c r="D1086" t="s">
        <v>1069</v>
      </c>
      <c r="E1086" t="s">
        <v>8</v>
      </c>
      <c r="F1086" s="1">
        <f>F1087</f>
        <v>6.9844591762331731</v>
      </c>
      <c r="G1086" s="1">
        <f t="shared" ref="G1086:O1086" si="1294">G1087</f>
        <v>5.973183300980125</v>
      </c>
      <c r="H1086" s="1">
        <f t="shared" si="1294"/>
        <v>3.8466999184135489</v>
      </c>
      <c r="I1086" s="1">
        <f t="shared" si="1294"/>
        <v>1.0450707276757427</v>
      </c>
      <c r="J1086" s="1">
        <f t="shared" si="1294"/>
        <v>0.36937376545413159</v>
      </c>
      <c r="K1086" s="1">
        <f t="shared" si="1294"/>
        <v>1.0935950660151406E-3</v>
      </c>
      <c r="L1086" s="1">
        <f t="shared" si="1294"/>
        <v>8.3160026464845771E-4</v>
      </c>
      <c r="M1086" s="1">
        <f t="shared" si="1294"/>
        <v>4.3045922411977244E-4</v>
      </c>
      <c r="N1086" s="1">
        <f t="shared" si="1294"/>
        <v>2.8510999412389992E-4</v>
      </c>
      <c r="O1086" s="1">
        <f t="shared" si="1294"/>
        <v>4.7602264099122493E-4</v>
      </c>
      <c r="P1086" s="1">
        <f>P1087</f>
        <v>4.1263210355735325E-4</v>
      </c>
      <c r="Q1086" s="1">
        <f>Q1087</f>
        <v>8.9382911961755074E-4</v>
      </c>
      <c r="S1086" s="3"/>
    </row>
    <row r="1087" spans="2:19" x14ac:dyDescent="0.5">
      <c r="B1087" s="5" t="str">
        <f t="shared" si="1271"/>
        <v>SPS1</v>
      </c>
      <c r="C1087" s="5" t="str">
        <f t="shared" si="1272"/>
        <v>CH</v>
      </c>
      <c r="D1087" t="s">
        <v>1070</v>
      </c>
      <c r="E1087" t="s">
        <v>8</v>
      </c>
      <c r="F1087" s="1">
        <f>[1]Residential!B$234-F1061</f>
        <v>6.9844591762331731</v>
      </c>
      <c r="G1087" s="1">
        <f>[1]Residential!C$234-G1061</f>
        <v>5.973183300980125</v>
      </c>
      <c r="H1087" s="1">
        <f>[1]Residential!D$234-H1061</f>
        <v>3.8466999184135489</v>
      </c>
      <c r="I1087" s="1">
        <f>[1]Residential!E$234-I1061</f>
        <v>1.0450707276757427</v>
      </c>
      <c r="J1087" s="1">
        <f>[1]Residential!F$234-J1061</f>
        <v>0.36937376545413159</v>
      </c>
      <c r="K1087" s="1">
        <f>[1]Residential!G$234-K1061</f>
        <v>1.0935950660151406E-3</v>
      </c>
      <c r="L1087" s="1">
        <f>[1]Residential!H$234-L1061</f>
        <v>8.3160026464845771E-4</v>
      </c>
      <c r="M1087" s="1">
        <f>[1]Residential!I$234-M1061</f>
        <v>4.3045922411977244E-4</v>
      </c>
      <c r="N1087" s="1">
        <f>[1]Residential!J$234-N1061</f>
        <v>2.8510999412389992E-4</v>
      </c>
      <c r="O1087" s="1">
        <f>[1]Residential!K$234-O1061</f>
        <v>4.7602264099122493E-4</v>
      </c>
      <c r="P1087" s="1">
        <f>[1]Residential!L$234-P1061</f>
        <v>4.1263210355735325E-4</v>
      </c>
      <c r="Q1087" s="1">
        <f>[1]Residential!M$234-Q1061</f>
        <v>8.9382911961755074E-4</v>
      </c>
      <c r="S1087" s="3"/>
    </row>
    <row r="1088" spans="2:19" x14ac:dyDescent="0.5">
      <c r="B1088" s="5" t="str">
        <f t="shared" si="1271"/>
        <v>SPS1</v>
      </c>
      <c r="C1088" s="5" t="str">
        <f t="shared" si="1272"/>
        <v>CH</v>
      </c>
      <c r="D1088" t="s">
        <v>1071</v>
      </c>
      <c r="E1088" t="s">
        <v>8</v>
      </c>
      <c r="F1088" s="1">
        <f>SUM(F1089:F1090)</f>
        <v>6.3804507860510711</v>
      </c>
      <c r="G1088" s="1">
        <f t="shared" ref="G1088:K1088" si="1295">SUM(G1089:G1090)</f>
        <v>5.1105588258184014</v>
      </c>
      <c r="H1088" s="1">
        <f t="shared" si="1295"/>
        <v>6.382318076315272</v>
      </c>
      <c r="I1088" s="1">
        <f t="shared" si="1295"/>
        <v>9.7925063569075039</v>
      </c>
      <c r="J1088" s="1">
        <f t="shared" si="1295"/>
        <v>9.1847453125154424</v>
      </c>
      <c r="K1088" s="1">
        <f t="shared" si="1295"/>
        <v>11.772888798893659</v>
      </c>
      <c r="L1088" s="1">
        <f t="shared" ref="L1088:O1088" si="1296">SUM(L1089:L1090)</f>
        <v>9.1397528580575838</v>
      </c>
      <c r="M1088" s="1">
        <f t="shared" si="1296"/>
        <v>3.4252327960836375</v>
      </c>
      <c r="N1088" s="1">
        <f t="shared" si="1296"/>
        <v>1.6974770801574932</v>
      </c>
      <c r="O1088" s="1">
        <f t="shared" si="1296"/>
        <v>1.4152589670733349</v>
      </c>
      <c r="P1088" s="1">
        <f>SUM(P1089:P1090)</f>
        <v>1.4152373312688198</v>
      </c>
      <c r="Q1088" s="1">
        <f>SUM(Q1089:Q1090)</f>
        <v>1.2614627961074545</v>
      </c>
      <c r="S1088" s="3"/>
    </row>
    <row r="1089" spans="2:19" x14ac:dyDescent="0.5">
      <c r="B1089" s="5" t="str">
        <f t="shared" si="1271"/>
        <v>SPS1</v>
      </c>
      <c r="C1089" s="5" t="str">
        <f t="shared" si="1272"/>
        <v>CH</v>
      </c>
      <c r="D1089" t="s">
        <v>1072</v>
      </c>
      <c r="E1089" t="s">
        <v>8</v>
      </c>
      <c r="F1089" s="1">
        <f>[1]Residential!B$235-F1063</f>
        <v>6.3804507860510711</v>
      </c>
      <c r="G1089" s="1">
        <f>[1]Residential!C$235-G1063</f>
        <v>5.1105588258184014</v>
      </c>
      <c r="H1089" s="1">
        <f>[1]Residential!D$235-H1063</f>
        <v>6.3802551621833956</v>
      </c>
      <c r="I1089" s="1">
        <f>[1]Residential!E$235-I1063</f>
        <v>9.7900292924245633</v>
      </c>
      <c r="J1089" s="1">
        <f>[1]Residential!F$235-J1063</f>
        <v>7.3944257772691628</v>
      </c>
      <c r="K1089" s="1">
        <f>[1]Residential!G$235-K1063</f>
        <v>8.3416968316686493</v>
      </c>
      <c r="L1089" s="1">
        <f>[1]Residential!H$235-L1063</f>
        <v>5.3225311809080367</v>
      </c>
      <c r="M1089" s="1">
        <f>[1]Residential!I$235-M1063</f>
        <v>1.5301409633121015</v>
      </c>
      <c r="N1089" s="1">
        <f>[1]Residential!J$235-N1063</f>
        <v>0.7543991628005049</v>
      </c>
      <c r="O1089" s="1">
        <f>[1]Residential!K$235-O1063</f>
        <v>0.56256352271551169</v>
      </c>
      <c r="P1089" s="1">
        <f>[1]Residential!L$235-P1063</f>
        <v>0.56256065212972128</v>
      </c>
      <c r="Q1089" s="1">
        <f>[1]Residential!M$235-Q1063</f>
        <v>0.40878656057218343</v>
      </c>
      <c r="S1089" s="3"/>
    </row>
    <row r="1090" spans="2:19" x14ac:dyDescent="0.5">
      <c r="B1090" s="5" t="str">
        <f t="shared" si="1271"/>
        <v>SPS1</v>
      </c>
      <c r="C1090" s="5" t="str">
        <f t="shared" si="127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2.0629141318768626E-3</v>
      </c>
      <c r="I1090" s="1">
        <f>[1]Residential!E$236-I1064</f>
        <v>2.4770644829400865E-3</v>
      </c>
      <c r="J1090" s="1">
        <f>[1]Residential!F$236-J1064</f>
        <v>1.7903195352462786</v>
      </c>
      <c r="K1090" s="1">
        <f>[1]Residential!G$236-K1064</f>
        <v>3.4311919672250095</v>
      </c>
      <c r="L1090" s="1">
        <f>[1]Residential!H$236-L1064</f>
        <v>3.8172216771495471</v>
      </c>
      <c r="M1090" s="1">
        <f>[1]Residential!I$236-M1064</f>
        <v>1.895091832771536</v>
      </c>
      <c r="N1090" s="1">
        <f>[1]Residential!J$236-N1064</f>
        <v>0.94307791735698832</v>
      </c>
      <c r="O1090" s="1">
        <f>[1]Residential!K$236-O1064</f>
        <v>0.85269544435782318</v>
      </c>
      <c r="P1090" s="1">
        <f>[1]Residential!L$236-P1064</f>
        <v>0.8526766791390985</v>
      </c>
      <c r="Q1090" s="1">
        <f>[1]Residential!M$236-Q1064</f>
        <v>0.85267623553527105</v>
      </c>
      <c r="S1090" s="3"/>
    </row>
    <row r="1091" spans="2:19" x14ac:dyDescent="0.5">
      <c r="B1091" s="5" t="str">
        <f t="shared" si="1271"/>
        <v>SPS1</v>
      </c>
      <c r="C1091" s="5" t="str">
        <f t="shared" si="127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S1091" s="3"/>
    </row>
    <row r="1092" spans="2:19" x14ac:dyDescent="0.5">
      <c r="B1092" s="5" t="str">
        <f t="shared" si="1271"/>
        <v>SPS1</v>
      </c>
      <c r="C1092" s="5" t="str">
        <f t="shared" si="127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 s="3"/>
    </row>
    <row r="1093" spans="2:19" x14ac:dyDescent="0.5">
      <c r="B1093" s="5" t="str">
        <f t="shared" si="1271"/>
        <v>SPS1</v>
      </c>
      <c r="C1093" s="5" t="str">
        <f t="shared" si="1272"/>
        <v>CH</v>
      </c>
      <c r="D1093" t="s">
        <v>1076</v>
      </c>
      <c r="E1093" t="s">
        <v>8</v>
      </c>
      <c r="F1093" s="1">
        <f>SUM(F1094,F1098)</f>
        <v>1.3170451623771795</v>
      </c>
      <c r="G1093" s="1">
        <f t="shared" ref="G1093:K1093" si="1297">SUM(G1094,G1098)</f>
        <v>1.4633762735993605</v>
      </c>
      <c r="H1093" s="1">
        <f t="shared" si="1297"/>
        <v>1.434597620217066</v>
      </c>
      <c r="I1093" s="1">
        <f t="shared" si="1297"/>
        <v>0.99568671397881159</v>
      </c>
      <c r="J1093" s="1">
        <f t="shared" si="1297"/>
        <v>1.0189509344568091</v>
      </c>
      <c r="K1093" s="1">
        <f t="shared" si="1297"/>
        <v>1.3316338127269556</v>
      </c>
      <c r="L1093" s="1">
        <f t="shared" ref="L1093:O1093" si="1298">SUM(L1094,L1098)</f>
        <v>1.1127884428665222</v>
      </c>
      <c r="M1093" s="1">
        <f t="shared" si="1298"/>
        <v>1.3973698056234678</v>
      </c>
      <c r="N1093" s="1">
        <f t="shared" si="1298"/>
        <v>1.3712791774936939</v>
      </c>
      <c r="O1093" s="1">
        <f t="shared" si="1298"/>
        <v>1.354370876336821</v>
      </c>
      <c r="P1093" s="1">
        <f>SUM(P1094,P1098)</f>
        <v>1.3888068100809643</v>
      </c>
      <c r="Q1093" s="1">
        <f>SUM(Q1094,Q1098)</f>
        <v>1.2069795197318092</v>
      </c>
      <c r="S1093" s="3"/>
    </row>
    <row r="1094" spans="2:19" x14ac:dyDescent="0.5">
      <c r="B1094" s="5" t="str">
        <f t="shared" si="1271"/>
        <v>SPS1</v>
      </c>
      <c r="C1094" s="5" t="str">
        <f t="shared" si="1272"/>
        <v>CH</v>
      </c>
      <c r="D1094" t="s">
        <v>1077</v>
      </c>
      <c r="E1094" t="s">
        <v>8</v>
      </c>
      <c r="F1094" s="1">
        <f>[1]Residential!B$238-F1068</f>
        <v>2.432066273686663E-2</v>
      </c>
      <c r="G1094" s="1">
        <f>[1]Residential!C$238-G1068</f>
        <v>7.3547928513071053E-4</v>
      </c>
      <c r="H1094" s="1">
        <f>[1]Residential!D$238-H1068</f>
        <v>4.2719964446247066E-2</v>
      </c>
      <c r="I1094" s="1">
        <f>[1]Residential!E$238-I1068</f>
        <v>4.4169801511280915E-2</v>
      </c>
      <c r="J1094" s="1">
        <f>[1]Residential!F$238-J1068</f>
        <v>4.4173378509681172E-2</v>
      </c>
      <c r="K1094" s="1">
        <f>[1]Residential!G$238-K1068</f>
        <v>9.0791807513651346E-2</v>
      </c>
      <c r="L1094" s="1">
        <f>[1]Residential!H$238-L1068</f>
        <v>9.0791898610264599E-2</v>
      </c>
      <c r="M1094" s="1">
        <f>[1]Residential!I$238-M1068</f>
        <v>9.0791319104826407E-2</v>
      </c>
      <c r="N1094" s="1">
        <f>[1]Residential!J$238-N1068</f>
        <v>9.0805432126195629E-2</v>
      </c>
      <c r="O1094" s="1">
        <f>[1]Residential!K$238-O1068</f>
        <v>9.0956297034729294E-2</v>
      </c>
      <c r="P1094" s="1">
        <f>[1]Residential!L$238-P1068</f>
        <v>9.0962191487886646E-2</v>
      </c>
      <c r="Q1094" s="1">
        <f>[1]Residential!M$238-Q1068</f>
        <v>9.0979163503917104E-2</v>
      </c>
      <c r="S1094" s="3"/>
    </row>
    <row r="1095" spans="2:19" x14ac:dyDescent="0.5">
      <c r="B1095" s="5" t="str">
        <f t="shared" si="1271"/>
        <v>SPS1</v>
      </c>
      <c r="C1095" s="5" t="str">
        <f t="shared" si="1272"/>
        <v>CH</v>
      </c>
      <c r="D1095" t="s">
        <v>1078</v>
      </c>
      <c r="E1095" t="s">
        <v>8</v>
      </c>
      <c r="F1095" s="1">
        <f>IFERROR(F$1094/F$1043,0)*F1044</f>
        <v>2.432066273686663E-2</v>
      </c>
      <c r="G1095" s="1">
        <f t="shared" ref="G1095:K1097" si="1299">IFERROR(G$1094/G$1043,0)*G1044</f>
        <v>7.3547928513071053E-4</v>
      </c>
      <c r="H1095" s="1">
        <f t="shared" si="1299"/>
        <v>4.2719964446247066E-2</v>
      </c>
      <c r="I1095" s="1">
        <f t="shared" si="1299"/>
        <v>4.3561427064601192E-2</v>
      </c>
      <c r="J1095" s="1">
        <f t="shared" si="1299"/>
        <v>4.316411966830732E-2</v>
      </c>
      <c r="K1095" s="1">
        <f t="shared" si="1299"/>
        <v>1.8223918504018159E-2</v>
      </c>
      <c r="L1095" s="1">
        <f t="shared" ref="L1095:O1095" si="1300">IFERROR(L$1094/L$1043,0)*L1044</f>
        <v>0</v>
      </c>
      <c r="M1095" s="1">
        <f t="shared" si="1300"/>
        <v>0</v>
      </c>
      <c r="N1095" s="1">
        <f t="shared" si="1300"/>
        <v>2.3633408463087139E-3</v>
      </c>
      <c r="O1095" s="1">
        <f t="shared" si="1300"/>
        <v>4.117729042017554E-3</v>
      </c>
      <c r="P1095" s="1">
        <f t="shared" ref="P1095:Q1097" si="1301">IFERROR(P$1094/P$1043,0)*P1044</f>
        <v>3.9277312896442724E-3</v>
      </c>
      <c r="Q1095" s="1">
        <f t="shared" si="1301"/>
        <v>7.3746947003490038E-3</v>
      </c>
      <c r="S1095" s="3"/>
    </row>
    <row r="1096" spans="2:19" x14ac:dyDescent="0.5">
      <c r="B1096" s="5" t="str">
        <f t="shared" si="1271"/>
        <v>SPS1</v>
      </c>
      <c r="C1096" s="5" t="str">
        <f t="shared" si="127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99"/>
        <v>0</v>
      </c>
      <c r="H1096" s="1">
        <f t="shared" si="1299"/>
        <v>0</v>
      </c>
      <c r="I1096" s="1">
        <f t="shared" si="1299"/>
        <v>0</v>
      </c>
      <c r="J1096" s="1">
        <f t="shared" si="1299"/>
        <v>0</v>
      </c>
      <c r="K1096" s="1">
        <f t="shared" si="1299"/>
        <v>0</v>
      </c>
      <c r="L1096" s="1">
        <f t="shared" ref="L1096:O1096" si="1302">IFERROR(L$1094/L$1043,0)*L1045</f>
        <v>0</v>
      </c>
      <c r="M1096" s="1">
        <f t="shared" si="1302"/>
        <v>0</v>
      </c>
      <c r="N1096" s="1">
        <f t="shared" si="1302"/>
        <v>0</v>
      </c>
      <c r="O1096" s="1">
        <f t="shared" si="1302"/>
        <v>0</v>
      </c>
      <c r="P1096" s="1">
        <f t="shared" si="1301"/>
        <v>0</v>
      </c>
      <c r="Q1096" s="1">
        <f t="shared" si="1301"/>
        <v>0</v>
      </c>
      <c r="S1096" s="3"/>
    </row>
    <row r="1097" spans="2:19" x14ac:dyDescent="0.5">
      <c r="B1097" s="5" t="str">
        <f t="shared" si="1271"/>
        <v>SPS1</v>
      </c>
      <c r="C1097" s="5" t="str">
        <f t="shared" si="127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99"/>
        <v>0</v>
      </c>
      <c r="H1097" s="1">
        <f t="shared" si="1299"/>
        <v>0</v>
      </c>
      <c r="I1097" s="1">
        <f t="shared" si="1299"/>
        <v>6.0837444667972875E-4</v>
      </c>
      <c r="J1097" s="1">
        <f t="shared" si="1299"/>
        <v>1.0092588413738541E-3</v>
      </c>
      <c r="K1097" s="1">
        <f t="shared" si="1299"/>
        <v>7.2567889009633194E-2</v>
      </c>
      <c r="L1097" s="1">
        <f t="shared" ref="L1097:O1097" si="1303">IFERROR(L$1094/L$1043,0)*L1046</f>
        <v>9.0791898610264599E-2</v>
      </c>
      <c r="M1097" s="1">
        <f t="shared" si="1303"/>
        <v>9.0791319104826407E-2</v>
      </c>
      <c r="N1097" s="1">
        <f t="shared" si="1303"/>
        <v>8.844209127988692E-2</v>
      </c>
      <c r="O1097" s="1">
        <f t="shared" si="1303"/>
        <v>8.6838567992711752E-2</v>
      </c>
      <c r="P1097" s="1">
        <f t="shared" si="1301"/>
        <v>8.7034460198242361E-2</v>
      </c>
      <c r="Q1097" s="1">
        <f t="shared" si="1301"/>
        <v>8.3604468803568102E-2</v>
      </c>
      <c r="S1097" s="3"/>
    </row>
    <row r="1098" spans="2:19" x14ac:dyDescent="0.5">
      <c r="B1098" s="5" t="str">
        <f t="shared" si="1271"/>
        <v>SPS1</v>
      </c>
      <c r="C1098" s="5" t="str">
        <f t="shared" si="1272"/>
        <v>CH</v>
      </c>
      <c r="D1098" t="s">
        <v>1081</v>
      </c>
      <c r="E1098" t="s">
        <v>8</v>
      </c>
      <c r="F1098" s="1">
        <f>[1]Residential!B$239-F1072</f>
        <v>1.2927244996403129</v>
      </c>
      <c r="G1098" s="1">
        <f>[1]Residential!C$239-G1072</f>
        <v>1.4626407943142299</v>
      </c>
      <c r="H1098" s="1">
        <f>[1]Residential!D$239-H1072</f>
        <v>1.391877655770819</v>
      </c>
      <c r="I1098" s="1">
        <f>[1]Residential!E$239-I1072</f>
        <v>0.95151691246753067</v>
      </c>
      <c r="J1098" s="1">
        <f>[1]Residential!F$239-J1072</f>
        <v>0.97477755594712789</v>
      </c>
      <c r="K1098" s="1">
        <f>[1]Residential!G$239-K1072</f>
        <v>1.2408420052133042</v>
      </c>
      <c r="L1098" s="1">
        <f>[1]Residential!H$239-L1072</f>
        <v>1.0219965442562575</v>
      </c>
      <c r="M1098" s="1">
        <f>[1]Residential!I$239-M1072</f>
        <v>1.3065784865186414</v>
      </c>
      <c r="N1098" s="1">
        <f>[1]Residential!J$239-N1072</f>
        <v>1.2804737453674981</v>
      </c>
      <c r="O1098" s="1">
        <f>[1]Residential!K$239-O1072</f>
        <v>1.2634145793020917</v>
      </c>
      <c r="P1098" s="1">
        <f>[1]Residential!L$239-P1072</f>
        <v>1.2978446185930776</v>
      </c>
      <c r="Q1098" s="1">
        <f>[1]Residential!M$239-Q1072</f>
        <v>1.1160003562278922</v>
      </c>
      <c r="S1098" s="3"/>
    </row>
    <row r="1099" spans="2:19" x14ac:dyDescent="0.5">
      <c r="B1099" s="5" t="str">
        <f t="shared" si="1271"/>
        <v>SPS1</v>
      </c>
      <c r="C1099" s="5" t="str">
        <f t="shared" si="1272"/>
        <v>CH</v>
      </c>
      <c r="D1099" t="s">
        <v>1082</v>
      </c>
      <c r="E1099" t="s">
        <v>8</v>
      </c>
      <c r="F1099" s="1">
        <f>F1100</f>
        <v>0.52047128378135277</v>
      </c>
      <c r="G1099" s="1">
        <f t="shared" ref="G1099:O1099" si="1304">G1100</f>
        <v>0.59724099142414389</v>
      </c>
      <c r="H1099" s="1">
        <f t="shared" si="1304"/>
        <v>0.33358628597938456</v>
      </c>
      <c r="I1099" s="1">
        <f t="shared" si="1304"/>
        <v>0.28147632554469659</v>
      </c>
      <c r="J1099" s="1">
        <f t="shared" si="1304"/>
        <v>0.24919853502936018</v>
      </c>
      <c r="K1099" s="1">
        <f t="shared" si="1304"/>
        <v>0.1925154722666127</v>
      </c>
      <c r="L1099" s="1">
        <f t="shared" si="1304"/>
        <v>0.16737808613010774</v>
      </c>
      <c r="M1099" s="1">
        <f t="shared" si="1304"/>
        <v>0.15083509187594357</v>
      </c>
      <c r="N1099" s="1">
        <f t="shared" si="1304"/>
        <v>0.13357768931074654</v>
      </c>
      <c r="O1099" s="1">
        <f t="shared" si="1304"/>
        <v>0.12988227283860621</v>
      </c>
      <c r="P1099" s="1">
        <f>P1100</f>
        <v>0.12587727810059102</v>
      </c>
      <c r="Q1099" s="1">
        <f>Q1100</f>
        <v>9.5881580967962954E-2</v>
      </c>
      <c r="S1099" s="3"/>
    </row>
    <row r="1100" spans="2:19" x14ac:dyDescent="0.5">
      <c r="B1100" s="5" t="str">
        <f t="shared" si="1271"/>
        <v>SPS1</v>
      </c>
      <c r="C1100" s="5" t="str">
        <f t="shared" si="1272"/>
        <v>CH</v>
      </c>
      <c r="D1100" t="s">
        <v>1083</v>
      </c>
      <c r="E1100" t="s">
        <v>8</v>
      </c>
      <c r="F1100" s="1">
        <f>[1]Residential!B$240-F1074</f>
        <v>0.52047128378135277</v>
      </c>
      <c r="G1100" s="1">
        <f>[1]Residential!C$240-G1074</f>
        <v>0.59724099142414389</v>
      </c>
      <c r="H1100" s="1">
        <f>[1]Residential!D$240-H1074</f>
        <v>0.33358628597938456</v>
      </c>
      <c r="I1100" s="1">
        <f>[1]Residential!E$240-I1074</f>
        <v>0.28147632554469659</v>
      </c>
      <c r="J1100" s="1">
        <f>[1]Residential!F$240-J1074</f>
        <v>0.24919853502936018</v>
      </c>
      <c r="K1100" s="1">
        <f>[1]Residential!G$240-K1074</f>
        <v>0.1925154722666127</v>
      </c>
      <c r="L1100" s="1">
        <f>[1]Residential!H$240-L1074</f>
        <v>0.16737808613010774</v>
      </c>
      <c r="M1100" s="1">
        <f>[1]Residential!I$240-M1074</f>
        <v>0.15083509187594357</v>
      </c>
      <c r="N1100" s="1">
        <f>[1]Residential!J$240-N1074</f>
        <v>0.13357768931074654</v>
      </c>
      <c r="O1100" s="1">
        <f>[1]Residential!K$240-O1074</f>
        <v>0.12988227283860621</v>
      </c>
      <c r="P1100" s="1">
        <f>[1]Residential!L$240-P1074</f>
        <v>0.12587727810059102</v>
      </c>
      <c r="Q1100" s="1">
        <f>[1]Residential!M$240-Q1074</f>
        <v>9.5881580967962954E-2</v>
      </c>
      <c r="S1100" s="3"/>
    </row>
    <row r="1101" spans="2:19" x14ac:dyDescent="0.5">
      <c r="B1101" s="5" t="str">
        <f t="shared" si="1271"/>
        <v>SPS1</v>
      </c>
      <c r="C1101" s="5" t="str">
        <f t="shared" si="1272"/>
        <v>CH</v>
      </c>
      <c r="D1101" t="s">
        <v>1084</v>
      </c>
      <c r="E1101" t="s">
        <v>8</v>
      </c>
      <c r="F1101" s="1">
        <f>F1102</f>
        <v>0.16979307724687276</v>
      </c>
      <c r="G1101" s="1">
        <f t="shared" ref="G1101" si="1305">G1102</f>
        <v>0.19483633776436049</v>
      </c>
      <c r="H1101" s="1">
        <f t="shared" ref="H1101" si="1306">H1102</f>
        <v>0.128915134468508</v>
      </c>
      <c r="I1101" s="1">
        <f t="shared" ref="I1101" si="1307">I1102</f>
        <v>0.13422904053798357</v>
      </c>
      <c r="J1101" s="1">
        <f t="shared" ref="J1101" si="1308">J1102</f>
        <v>0.13901150830889364</v>
      </c>
      <c r="K1101" s="1">
        <f t="shared" ref="K1101:O1101" si="1309">K1102</f>
        <v>0.1429094475552124</v>
      </c>
      <c r="L1101" s="1">
        <f t="shared" si="1309"/>
        <v>0.14608215843172712</v>
      </c>
      <c r="M1101" s="1">
        <f t="shared" si="1309"/>
        <v>0.14912917241770751</v>
      </c>
      <c r="N1101" s="1">
        <f t="shared" si="1309"/>
        <v>0.15129529691203691</v>
      </c>
      <c r="O1101" s="1">
        <f t="shared" si="1309"/>
        <v>0.15376344308537604</v>
      </c>
      <c r="P1101" s="1">
        <f>P1102</f>
        <v>0.1537643835369269</v>
      </c>
      <c r="Q1101" s="1">
        <f>Q1102</f>
        <v>0.15376742806756205</v>
      </c>
      <c r="S1101" s="3"/>
    </row>
    <row r="1102" spans="2:19" x14ac:dyDescent="0.5">
      <c r="B1102" s="5" t="str">
        <f t="shared" si="1271"/>
        <v>SPS1</v>
      </c>
      <c r="C1102" s="5" t="str">
        <f t="shared" si="1272"/>
        <v>CH</v>
      </c>
      <c r="D1102" t="s">
        <v>1085</v>
      </c>
      <c r="E1102" t="s">
        <v>8</v>
      </c>
      <c r="F1102" s="1">
        <f>[1]Residential!B$241-F1076</f>
        <v>0.16979307724687276</v>
      </c>
      <c r="G1102" s="1">
        <f>[1]Residential!C$241-G1076</f>
        <v>0.19483633776436049</v>
      </c>
      <c r="H1102" s="1">
        <f>[1]Residential!D$241-H1076</f>
        <v>0.128915134468508</v>
      </c>
      <c r="I1102" s="1">
        <f>[1]Residential!E$241-I1076</f>
        <v>0.13422904053798357</v>
      </c>
      <c r="J1102" s="1">
        <f>[1]Residential!F$241-J1076</f>
        <v>0.13901150830889364</v>
      </c>
      <c r="K1102" s="1">
        <f>[1]Residential!G$241-K1076</f>
        <v>0.1429094475552124</v>
      </c>
      <c r="L1102" s="1">
        <f>[1]Residential!H$241-L1076</f>
        <v>0.14608215843172712</v>
      </c>
      <c r="M1102" s="1">
        <f>[1]Residential!I$241-M1076</f>
        <v>0.14912917241770751</v>
      </c>
      <c r="N1102" s="1">
        <f>[1]Residential!J$241-N1076</f>
        <v>0.15129529691203691</v>
      </c>
      <c r="O1102" s="1">
        <f>[1]Residential!K$241-O1076</f>
        <v>0.15376344308537604</v>
      </c>
      <c r="P1102" s="1">
        <f>[1]Residential!L$241-P1076</f>
        <v>0.1537643835369269</v>
      </c>
      <c r="Q1102" s="1">
        <f>[1]Residential!M$241-Q1076</f>
        <v>0.15376742806756205</v>
      </c>
      <c r="S1102" s="3"/>
    </row>
    <row r="1103" spans="2:19" x14ac:dyDescent="0.5">
      <c r="B1103" s="5" t="str">
        <f t="shared" si="1271"/>
        <v>SPS1</v>
      </c>
      <c r="C1103" s="5" t="str">
        <f t="shared" si="1272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310">G1104</f>
        <v>1.9867203117150172</v>
      </c>
      <c r="H1103" s="1">
        <f t="shared" ref="H1103" si="1311">H1104</f>
        <v>1.9465227266787357</v>
      </c>
      <c r="I1103" s="1">
        <f t="shared" ref="I1103" si="1312">I1104</f>
        <v>1.5487588651818656</v>
      </c>
      <c r="J1103" s="1">
        <f t="shared" ref="J1103" si="1313">J1104</f>
        <v>1.0712965590009045</v>
      </c>
      <c r="K1103" s="1">
        <f t="shared" ref="K1103:O1103" si="1314">K1104</f>
        <v>1.0986272456153168</v>
      </c>
      <c r="L1103" s="1">
        <f t="shared" si="1314"/>
        <v>1.2549205863817563</v>
      </c>
      <c r="M1103" s="1">
        <f t="shared" si="1314"/>
        <v>3.0643065392385784</v>
      </c>
      <c r="N1103" s="1">
        <f t="shared" si="1314"/>
        <v>3.0641893228269592</v>
      </c>
      <c r="O1103" s="1">
        <f t="shared" si="1314"/>
        <v>2.9610391735138588</v>
      </c>
      <c r="P1103" s="1">
        <f>P1104</f>
        <v>3.0640795453118947</v>
      </c>
      <c r="Q1103" s="1">
        <f>Q1104</f>
        <v>2.3798977187885324</v>
      </c>
      <c r="S1103" s="3"/>
    </row>
    <row r="1104" spans="2:19" x14ac:dyDescent="0.5">
      <c r="B1104" s="5" t="str">
        <f t="shared" si="1271"/>
        <v>SPS1</v>
      </c>
      <c r="C1104" s="5" t="str">
        <f t="shared" si="1272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1.9867203117150172</v>
      </c>
      <c r="H1104" s="1">
        <f>[1]Residential!D$242-H1078</f>
        <v>1.9465227266787357</v>
      </c>
      <c r="I1104" s="1">
        <f>[1]Residential!E$242-I1078</f>
        <v>1.5487588651818656</v>
      </c>
      <c r="J1104" s="1">
        <f>[1]Residential!F$242-J1078</f>
        <v>1.0712965590009045</v>
      </c>
      <c r="K1104" s="1">
        <f>[1]Residential!G$242-K1078</f>
        <v>1.0986272456153168</v>
      </c>
      <c r="L1104" s="1">
        <f>[1]Residential!H$242-L1078</f>
        <v>1.2549205863817563</v>
      </c>
      <c r="M1104" s="1">
        <f>[1]Residential!I$242-M1078</f>
        <v>3.0643065392385784</v>
      </c>
      <c r="N1104" s="1">
        <f>[1]Residential!J$242-N1078</f>
        <v>3.0641893228269592</v>
      </c>
      <c r="O1104" s="1">
        <f>[1]Residential!K$242-O1078</f>
        <v>2.9610391735138588</v>
      </c>
      <c r="P1104" s="1">
        <f>[1]Residential!L$242-P1078</f>
        <v>3.0640795453118947</v>
      </c>
      <c r="Q1104" s="1">
        <f>[1]Residential!M$242-Q1078</f>
        <v>2.3798977187885324</v>
      </c>
      <c r="S1104" s="3"/>
    </row>
    <row r="1105" spans="2:19" x14ac:dyDescent="0.5">
      <c r="B1105" s="5" t="str">
        <f t="shared" si="1271"/>
        <v>SPS1</v>
      </c>
      <c r="C1105" s="5" t="str">
        <f t="shared" si="127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315">G1106</f>
        <v>0</v>
      </c>
      <c r="H1105" s="1">
        <f t="shared" ref="H1105" si="1316">H1106</f>
        <v>0</v>
      </c>
      <c r="I1105" s="1">
        <f t="shared" ref="I1105" si="1317">I1106</f>
        <v>0</v>
      </c>
      <c r="J1105" s="1">
        <f t="shared" ref="J1105" si="1318">J1106</f>
        <v>0</v>
      </c>
      <c r="K1105" s="1">
        <f t="shared" ref="K1105:O1105" si="1319">K1106</f>
        <v>0</v>
      </c>
      <c r="L1105" s="1">
        <f t="shared" si="1319"/>
        <v>0</v>
      </c>
      <c r="M1105" s="1">
        <f t="shared" si="1319"/>
        <v>0</v>
      </c>
      <c r="N1105" s="1">
        <f t="shared" si="1319"/>
        <v>0</v>
      </c>
      <c r="O1105" s="1">
        <f t="shared" si="1319"/>
        <v>0</v>
      </c>
      <c r="P1105" s="1">
        <f>P1106</f>
        <v>0</v>
      </c>
      <c r="Q1105" s="1">
        <f>Q1106</f>
        <v>0</v>
      </c>
      <c r="S1105" s="3"/>
    </row>
    <row r="1106" spans="2:19" x14ac:dyDescent="0.5">
      <c r="B1106" s="5" t="str">
        <f t="shared" si="1271"/>
        <v>SPS1</v>
      </c>
      <c r="C1106" s="5" t="str">
        <f t="shared" si="127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M1106" s="1">
        <f>[1]Residential!I$243-M1080</f>
        <v>0</v>
      </c>
      <c r="N1106" s="1">
        <f>[1]Residential!J$243-N1080</f>
        <v>0</v>
      </c>
      <c r="O1106" s="1">
        <f>[1]Residential!K$243-O1080</f>
        <v>0</v>
      </c>
      <c r="P1106" s="1">
        <f>[1]Residential!L$243-P1080</f>
        <v>0</v>
      </c>
      <c r="Q1106" s="1">
        <f>[1]Residential!M$243-Q1080</f>
        <v>0</v>
      </c>
      <c r="S1106" s="3"/>
    </row>
    <row r="1107" spans="2:19" x14ac:dyDescent="0.5">
      <c r="B1107" s="5" t="str">
        <f t="shared" si="1271"/>
        <v>SPS1</v>
      </c>
      <c r="C1107" s="5" t="str">
        <f t="shared" si="127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M1107" s="1">
        <f>[1]Residential!I$244-M1081</f>
        <v>0</v>
      </c>
      <c r="N1107" s="1">
        <f>[1]Residential!J$244-N1081</f>
        <v>0</v>
      </c>
      <c r="O1107" s="1">
        <f>[1]Residential!K$244-O1081</f>
        <v>0</v>
      </c>
      <c r="P1107" s="1">
        <f>[1]Residential!L$244-P1081</f>
        <v>0</v>
      </c>
      <c r="Q1107" s="1">
        <f>[1]Residential!M$244-Q1081</f>
        <v>0</v>
      </c>
      <c r="S1107" s="3"/>
    </row>
    <row r="1108" spans="2:19" x14ac:dyDescent="0.5">
      <c r="B1108" s="5" t="str">
        <f t="shared" ref="B1108:B1135" si="1320">B1107</f>
        <v>SPS1</v>
      </c>
      <c r="C1108" s="5" t="str">
        <f t="shared" ref="C1108:C1135" si="132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M1108" t="s">
        <v>292</v>
      </c>
      <c r="N1108" t="s">
        <v>292</v>
      </c>
      <c r="O1108" t="s">
        <v>292</v>
      </c>
      <c r="P1108" t="s">
        <v>292</v>
      </c>
      <c r="Q1108" t="s">
        <v>292</v>
      </c>
      <c r="S1108" s="3"/>
    </row>
    <row r="1109" spans="2:19" x14ac:dyDescent="0.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0.94999999999999962</v>
      </c>
      <c r="G1109" s="4">
        <f t="shared" ref="G1109:K1110" si="1322">IFERROR(G1058/G975,"-")</f>
        <v>0.94999999999999973</v>
      </c>
      <c r="H1109" s="4">
        <f t="shared" si="1322"/>
        <v>0.95000000000000084</v>
      </c>
      <c r="I1109" s="4">
        <f t="shared" si="1322"/>
        <v>0.9499999999999994</v>
      </c>
      <c r="J1109" s="4">
        <f t="shared" si="1322"/>
        <v>0.94999999999999962</v>
      </c>
      <c r="K1109" s="4">
        <f t="shared" si="1322"/>
        <v>0.95</v>
      </c>
      <c r="L1109" s="4">
        <f t="shared" ref="L1109:O1109" si="1323">IFERROR(L1058/L975,"-")</f>
        <v>0.95000000000000095</v>
      </c>
      <c r="M1109" s="4">
        <f t="shared" si="1323"/>
        <v>0.9500000000000004</v>
      </c>
      <c r="N1109" s="4">
        <f t="shared" si="1323"/>
        <v>0.94999999999999951</v>
      </c>
      <c r="O1109" s="4">
        <f t="shared" si="1323"/>
        <v>0.94999999999999951</v>
      </c>
      <c r="P1109" s="4">
        <f>IFERROR(P1058/P975,"-")</f>
        <v>0.94999999999999918</v>
      </c>
      <c r="Q1109" s="4">
        <f>IFERROR(Q1058/Q975,"-")</f>
        <v>0.95</v>
      </c>
      <c r="S1109" s="3"/>
    </row>
    <row r="1110" spans="2:19" x14ac:dyDescent="0.5">
      <c r="B1110" s="5" t="str">
        <f t="shared" si="1320"/>
        <v>SPS1</v>
      </c>
      <c r="C1110" s="5" t="str">
        <f t="shared" si="1321"/>
        <v>CH</v>
      </c>
      <c r="D1110" t="s">
        <v>1122</v>
      </c>
      <c r="E1110" t="s">
        <v>240</v>
      </c>
      <c r="F1110" s="4">
        <f>IFERROR(F1059/F976,"-")</f>
        <v>3.2000000508838227</v>
      </c>
      <c r="G1110" s="4">
        <f t="shared" si="1322"/>
        <v>3.2533333681055598</v>
      </c>
      <c r="H1110" s="4">
        <f t="shared" si="1322"/>
        <v>3.3333333333333357</v>
      </c>
      <c r="I1110" s="4">
        <f t="shared" si="1322"/>
        <v>3.4666666666666712</v>
      </c>
      <c r="J1110" s="4">
        <f t="shared" si="1322"/>
        <v>3.5833333333333348</v>
      </c>
      <c r="K1110" s="4">
        <f t="shared" si="1322"/>
        <v>3.7000000000000006</v>
      </c>
      <c r="L1110" s="4">
        <f t="shared" ref="L1110:O1110" si="1324">IFERROR(L1059/L976,"-")</f>
        <v>3.7999999999999985</v>
      </c>
      <c r="M1110" s="4">
        <f t="shared" si="1324"/>
        <v>3.8999999999999995</v>
      </c>
      <c r="N1110" s="4">
        <f t="shared" si="1324"/>
        <v>3.9000000000000008</v>
      </c>
      <c r="O1110" s="4">
        <f t="shared" si="1324"/>
        <v>3.9000000000000008</v>
      </c>
      <c r="P1110" s="4">
        <f>IFERROR(P1059/P976,"-")</f>
        <v>3.9000000000000021</v>
      </c>
      <c r="Q1110" s="4">
        <f>IFERROR(Q1059/Q976,"-")</f>
        <v>3.8999999999999995</v>
      </c>
      <c r="S1110" s="3"/>
    </row>
    <row r="1111" spans="2:19" x14ac:dyDescent="0.5">
      <c r="B1111" s="5" t="str">
        <f t="shared" si="1320"/>
        <v>SPS1</v>
      </c>
      <c r="C1111" s="5" t="str">
        <f t="shared" si="1321"/>
        <v>CH</v>
      </c>
      <c r="D1111" t="s">
        <v>1092</v>
      </c>
      <c r="E1111" t="s">
        <v>240</v>
      </c>
      <c r="F1111" s="4">
        <f>IFERROR(F1061/F985,"-")</f>
        <v>0.89583333333333415</v>
      </c>
      <c r="G1111" s="4">
        <f t="shared" ref="G1111:K1111" si="1325">IFERROR(G1061/G985,"-")</f>
        <v>0.89583333333333537</v>
      </c>
      <c r="H1111" s="4">
        <f t="shared" si="1325"/>
        <v>0.89583333333333415</v>
      </c>
      <c r="I1111" s="4">
        <f t="shared" si="1325"/>
        <v>0.89583333333333415</v>
      </c>
      <c r="J1111" s="4">
        <f t="shared" si="1325"/>
        <v>0.89583333333333426</v>
      </c>
      <c r="K1111" s="4">
        <f t="shared" si="1325"/>
        <v>0.89583333333333426</v>
      </c>
      <c r="L1111" s="4">
        <f t="shared" ref="L1111:O1111" si="1326">IFERROR(L1061/L985,"-")</f>
        <v>0.89583333333333404</v>
      </c>
      <c r="M1111" s="4">
        <f t="shared" si="1326"/>
        <v>0.89583333333333415</v>
      </c>
      <c r="N1111" s="4">
        <f t="shared" si="1326"/>
        <v>0.89583333333333437</v>
      </c>
      <c r="O1111" s="4">
        <f t="shared" si="1326"/>
        <v>0.89583333333333437</v>
      </c>
      <c r="P1111" s="4">
        <f>IFERROR(P1061/P985,"-")</f>
        <v>0.89583333333333426</v>
      </c>
      <c r="Q1111" s="4">
        <f>IFERROR(Q1061/Q985,"-")</f>
        <v>0.89583333333333504</v>
      </c>
      <c r="S1111" s="3"/>
    </row>
    <row r="1112" spans="2:19" x14ac:dyDescent="0.5">
      <c r="B1112" s="5" t="str">
        <f t="shared" si="1320"/>
        <v>SPS1</v>
      </c>
      <c r="C1112" s="5" t="str">
        <f t="shared" si="1321"/>
        <v>CH</v>
      </c>
      <c r="D1112" t="s">
        <v>1093</v>
      </c>
      <c r="E1112" t="s">
        <v>240</v>
      </c>
      <c r="F1112" s="4">
        <f>IFERROR(F1063/F998,"-")</f>
        <v>0.94999999999999984</v>
      </c>
      <c r="G1112" s="4">
        <f t="shared" ref="G1112:K1112" si="1327">IFERROR(G1063/G998,"-")</f>
        <v>0.95000000000000007</v>
      </c>
      <c r="H1112" s="4">
        <f t="shared" si="1327"/>
        <v>0.95000000000000051</v>
      </c>
      <c r="I1112" s="4">
        <f t="shared" si="1327"/>
        <v>0.94999999999999918</v>
      </c>
      <c r="J1112" s="4">
        <f t="shared" si="1327"/>
        <v>0.95000000000000007</v>
      </c>
      <c r="K1112" s="4">
        <f t="shared" si="1327"/>
        <v>0.95000000000000018</v>
      </c>
      <c r="L1112" s="4">
        <f t="shared" ref="L1112:O1112" si="1328">IFERROR(L1063/L998,"-")</f>
        <v>0.95</v>
      </c>
      <c r="M1112" s="4">
        <f t="shared" si="1328"/>
        <v>0.95000000000000073</v>
      </c>
      <c r="N1112" s="4">
        <f t="shared" si="1328"/>
        <v>0.9499999999999994</v>
      </c>
      <c r="O1112" s="4">
        <f t="shared" si="1328"/>
        <v>0.95000000000000007</v>
      </c>
      <c r="P1112" s="4">
        <f>IFERROR(P1063/P998,"-")</f>
        <v>0.9499999999999994</v>
      </c>
      <c r="Q1112" s="4">
        <f>IFERROR(Q1063/Q998,"-")</f>
        <v>0.95000000000000062</v>
      </c>
      <c r="S1112" s="3"/>
    </row>
    <row r="1113" spans="2:19" x14ac:dyDescent="0.5">
      <c r="B1113" s="5" t="str">
        <f t="shared" si="1320"/>
        <v>SPS1</v>
      </c>
      <c r="C1113" s="5" t="str">
        <f t="shared" si="132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329">IFERROR(G1064/G999,"-")</f>
        <v>-</v>
      </c>
      <c r="H1113" s="4">
        <f t="shared" si="1329"/>
        <v>2.0000000000000004</v>
      </c>
      <c r="I1113" s="4">
        <f t="shared" si="1329"/>
        <v>2.0800000000000005</v>
      </c>
      <c r="J1113" s="4">
        <f t="shared" si="1329"/>
        <v>2.1500000000000008</v>
      </c>
      <c r="K1113" s="4">
        <f t="shared" si="1329"/>
        <v>2.2199999999999993</v>
      </c>
      <c r="L1113" s="4">
        <f t="shared" ref="L1113:O1113" si="1330">IFERROR(L1064/L999,"-")</f>
        <v>2.2799999999999994</v>
      </c>
      <c r="M1113" s="4">
        <f t="shared" si="1330"/>
        <v>2.3399999999999994</v>
      </c>
      <c r="N1113" s="4">
        <f t="shared" si="1330"/>
        <v>2.34</v>
      </c>
      <c r="O1113" s="4">
        <f t="shared" si="1330"/>
        <v>2.3399999999999976</v>
      </c>
      <c r="P1113" s="4">
        <f>IFERROR(P1064/P999,"-")</f>
        <v>2.3399999999999976</v>
      </c>
      <c r="Q1113" s="4">
        <f>IFERROR(Q1064/Q999,"-")</f>
        <v>2.3399999999999981</v>
      </c>
      <c r="S1113" s="3"/>
    </row>
    <row r="1114" spans="2:19" x14ac:dyDescent="0.5">
      <c r="B1114" s="5" t="str">
        <f t="shared" si="1320"/>
        <v>SPS1</v>
      </c>
      <c r="C1114" s="5" t="str">
        <f t="shared" si="1321"/>
        <v>CH</v>
      </c>
      <c r="D1114" t="s">
        <v>1095</v>
      </c>
      <c r="E1114" t="s">
        <v>240</v>
      </c>
      <c r="F1114" s="4">
        <f>IFERROR(F1066/F1017,"-")</f>
        <v>0.71999999999999964</v>
      </c>
      <c r="G1114" s="4">
        <f t="shared" ref="G1114:K1114" si="1331">IFERROR(G1066/G1017,"-")</f>
        <v>0.72000000000000075</v>
      </c>
      <c r="H1114" s="4">
        <f t="shared" si="1331"/>
        <v>0.71999999999999886</v>
      </c>
      <c r="I1114" s="4">
        <f t="shared" si="1331"/>
        <v>0.71999999999999964</v>
      </c>
      <c r="J1114" s="4">
        <f t="shared" si="1331"/>
        <v>0.72000000000000042</v>
      </c>
      <c r="K1114" s="4" t="str">
        <f t="shared" si="1331"/>
        <v>-</v>
      </c>
      <c r="L1114" s="4" t="str">
        <f t="shared" ref="L1114:O1114" si="1332">IFERROR(L1066/L1017,"-")</f>
        <v>-</v>
      </c>
      <c r="M1114" s="4" t="str">
        <f t="shared" si="1332"/>
        <v>-</v>
      </c>
      <c r="N1114" s="4" t="str">
        <f t="shared" si="1332"/>
        <v>-</v>
      </c>
      <c r="O1114" s="4" t="str">
        <f t="shared" si="1332"/>
        <v>-</v>
      </c>
      <c r="P1114" s="4" t="str">
        <f>IFERROR(P1066/P1017,"-")</f>
        <v>-</v>
      </c>
      <c r="Q1114" s="4" t="str">
        <f>IFERROR(Q1066/Q1017,"-")</f>
        <v>-</v>
      </c>
      <c r="S1114" s="3"/>
    </row>
    <row r="1115" spans="2:19" x14ac:dyDescent="0.5">
      <c r="B1115" s="5" t="str">
        <f t="shared" si="1320"/>
        <v>SPS1</v>
      </c>
      <c r="C1115" s="5" t="str">
        <f t="shared" si="132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M1115" s="4">
        <v>0.99</v>
      </c>
      <c r="N1115" s="4">
        <v>0.99</v>
      </c>
      <c r="O1115" s="4">
        <v>0.99</v>
      </c>
      <c r="P1115" s="4">
        <v>0.99</v>
      </c>
      <c r="Q1115" s="4">
        <v>0.99</v>
      </c>
      <c r="S1115" s="3"/>
    </row>
    <row r="1116" spans="2:19" x14ac:dyDescent="0.5">
      <c r="B1116" s="5" t="str">
        <f t="shared" si="1320"/>
        <v>SPS1</v>
      </c>
      <c r="C1116" s="5" t="str">
        <f t="shared" si="132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M1116" s="4">
        <v>0.99</v>
      </c>
      <c r="N1116" s="4">
        <v>0.99</v>
      </c>
      <c r="O1116" s="4">
        <v>0.99</v>
      </c>
      <c r="P1116" s="4">
        <v>0.99</v>
      </c>
      <c r="Q1116" s="4">
        <v>0.99</v>
      </c>
      <c r="S1116" s="3"/>
    </row>
    <row r="1117" spans="2:19" x14ac:dyDescent="0.5">
      <c r="B1117" s="5" t="str">
        <f t="shared" si="1320"/>
        <v>SPS1</v>
      </c>
      <c r="C1117" s="5" t="str">
        <f t="shared" si="132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M1117" s="4">
        <v>0.99</v>
      </c>
      <c r="N1117" s="4">
        <v>0.99</v>
      </c>
      <c r="O1117" s="4">
        <v>0.99</v>
      </c>
      <c r="P1117" s="4">
        <v>0.99</v>
      </c>
      <c r="Q1117" s="4">
        <v>0.99</v>
      </c>
      <c r="S1117" s="3"/>
    </row>
    <row r="1118" spans="2:19" x14ac:dyDescent="0.5">
      <c r="B1118" s="5" t="str">
        <f t="shared" si="1320"/>
        <v>SPS1</v>
      </c>
      <c r="C1118" s="5" t="str">
        <f t="shared" si="132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M1118" s="4">
        <v>0.99</v>
      </c>
      <c r="N1118" s="4">
        <v>0.99</v>
      </c>
      <c r="O1118" s="4">
        <v>0.99</v>
      </c>
      <c r="P1118" s="4">
        <v>0.99</v>
      </c>
      <c r="Q1118" s="4">
        <v>0.99</v>
      </c>
      <c r="S1118" s="3"/>
    </row>
    <row r="1119" spans="2:19" x14ac:dyDescent="0.5">
      <c r="B1119" s="5" t="str">
        <f t="shared" si="1320"/>
        <v>SPS1</v>
      </c>
      <c r="C1119" s="5" t="str">
        <f t="shared" si="1321"/>
        <v>CH</v>
      </c>
      <c r="D1119" t="s">
        <v>1100</v>
      </c>
      <c r="E1119" t="s">
        <v>240</v>
      </c>
      <c r="F1119" s="4">
        <f>IFERROR(F1074/F1022,"-")</f>
        <v>0.72000000000000053</v>
      </c>
      <c r="G1119" s="4">
        <f t="shared" ref="G1119:K1119" si="1333">IFERROR(G1074/G1022,"-")</f>
        <v>0.71999999999999986</v>
      </c>
      <c r="H1119" s="4">
        <f t="shared" si="1333"/>
        <v>0.71999999999999975</v>
      </c>
      <c r="I1119" s="4">
        <f t="shared" si="1333"/>
        <v>0.72000000000000042</v>
      </c>
      <c r="J1119" s="4">
        <f t="shared" si="1333"/>
        <v>0.71999999999999975</v>
      </c>
      <c r="K1119" s="4">
        <f t="shared" si="1333"/>
        <v>0.72000000000000064</v>
      </c>
      <c r="L1119" s="4">
        <f t="shared" ref="L1119:O1119" si="1334">IFERROR(L1074/L1022,"-")</f>
        <v>0.72</v>
      </c>
      <c r="M1119" s="4">
        <f t="shared" si="1334"/>
        <v>0.72000000000000008</v>
      </c>
      <c r="N1119" s="4">
        <f t="shared" si="1334"/>
        <v>0.72000000000000008</v>
      </c>
      <c r="O1119" s="4">
        <f t="shared" si="1334"/>
        <v>0.72000000000000031</v>
      </c>
      <c r="P1119" s="4">
        <f>IFERROR(P1074/P1022,"-")</f>
        <v>0.72000000000000075</v>
      </c>
      <c r="Q1119" s="4">
        <f>IFERROR(Q1074/Q1022,"-")</f>
        <v>0.7200000000000002</v>
      </c>
      <c r="S1119" s="3"/>
    </row>
    <row r="1120" spans="2:19" x14ac:dyDescent="0.5">
      <c r="B1120" s="5" t="str">
        <f t="shared" si="1320"/>
        <v>SPS1</v>
      </c>
      <c r="C1120" s="5" t="str">
        <f t="shared" si="1321"/>
        <v>CH</v>
      </c>
      <c r="D1120" t="s">
        <v>1101</v>
      </c>
      <c r="E1120" t="s">
        <v>240</v>
      </c>
      <c r="F1120" s="4">
        <f>IFERROR(F1076/F1027,"-")</f>
        <v>0.9</v>
      </c>
      <c r="G1120" s="4">
        <f t="shared" ref="G1120:K1120" si="1335">IFERROR(G1076/G1027,"-")</f>
        <v>0.89999999999999991</v>
      </c>
      <c r="H1120" s="4">
        <f t="shared" si="1335"/>
        <v>0.89999999999999991</v>
      </c>
      <c r="I1120" s="4">
        <f t="shared" si="1335"/>
        <v>0.8999999999999998</v>
      </c>
      <c r="J1120" s="4">
        <f t="shared" si="1335"/>
        <v>0.89999999999999947</v>
      </c>
      <c r="K1120" s="4">
        <f t="shared" si="1335"/>
        <v>0.9</v>
      </c>
      <c r="L1120" s="4">
        <f t="shared" ref="L1120:O1120" si="1336">IFERROR(L1076/L1027,"-")</f>
        <v>0.9</v>
      </c>
      <c r="M1120" s="4">
        <f t="shared" si="1336"/>
        <v>0.90000000000000091</v>
      </c>
      <c r="N1120" s="4">
        <f t="shared" si="1336"/>
        <v>0.90000000000000058</v>
      </c>
      <c r="O1120" s="4">
        <f t="shared" si="1336"/>
        <v>0.89999999999999958</v>
      </c>
      <c r="P1120" s="4">
        <f>IFERROR(P1076/P1027,"-")</f>
        <v>0.89999999999999936</v>
      </c>
      <c r="Q1120" s="4">
        <f>IFERROR(Q1076/Q1027,"-")</f>
        <v>0.89999999999999991</v>
      </c>
      <c r="S1120" s="3"/>
    </row>
    <row r="1121" spans="2:19" x14ac:dyDescent="0.5">
      <c r="B1121" s="5" t="str">
        <f t="shared" si="1320"/>
        <v>SPS1</v>
      </c>
      <c r="C1121" s="5" t="str">
        <f t="shared" si="132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M1121" s="4">
        <v>1</v>
      </c>
      <c r="N1121" s="4">
        <v>1</v>
      </c>
      <c r="O1121" s="4">
        <v>1</v>
      </c>
      <c r="P1121" s="4">
        <v>1</v>
      </c>
      <c r="Q1121" s="4">
        <v>1</v>
      </c>
      <c r="S1121" s="3"/>
    </row>
    <row r="1122" spans="2:19" x14ac:dyDescent="0.5">
      <c r="B1122" s="5" t="str">
        <f t="shared" si="1320"/>
        <v>SPS1</v>
      </c>
      <c r="C1122" s="5" t="str">
        <f t="shared" si="132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337">IFERROR(G1080/G1039,"-")</f>
        <v>-</v>
      </c>
      <c r="H1122" s="4" t="str">
        <f t="shared" si="1337"/>
        <v>-</v>
      </c>
      <c r="I1122" s="4" t="str">
        <f t="shared" si="1337"/>
        <v>-</v>
      </c>
      <c r="J1122" s="4" t="str">
        <f t="shared" si="1337"/>
        <v>-</v>
      </c>
      <c r="K1122" s="4" t="str">
        <f t="shared" si="1337"/>
        <v>-</v>
      </c>
      <c r="L1122" s="4" t="str">
        <f t="shared" ref="L1122:O1122" si="1338">IFERROR(L1080/L1039,"-")</f>
        <v>-</v>
      </c>
      <c r="M1122" s="4" t="str">
        <f t="shared" si="1338"/>
        <v>-</v>
      </c>
      <c r="N1122" s="4" t="str">
        <f t="shared" si="1338"/>
        <v>-</v>
      </c>
      <c r="O1122" s="4" t="str">
        <f t="shared" si="1338"/>
        <v>-</v>
      </c>
      <c r="P1122" s="4" t="str">
        <f>IFERROR(P1080/P1039,"-")</f>
        <v>-</v>
      </c>
      <c r="Q1122" s="4" t="str">
        <f>IFERROR(Q1080/Q1039,"-")</f>
        <v>-</v>
      </c>
      <c r="S1122" s="3"/>
    </row>
    <row r="1123" spans="2:19" x14ac:dyDescent="0.5">
      <c r="B1123" s="5" t="str">
        <f t="shared" si="1320"/>
        <v>SPS1</v>
      </c>
      <c r="C1123" s="5" t="str">
        <f t="shared" si="1321"/>
        <v>CH</v>
      </c>
      <c r="D1123" t="s">
        <v>1123</v>
      </c>
      <c r="E1123" t="s">
        <v>240</v>
      </c>
      <c r="F1123" s="4">
        <f>IFERROR(F1084/F978,"-")</f>
        <v>0.7899999999999997</v>
      </c>
      <c r="G1123" s="4">
        <f t="shared" ref="G1123:K1124" si="1339">IFERROR(G1084/G978,"-")</f>
        <v>0.79199999999999993</v>
      </c>
      <c r="H1123" s="4">
        <f t="shared" si="1339"/>
        <v>0.79500000000000015</v>
      </c>
      <c r="I1123" s="4">
        <f t="shared" si="1339"/>
        <v>0.8000000000000006</v>
      </c>
      <c r="J1123" s="4">
        <f t="shared" si="1339"/>
        <v>0.80499999999999972</v>
      </c>
      <c r="K1123" s="4">
        <f t="shared" si="1339"/>
        <v>0.8100000000000005</v>
      </c>
      <c r="L1123" s="4">
        <f t="shared" ref="L1123:O1123" si="1340">IFERROR(L1084/L978,"-")</f>
        <v>0.81499999999999939</v>
      </c>
      <c r="M1123" s="4">
        <f t="shared" si="1340"/>
        <v>0.81999999999999895</v>
      </c>
      <c r="N1123" s="4">
        <f t="shared" si="1340"/>
        <v>0.81999999999999984</v>
      </c>
      <c r="O1123" s="4">
        <f t="shared" si="1340"/>
        <v>0.81999999999999951</v>
      </c>
      <c r="P1123" s="4">
        <f>IFERROR(P1084/P978,"-")</f>
        <v>0.82</v>
      </c>
      <c r="Q1123" s="4">
        <f>IFERROR(Q1084/Q978,"-")</f>
        <v>0.82000000000000017</v>
      </c>
      <c r="S1123" s="3"/>
    </row>
    <row r="1124" spans="2:19" x14ac:dyDescent="0.5">
      <c r="B1124" s="5" t="str">
        <f t="shared" si="1320"/>
        <v>SPS1</v>
      </c>
      <c r="C1124" s="5" t="str">
        <f t="shared" si="1321"/>
        <v>CH</v>
      </c>
      <c r="D1124" t="s">
        <v>1124</v>
      </c>
      <c r="E1124" t="s">
        <v>240</v>
      </c>
      <c r="F1124" s="4">
        <f>IFERROR(F1085/F979,"-")</f>
        <v>2.819999999999999</v>
      </c>
      <c r="G1124" s="4">
        <f t="shared" si="1339"/>
        <v>2.8260000000000014</v>
      </c>
      <c r="H1124" s="4">
        <f t="shared" si="1339"/>
        <v>2.8349999999999995</v>
      </c>
      <c r="I1124" s="4">
        <f t="shared" si="1339"/>
        <v>2.8499999999999983</v>
      </c>
      <c r="J1124" s="4">
        <f t="shared" si="1339"/>
        <v>2.9299999999999979</v>
      </c>
      <c r="K1124" s="4">
        <f t="shared" si="1339"/>
        <v>3.0100000000000007</v>
      </c>
      <c r="L1124" s="4">
        <f t="shared" ref="L1124:O1124" si="1341">IFERROR(L1085/L979,"-")</f>
        <v>3.0649999999999991</v>
      </c>
      <c r="M1124" s="4">
        <f t="shared" si="1341"/>
        <v>3.1200000000000019</v>
      </c>
      <c r="N1124" s="4">
        <f t="shared" si="1341"/>
        <v>3.1200000000000006</v>
      </c>
      <c r="O1124" s="4">
        <f t="shared" si="1341"/>
        <v>3.12</v>
      </c>
      <c r="P1124" s="4">
        <f>IFERROR(P1085/P979,"-")</f>
        <v>3.1200000000000023</v>
      </c>
      <c r="Q1124" s="4">
        <f>IFERROR(Q1085/Q979,"-")</f>
        <v>3.12</v>
      </c>
      <c r="S1124" s="3"/>
    </row>
    <row r="1125" spans="2:19" x14ac:dyDescent="0.5">
      <c r="B1125" s="5" t="str">
        <f t="shared" si="1320"/>
        <v>SPS1</v>
      </c>
      <c r="C1125" s="5" t="str">
        <f t="shared" si="1321"/>
        <v>CH</v>
      </c>
      <c r="D1125" t="s">
        <v>1104</v>
      </c>
      <c r="E1125" t="s">
        <v>240</v>
      </c>
      <c r="F1125" s="4">
        <f>IFERROR(F1087/F991,"-")</f>
        <v>0.70833333333333226</v>
      </c>
      <c r="G1125" s="4">
        <f t="shared" ref="G1125:K1125" si="1342">IFERROR(G1087/G991,"-")</f>
        <v>0.71458333333333235</v>
      </c>
      <c r="H1125" s="4">
        <f t="shared" si="1342"/>
        <v>0.7239583333333337</v>
      </c>
      <c r="I1125" s="4">
        <f t="shared" si="1342"/>
        <v>0.73958333333333226</v>
      </c>
      <c r="J1125" s="4">
        <f t="shared" si="1342"/>
        <v>0.74739583333332993</v>
      </c>
      <c r="K1125" s="4">
        <f t="shared" si="1342"/>
        <v>0.75520833333389203</v>
      </c>
      <c r="L1125" s="4">
        <f t="shared" ref="L1125:O1125" si="1343">IFERROR(L1087/L991,"-")</f>
        <v>0.75520833333330617</v>
      </c>
      <c r="M1125" s="4">
        <f t="shared" si="1343"/>
        <v>0.75520833333326021</v>
      </c>
      <c r="N1125" s="4">
        <f t="shared" si="1343"/>
        <v>0.7552083333343258</v>
      </c>
      <c r="O1125" s="4">
        <f t="shared" si="1343"/>
        <v>0.75520833333363091</v>
      </c>
      <c r="P1125" s="4">
        <f>IFERROR(P1087/P991,"-")</f>
        <v>0.75520833333309545</v>
      </c>
      <c r="Q1125" s="4">
        <f>IFERROR(Q1087/Q991,"-")</f>
        <v>0.75520833333331638</v>
      </c>
      <c r="S1125" s="3"/>
    </row>
    <row r="1126" spans="2:19" x14ac:dyDescent="0.5">
      <c r="B1126" s="5" t="str">
        <f t="shared" si="1320"/>
        <v>SPS1</v>
      </c>
      <c r="C1126" s="5" t="str">
        <f t="shared" si="1321"/>
        <v>CH</v>
      </c>
      <c r="D1126" t="s">
        <v>1105</v>
      </c>
      <c r="E1126" t="s">
        <v>240</v>
      </c>
      <c r="F1126" s="4">
        <f>IFERROR(F1089/F1007,"-")</f>
        <v>0.75000000000000089</v>
      </c>
      <c r="G1126" s="4">
        <f t="shared" ref="G1126:K1126" si="1344">IFERROR(G1089/G1007,"-")</f>
        <v>0.75399999999999801</v>
      </c>
      <c r="H1126" s="4">
        <f t="shared" si="1344"/>
        <v>0.76000000000000023</v>
      </c>
      <c r="I1126" s="4">
        <f t="shared" si="1344"/>
        <v>0.77007833427844563</v>
      </c>
      <c r="J1126" s="4">
        <f t="shared" si="1344"/>
        <v>0.7852281805391339</v>
      </c>
      <c r="K1126" s="4">
        <f t="shared" si="1344"/>
        <v>0.81774377561621403</v>
      </c>
      <c r="L1126" s="4">
        <f t="shared" ref="L1126:O1126" si="1345">IFERROR(L1089/L1007,"-")</f>
        <v>0.93177549347418931</v>
      </c>
      <c r="M1126" s="4">
        <f t="shared" si="1345"/>
        <v>1.1530723959940949</v>
      </c>
      <c r="N1126" s="4">
        <f t="shared" si="1345"/>
        <v>0.92900607279857039</v>
      </c>
      <c r="O1126" s="4">
        <f t="shared" si="1345"/>
        <v>0.98119297856798038</v>
      </c>
      <c r="P1126" s="4">
        <f>IFERROR(P1089/P1007,"-")</f>
        <v>0.92074413745854256</v>
      </c>
      <c r="Q1126" s="4">
        <f>IFERROR(Q1089/Q1007,"-")</f>
        <v>0.91735302726655654</v>
      </c>
      <c r="S1126" s="3"/>
    </row>
    <row r="1127" spans="2:19" x14ac:dyDescent="0.5">
      <c r="B1127" s="5" t="str">
        <f t="shared" si="1320"/>
        <v>SPS1</v>
      </c>
      <c r="C1127" s="5" t="str">
        <f t="shared" si="132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346">IFERROR(G1090/G1008,"-")</f>
        <v>-</v>
      </c>
      <c r="H1127" s="4">
        <f t="shared" si="1346"/>
        <v>1.7010000000000007</v>
      </c>
      <c r="I1127" s="4">
        <f t="shared" si="1346"/>
        <v>1.7099999999999997</v>
      </c>
      <c r="J1127" s="4">
        <f t="shared" si="1346"/>
        <v>1.7579999999999985</v>
      </c>
      <c r="K1127" s="4">
        <f t="shared" si="1346"/>
        <v>1.8060000000000003</v>
      </c>
      <c r="L1127" s="4">
        <f t="shared" ref="L1127:O1127" si="1347">IFERROR(L1090/L1008,"-")</f>
        <v>1.8389999999999986</v>
      </c>
      <c r="M1127" s="4">
        <f t="shared" si="1347"/>
        <v>1.8720000000000008</v>
      </c>
      <c r="N1127" s="4">
        <f t="shared" si="1347"/>
        <v>1.8720000000000014</v>
      </c>
      <c r="O1127" s="4">
        <f t="shared" si="1347"/>
        <v>1.8720000000000001</v>
      </c>
      <c r="P1127" s="4">
        <f>IFERROR(P1090/P1008,"-")</f>
        <v>1.8720000000000017</v>
      </c>
      <c r="Q1127" s="4">
        <f>IFERROR(Q1090/Q1008,"-")</f>
        <v>1.872000000000001</v>
      </c>
      <c r="S1127" s="3"/>
    </row>
    <row r="1128" spans="2:19" x14ac:dyDescent="0.5">
      <c r="B1128" s="5" t="str">
        <f t="shared" si="1320"/>
        <v>SPS1</v>
      </c>
      <c r="C1128" s="5" t="str">
        <f t="shared" si="132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M1128" s="4">
        <v>0.79</v>
      </c>
      <c r="N1128" s="4">
        <v>0.79</v>
      </c>
      <c r="O1128" s="4">
        <v>0.79</v>
      </c>
      <c r="P1128" s="4">
        <v>0.79</v>
      </c>
      <c r="Q1128" s="4">
        <v>0.79</v>
      </c>
      <c r="S1128" s="3"/>
    </row>
    <row r="1129" spans="2:19" x14ac:dyDescent="0.5">
      <c r="B1129" s="5" t="str">
        <f t="shared" si="1320"/>
        <v>SPS1</v>
      </c>
      <c r="C1129" s="5" t="str">
        <f t="shared" si="132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M1129" s="4">
        <v>0.79</v>
      </c>
      <c r="N1129" s="4">
        <v>0.79</v>
      </c>
      <c r="O1129" s="4">
        <v>0.79</v>
      </c>
      <c r="P1129" s="4">
        <v>0.79</v>
      </c>
      <c r="Q1129" s="4">
        <v>0.79</v>
      </c>
      <c r="S1129" s="3"/>
    </row>
    <row r="1130" spans="2:19" x14ac:dyDescent="0.5">
      <c r="B1130" s="5" t="str">
        <f t="shared" si="1320"/>
        <v>SPS1</v>
      </c>
      <c r="C1130" s="5" t="str">
        <f t="shared" si="132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M1130" s="4">
        <v>0.79</v>
      </c>
      <c r="N1130" s="4">
        <v>0.79</v>
      </c>
      <c r="O1130" s="4">
        <v>0.79</v>
      </c>
      <c r="P1130" s="4">
        <v>0.79</v>
      </c>
      <c r="Q1130" s="4">
        <v>0.79</v>
      </c>
      <c r="S1130" s="3"/>
    </row>
    <row r="1131" spans="2:19" x14ac:dyDescent="0.5">
      <c r="B1131" s="5" t="str">
        <f t="shared" si="1320"/>
        <v>SPS1</v>
      </c>
      <c r="C1131" s="5" t="str">
        <f t="shared" si="132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M1131" s="4">
        <v>0.79</v>
      </c>
      <c r="N1131" s="4">
        <v>0.79</v>
      </c>
      <c r="O1131" s="4">
        <v>0.79</v>
      </c>
      <c r="P1131" s="4">
        <v>0.79</v>
      </c>
      <c r="Q1131" s="4">
        <v>0.79</v>
      </c>
      <c r="S1131" s="3"/>
    </row>
    <row r="1132" spans="2:19" x14ac:dyDescent="0.5">
      <c r="B1132" s="5" t="str">
        <f t="shared" si="1320"/>
        <v>SPS1</v>
      </c>
      <c r="C1132" s="5" t="str">
        <f t="shared" si="1321"/>
        <v>CH</v>
      </c>
      <c r="D1132" t="s">
        <v>1111</v>
      </c>
      <c r="E1132" t="s">
        <v>240</v>
      </c>
      <c r="F1132" s="4">
        <f>IFERROR(F1100/F1024,"-")</f>
        <v>0.50000000000000078</v>
      </c>
      <c r="G1132" s="4">
        <f t="shared" ref="G1132:K1132" si="1348">IFERROR(G1100/G1024,"-")</f>
        <v>0.49999999999999944</v>
      </c>
      <c r="H1132" s="4">
        <f t="shared" si="1348"/>
        <v>0.50000000000000056</v>
      </c>
      <c r="I1132" s="4">
        <f t="shared" si="1348"/>
        <v>0.50000000000000056</v>
      </c>
      <c r="J1132" s="4">
        <f t="shared" si="1348"/>
        <v>0.49999999999999939</v>
      </c>
      <c r="K1132" s="4">
        <f t="shared" si="1348"/>
        <v>0.50000000000000089</v>
      </c>
      <c r="L1132" s="4">
        <f t="shared" ref="L1132:O1132" si="1349">IFERROR(L1100/L1024,"-")</f>
        <v>0.50000000000000111</v>
      </c>
      <c r="M1132" s="4">
        <f t="shared" si="1349"/>
        <v>0.50000000000000022</v>
      </c>
      <c r="N1132" s="4">
        <f t="shared" si="1349"/>
        <v>0.49999999999999906</v>
      </c>
      <c r="O1132" s="4">
        <f t="shared" si="1349"/>
        <v>0.50000000000000089</v>
      </c>
      <c r="P1132" s="4">
        <f>IFERROR(P1100/P1024,"-")</f>
        <v>0.49999999999999967</v>
      </c>
      <c r="Q1132" s="4">
        <f>IFERROR(Q1100/Q1024,"-")</f>
        <v>0.50000000000000067</v>
      </c>
      <c r="S1132" s="3"/>
    </row>
    <row r="1133" spans="2:19" x14ac:dyDescent="0.5">
      <c r="B1133" s="5" t="str">
        <f t="shared" si="1320"/>
        <v>SPS1</v>
      </c>
      <c r="C1133" s="5" t="str">
        <f t="shared" si="1321"/>
        <v>CH</v>
      </c>
      <c r="D1133" t="s">
        <v>1112</v>
      </c>
      <c r="E1133" t="s">
        <v>240</v>
      </c>
      <c r="F1133" s="4">
        <f>IFERROR(F1102/F1029,"-")</f>
        <v>0.62500000000000078</v>
      </c>
      <c r="G1133" s="4">
        <f t="shared" ref="G1133:K1133" si="1350">IFERROR(G1102/G1029,"-")</f>
        <v>0.62500000000000056</v>
      </c>
      <c r="H1133" s="4">
        <f t="shared" si="1350"/>
        <v>0.62500000000000056</v>
      </c>
      <c r="I1133" s="4">
        <f t="shared" si="1350"/>
        <v>0.62500000000000144</v>
      </c>
      <c r="J1133" s="4">
        <f t="shared" si="1350"/>
        <v>0.62500000000000056</v>
      </c>
      <c r="K1133" s="4">
        <f t="shared" si="1350"/>
        <v>0.62500000000000067</v>
      </c>
      <c r="L1133" s="4">
        <f t="shared" ref="L1133:O1133" si="1351">IFERROR(L1102/L1029,"-")</f>
        <v>0.62500000000000044</v>
      </c>
      <c r="M1133" s="4">
        <f t="shared" si="1351"/>
        <v>0.62499999999999967</v>
      </c>
      <c r="N1133" s="4">
        <f t="shared" si="1351"/>
        <v>0.62499999999999878</v>
      </c>
      <c r="O1133" s="4">
        <f t="shared" si="1351"/>
        <v>0.62499999999999922</v>
      </c>
      <c r="P1133" s="4">
        <f>IFERROR(P1102/P1029,"-")</f>
        <v>0.625000000000001</v>
      </c>
      <c r="Q1133" s="4">
        <f>IFERROR(Q1102/Q1029,"-")</f>
        <v>0.62500000000000067</v>
      </c>
      <c r="S1133" s="3"/>
    </row>
    <row r="1134" spans="2:19" x14ac:dyDescent="0.5">
      <c r="B1134" s="5" t="str">
        <f t="shared" si="1320"/>
        <v>SPS1</v>
      </c>
      <c r="C1134" s="5" t="str">
        <f t="shared" si="132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M1134" s="4">
        <v>1</v>
      </c>
      <c r="N1134" s="4">
        <v>1</v>
      </c>
      <c r="O1134" s="4">
        <v>1</v>
      </c>
      <c r="P1134" s="4">
        <v>1</v>
      </c>
      <c r="Q1134" s="4">
        <v>1</v>
      </c>
      <c r="S1134" s="3"/>
    </row>
    <row r="1135" spans="2:19" x14ac:dyDescent="0.5">
      <c r="B1135" s="5" t="str">
        <f t="shared" si="1320"/>
        <v>SPS1</v>
      </c>
      <c r="C1135" s="5" t="str">
        <f t="shared" si="132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352">IFERROR(G1106/G1041,"-")</f>
        <v>-</v>
      </c>
      <c r="H1135" s="4" t="str">
        <f t="shared" si="1352"/>
        <v>-</v>
      </c>
      <c r="I1135" s="4" t="str">
        <f t="shared" si="1352"/>
        <v>-</v>
      </c>
      <c r="J1135" s="4" t="str">
        <f t="shared" si="1352"/>
        <v>-</v>
      </c>
      <c r="K1135" s="4" t="str">
        <f t="shared" si="1352"/>
        <v>-</v>
      </c>
      <c r="L1135" s="4" t="str">
        <f t="shared" ref="L1135:O1135" si="1353">IFERROR(L1106/L1041,"-")</f>
        <v>-</v>
      </c>
      <c r="M1135" s="4" t="str">
        <f t="shared" si="1353"/>
        <v>-</v>
      </c>
      <c r="N1135" s="4" t="str">
        <f t="shared" si="1353"/>
        <v>-</v>
      </c>
      <c r="O1135" s="4" t="str">
        <f t="shared" si="1353"/>
        <v>-</v>
      </c>
      <c r="P1135" s="4" t="str">
        <f>IFERROR(P1106/P1041,"-")</f>
        <v>-</v>
      </c>
      <c r="Q1135" s="4" t="str">
        <f>IFERROR(Q1106/Q1041,"-")</f>
        <v>-</v>
      </c>
      <c r="S1135" s="3"/>
    </row>
    <row r="1136" spans="2:19" x14ac:dyDescent="0.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354">F1137+F1152+F1157+F1180+F1203</f>
        <v>139.15355488831005</v>
      </c>
      <c r="G1136" s="3">
        <f t="shared" si="1354"/>
        <v>135.53529553274407</v>
      </c>
      <c r="H1136" s="3">
        <f t="shared" si="1354"/>
        <v>129.01951603494282</v>
      </c>
      <c r="I1136" s="3">
        <f t="shared" si="1354"/>
        <v>90.063386833823003</v>
      </c>
      <c r="J1136" s="3">
        <f t="shared" si="1354"/>
        <v>62.008278171882658</v>
      </c>
      <c r="K1136" s="3">
        <f t="shared" si="1354"/>
        <v>51.738174440394943</v>
      </c>
      <c r="L1136" s="3">
        <f t="shared" ref="L1136:O1136" si="1355">L1137+L1152+L1157+L1180+L1203</f>
        <v>48.652022866927254</v>
      </c>
      <c r="M1136" s="3">
        <f t="shared" si="1355"/>
        <v>41.765957884750023</v>
      </c>
      <c r="N1136" s="3">
        <f t="shared" si="1355"/>
        <v>38.618400105470229</v>
      </c>
      <c r="O1136" s="3">
        <f t="shared" si="1355"/>
        <v>37.48996741466128</v>
      </c>
      <c r="P1136" s="3">
        <f>P1137+P1152+P1157+P1180+P1203</f>
        <v>36.109932488744938</v>
      </c>
      <c r="Q1136" s="3">
        <f>Q1137+Q1152+Q1157+Q1180+Q1203</f>
        <v>35.88836750794917</v>
      </c>
      <c r="S1136" s="3"/>
    </row>
    <row r="1137" spans="2:19" x14ac:dyDescent="0.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0.73864444024363929</v>
      </c>
      <c r="G1137" s="1">
        <f t="shared" ref="G1137:K1137" si="1356">SUM(G1138:G1151)</f>
        <v>1.6389910924738111</v>
      </c>
      <c r="H1137" s="1">
        <f t="shared" si="1356"/>
        <v>4.3131904742295717</v>
      </c>
      <c r="I1137" s="1">
        <f t="shared" si="1356"/>
        <v>18.570117296529393</v>
      </c>
      <c r="J1137" s="1">
        <f t="shared" si="1356"/>
        <v>33.161866684614019</v>
      </c>
      <c r="K1137" s="1">
        <f t="shared" si="1356"/>
        <v>37.895980079771604</v>
      </c>
      <c r="L1137" s="1">
        <f t="shared" ref="L1137:O1137" si="1357">SUM(L1138:L1151)</f>
        <v>37.580073210815058</v>
      </c>
      <c r="M1137" s="1">
        <f t="shared" si="1357"/>
        <v>38.503372559740242</v>
      </c>
      <c r="N1137" s="1">
        <f t="shared" si="1357"/>
        <v>36.318557371727501</v>
      </c>
      <c r="O1137" s="1">
        <f t="shared" si="1357"/>
        <v>35.197982044907661</v>
      </c>
      <c r="P1137" s="1">
        <f>SUM(P1138:P1151)</f>
        <v>34.019567185042789</v>
      </c>
      <c r="Q1137" s="1">
        <f>SUM(Q1138:Q1151)</f>
        <v>34.116960822919921</v>
      </c>
      <c r="S1137" s="3"/>
    </row>
    <row r="1138" spans="2:19" x14ac:dyDescent="0.5">
      <c r="B1138" s="5" t="str">
        <f t="shared" ref="B1138:B1217" si="1358">B1137</f>
        <v>SPS1</v>
      </c>
      <c r="C1138" s="5" t="str">
        <f t="shared" ref="C1138:C1217" si="135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0.4678899196482677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0.3768883007777547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0.26222049940345415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0.11309535826273021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M1138" s="1" cm="1">
        <f t="array" ref="M1138">SUMPRODUCT(("T_C-BATELCEXT"=[1]OUT_TransportEnergyCons!$A$3:$A$1000)*1,("Var_Fin"=[1]OUT_TransportEnergyCons!$B$3:$B$1000)*1,ISNUMBER(SEARCH("ELC",[1]OUT_TransportEnergyCons!$C$3:$C$1000))*1,[1]OUT_TransportEnergyCons!K$3:K$1000)</f>
        <v>0</v>
      </c>
      <c r="N1138" s="1" cm="1">
        <f t="array" ref="N1138">SUMPRODUCT(("T_C-BATELCEXT"=[1]OUT_TransportEnergyCons!$A$3:$A$1000)*1,("Var_Fin"=[1]OUT_TransportEnergyCons!$B$3:$B$1000)*1,ISNUMBER(SEARCH("ELC",[1]OUT_TransportEnergyCons!$C$3:$C$1000))*1,[1]OUT_TransportEnergyCons!L$3:L$1000)</f>
        <v>0</v>
      </c>
      <c r="O1138" s="1" cm="1">
        <f t="array" ref="O1138">SUMPRODUCT(("T_C-BATELCEXT"=[1]OUT_TransportEnergyCons!$A$3:$A$1000)*1,("Var_Fin"=[1]OUT_TransportEnergyCons!$B$3:$B$1000)*1,ISNUMBER(SEARCH("ELC",[1]OUT_TransportEnergyCons!$C$3:$C$1000))*1,[1]OUT_TransportEnergyCons!M$3:M$1000)</f>
        <v>0</v>
      </c>
      <c r="P1138" s="1" cm="1">
        <f t="array" ref="P1138">SUMPRODUCT(("T_C-BATELCEXT"=[1]OUT_TransportEnergyCons!$A$3:$A$1000)*1,("Var_Fin"=[1]OUT_TransportEnergyCons!$B$3:$B$1000)*1,ISNUMBER(SEARCH("ELC",[1]OUT_TransportEnergyCons!$C$3:$C$1000))*1,[1]OUT_TransportEnergyCons!N$3:N$1000)</f>
        <v>0</v>
      </c>
      <c r="Q1138" s="1" cm="1">
        <f t="array" ref="Q1138">SUMPRODUCT(("T_C-BATELCEXT"=[1]OUT_TransportEnergyCons!$A$3:$A$1000)*1,("Var_Fin"=[1]OUT_TransportEnergyCons!$B$3:$B$1000)*1,ISNUMBER(SEARCH("ELC",[1]OUT_TransportEnergyCons!$C$3:$C$1000))*1,[1]OUT_TransportEnergyCons!O$3:O$1000)</f>
        <v>0</v>
      </c>
      <c r="S1138" s="3"/>
    </row>
    <row r="1139" spans="2:19" x14ac:dyDescent="0.5">
      <c r="B1139" s="5" t="str">
        <f t="shared" si="1358"/>
        <v>SPS1</v>
      </c>
      <c r="C1139" s="5" t="str">
        <f t="shared" si="135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7.6819204528783425E-3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1.4498215695559034E-2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1.3830432446769656E-2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0.52741253327618809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1.0111351822581274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1.2046056325746939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1.2002635617383521</v>
      </c>
      <c r="M1139" s="1" cm="1">
        <f t="array" ref="M1139">SUMPRODUCT(("T_C-BAT-ELC-S1"=[1]OUT_TransportEnergyCons!$A$3:$A$1000)*1,("Var_Fin"=[1]OUT_TransportEnergyCons!$B$3:$B$1000)*1,ISNUMBER(SEARCH("ELC",[1]OUT_TransportEnergyCons!$C$3:$C$1000))*1,[1]OUT_TransportEnergyCons!K$3:K$1000)</f>
        <v>1.1551475867256127</v>
      </c>
      <c r="N1139" s="1" cm="1">
        <f t="array" ref="N1139">SUMPRODUCT(("T_C-BAT-ELC-S1"=[1]OUT_TransportEnergyCons!$A$3:$A$1000)*1,("Var_Fin"=[1]OUT_TransportEnergyCons!$B$3:$B$1000)*1,ISNUMBER(SEARCH("ELC",[1]OUT_TransportEnergyCons!$C$3:$C$1000))*1,[1]OUT_TransportEnergyCons!L$3:L$1000)</f>
        <v>1.0993251565019173</v>
      </c>
      <c r="O1139" s="1" cm="1">
        <f t="array" ref="O1139">SUMPRODUCT(("T_C-BAT-ELC-S1"=[1]OUT_TransportEnergyCons!$A$3:$A$1000)*1,("Var_Fin"=[1]OUT_TransportEnergyCons!$B$3:$B$1000)*1,ISNUMBER(SEARCH("ELC",[1]OUT_TransportEnergyCons!$C$3:$C$1000))*1,[1]OUT_TransportEnergyCons!M$3:M$1000)</f>
        <v>1.0438092594186554</v>
      </c>
      <c r="P1139" s="1" cm="1">
        <f t="array" ref="P1139">SUMPRODUCT(("T_C-BAT-ELC-S1"=[1]OUT_TransportEnergyCons!$A$3:$A$1000)*1,("Var_Fin"=[1]OUT_TransportEnergyCons!$B$3:$B$1000)*1,ISNUMBER(SEARCH("ELC",[1]OUT_TransportEnergyCons!$C$3:$C$1000))*1,[1]OUT_TransportEnergyCons!N$3:N$1000)</f>
        <v>1.0094138062145639</v>
      </c>
      <c r="Q1139" s="1" cm="1">
        <f t="array" ref="Q1139">SUMPRODUCT(("T_C-BAT-ELC-S1"=[1]OUT_TransportEnergyCons!$A$3:$A$1000)*1,("Var_Fin"=[1]OUT_TransportEnergyCons!$B$3:$B$1000)*1,ISNUMBER(SEARCH("ELC",[1]OUT_TransportEnergyCons!$C$3:$C$1000))*1,[1]OUT_TransportEnergyCons!O$3:O$1000)</f>
        <v>0.99179144271589292</v>
      </c>
      <c r="S1139" s="3"/>
    </row>
    <row r="1140" spans="2:19" x14ac:dyDescent="0.5">
      <c r="B1140" s="5" t="str">
        <f t="shared" si="1358"/>
        <v>SPS1</v>
      </c>
      <c r="C1140" s="5" t="str">
        <f t="shared" si="135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6.6206762266345018E-2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0.10320970683678865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1.0404542607628915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5.7979853070587755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11.031889053655481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11.75562159964324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11.277448648801409</v>
      </c>
      <c r="M1140" s="1" cm="1">
        <f t="array" ref="M1140">SUMPRODUCT(("T_C-BAT-ELC-S2"=[1]OUT_TransportEnergyCons!$A$3:$A$1000)*1,("Var_Fin"=[1]OUT_TransportEnergyCons!$B$3:$B$1000)*1,ISNUMBER(SEARCH("ELC",[1]OUT_TransportEnergyCons!$C$3:$C$1000))*1,[1]OUT_TransportEnergyCons!K$3:K$1000)</f>
        <v>10.390235654385144</v>
      </c>
      <c r="N1140" s="1" cm="1">
        <f t="array" ref="N1140">SUMPRODUCT(("T_C-BAT-ELC-S2"=[1]OUT_TransportEnergyCons!$A$3:$A$1000)*1,("Var_Fin"=[1]OUT_TransportEnergyCons!$B$3:$B$1000)*1,ISNUMBER(SEARCH("ELC",[1]OUT_TransportEnergyCons!$C$3:$C$1000))*1,[1]OUT_TransportEnergyCons!L$3:L$1000)</f>
        <v>9.9585672899149404</v>
      </c>
      <c r="O1140" s="1" cm="1">
        <f t="array" ref="O1140">SUMPRODUCT(("T_C-BAT-ELC-S2"=[1]OUT_TransportEnergyCons!$A$3:$A$1000)*1,("Var_Fin"=[1]OUT_TransportEnergyCons!$B$3:$B$1000)*1,ISNUMBER(SEARCH("ELC",[1]OUT_TransportEnergyCons!$C$3:$C$1000))*1,[1]OUT_TransportEnergyCons!M$3:M$1000)</f>
        <v>9.4417269820958492</v>
      </c>
      <c r="P1140" s="1" cm="1">
        <f t="array" ref="P1140">SUMPRODUCT(("T_C-BAT-ELC-S2"=[1]OUT_TransportEnergyCons!$A$3:$A$1000)*1,("Var_Fin"=[1]OUT_TransportEnergyCons!$B$3:$B$1000)*1,ISNUMBER(SEARCH("ELC",[1]OUT_TransportEnergyCons!$C$3:$C$1000))*1,[1]OUT_TransportEnergyCons!N$3:N$1000)</f>
        <v>9.0804552800163769</v>
      </c>
      <c r="Q1140" s="1" cm="1">
        <f t="array" ref="Q1140">SUMPRODUCT(("T_C-BAT-ELC-S2"=[1]OUT_TransportEnergyCons!$A$3:$A$1000)*1,("Var_Fin"=[1]OUT_TransportEnergyCons!$B$3:$B$1000)*1,ISNUMBER(SEARCH("ELC",[1]OUT_TransportEnergyCons!$C$3:$C$1000))*1,[1]OUT_TransportEnergyCons!O$3:O$1000)</f>
        <v>8.9252255285514366</v>
      </c>
      <c r="S1140" s="3"/>
    </row>
    <row r="1141" spans="2:19" x14ac:dyDescent="0.5">
      <c r="B1141" s="5" t="str">
        <f t="shared" si="1358"/>
        <v>SPS1</v>
      </c>
      <c r="C1141" s="5" t="str">
        <f t="shared" si="135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4.5980760671096813E-2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9.5119716906530399E-2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0.10687940935638822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9.0106805474178181E-2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0.61580187711824697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4.0568682047197333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3.5954927227698397</v>
      </c>
      <c r="M1141" s="1" cm="1">
        <f t="array" ref="M1141">SUMPRODUCT(("T_C-BAT-ELC-S3"=[1]OUT_TransportEnergyCons!$A$3:$A$1000)*1,("Var_Fin"=[1]OUT_TransportEnergyCons!$B$3:$B$1000)*1,ISNUMBER(SEARCH("ELC",[1]OUT_TransportEnergyCons!$C$3:$C$1000))*1,[1]OUT_TransportEnergyCons!K$3:K$1000)</f>
        <v>7.7980217318685243</v>
      </c>
      <c r="N1141" s="1" cm="1">
        <f t="array" ref="N1141">SUMPRODUCT(("T_C-BAT-ELC-S3"=[1]OUT_TransportEnergyCons!$A$3:$A$1000)*1,("Var_Fin"=[1]OUT_TransportEnergyCons!$B$3:$B$1000)*1,ISNUMBER(SEARCH("ELC",[1]OUT_TransportEnergyCons!$C$3:$C$1000))*1,[1]OUT_TransportEnergyCons!L$3:L$1000)</f>
        <v>8.3755731067336416</v>
      </c>
      <c r="O1141" s="1" cm="1">
        <f t="array" ref="O1141">SUMPRODUCT(("T_C-BAT-ELC-S3"=[1]OUT_TransportEnergyCons!$A$3:$A$1000)*1,("Var_Fin"=[1]OUT_TransportEnergyCons!$B$3:$B$1000)*1,ISNUMBER(SEARCH("ELC",[1]OUT_TransportEnergyCons!$C$3:$C$1000))*1,[1]OUT_TransportEnergyCons!M$3:M$1000)</f>
        <v>9.66835785078543</v>
      </c>
      <c r="P1141" s="1" cm="1">
        <f t="array" ref="P1141">SUMPRODUCT(("T_C-BAT-ELC-S3"=[1]OUT_TransportEnergyCons!$A$3:$A$1000)*1,("Var_Fin"=[1]OUT_TransportEnergyCons!$B$3:$B$1000)*1,ISNUMBER(SEARCH("ELC",[1]OUT_TransportEnergyCons!$C$3:$C$1000))*1,[1]OUT_TransportEnergyCons!N$3:N$1000)</f>
        <v>13.044816785557822</v>
      </c>
      <c r="Q1141" s="1" cm="1">
        <f t="array" ref="Q1141">SUMPRODUCT(("T_C-BAT-ELC-S3"=[1]OUT_TransportEnergyCons!$A$3:$A$1000)*1,("Var_Fin"=[1]OUT_TransportEnergyCons!$B$3:$B$1000)*1,ISNUMBER(SEARCH("ELC",[1]OUT_TransportEnergyCons!$C$3:$C$1000))*1,[1]OUT_TransportEnergyCons!O$3:O$1000)</f>
        <v>10.73823308204058</v>
      </c>
      <c r="S1141" s="3"/>
    </row>
    <row r="1142" spans="2:19" x14ac:dyDescent="0.5">
      <c r="B1142" s="5" t="str">
        <f t="shared" si="1358"/>
        <v>SPS1</v>
      </c>
      <c r="C1142" s="5" t="str">
        <f t="shared" si="135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0.1499482230926121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0.97694591335071745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2.5880879003324395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9.8028624569287253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15.457382700988093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16.444691110403525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16.058636479638732</v>
      </c>
      <c r="M1142" s="1" cm="1">
        <f t="array" ref="M1142">SUMPRODUCT(("T_C-BAT-ELC-S4"=[1]OUT_TransportEnergyCons!$A$3:$A$1000)*1,("Var_Fin"=[1]OUT_TransportEnergyCons!$B$3:$B$1000)*1,ISNUMBER(SEARCH("ELC",[1]OUT_TransportEnergyCons!$C$3:$C$1000))*1,[1]OUT_TransportEnergyCons!K$3:K$1000)</f>
        <v>15.565754277013783</v>
      </c>
      <c r="N1142" s="1" cm="1">
        <f t="array" ref="N1142">SUMPRODUCT(("T_C-BAT-ELC-S4"=[1]OUT_TransportEnergyCons!$A$3:$A$1000)*1,("Var_Fin"=[1]OUT_TransportEnergyCons!$B$3:$B$1000)*1,ISNUMBER(SEARCH("ELC",[1]OUT_TransportEnergyCons!$C$3:$C$1000))*1,[1]OUT_TransportEnergyCons!L$3:L$1000)</f>
        <v>13.966332694512737</v>
      </c>
      <c r="O1142" s="1" cm="1">
        <f t="array" ref="O1142">SUMPRODUCT(("T_C-BAT-ELC-S4"=[1]OUT_TransportEnergyCons!$A$3:$A$1000)*1,("Var_Fin"=[1]OUT_TransportEnergyCons!$B$3:$B$1000)*1,ISNUMBER(SEARCH("ELC",[1]OUT_TransportEnergyCons!$C$3:$C$1000))*1,[1]OUT_TransportEnergyCons!M$3:M$1000)</f>
        <v>11.668344816448917</v>
      </c>
      <c r="P1142" s="1" cm="1">
        <f t="array" ref="P1142">SUMPRODUCT(("T_C-BAT-ELC-S4"=[1]OUT_TransportEnergyCons!$A$3:$A$1000)*1,("Var_Fin"=[1]OUT_TransportEnergyCons!$B$3:$B$1000)*1,ISNUMBER(SEARCH("ELC",[1]OUT_TransportEnergyCons!$C$3:$C$1000))*1,[1]OUT_TransportEnergyCons!N$3:N$1000)</f>
        <v>7.4366633153202271</v>
      </c>
      <c r="Q1142" s="1" cm="1">
        <f t="array" ref="Q1142">SUMPRODUCT(("T_C-BAT-ELC-S4"=[1]OUT_TransportEnergyCons!$A$3:$A$1000)*1,("Var_Fin"=[1]OUT_TransportEnergyCons!$B$3:$B$1000)*1,ISNUMBER(SEARCH("ELC",[1]OUT_TransportEnergyCons!$C$3:$C$1000))*1,[1]OUT_TransportEnergyCons!O$3:O$1000)</f>
        <v>9.8765047980342988</v>
      </c>
      <c r="S1142" s="3"/>
    </row>
    <row r="1143" spans="2:19" x14ac:dyDescent="0.5">
      <c r="B1143" s="5" t="str">
        <f t="shared" si="1358"/>
        <v>SPS1</v>
      </c>
      <c r="C1143" s="5" t="str">
        <f t="shared" si="135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3.1905977975890422E-5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4.9861300200831515E-5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9.3544761724141741E-5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1.0816526006863014E-4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8.0700400340416481E-5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8.5568055486112034E-5</v>
      </c>
      <c r="M1143" s="1" cm="1">
        <f t="array" ref="M1143">SUMPRODUCT(("T-Plg-elc-gsl_S1"=[1]OUT_TransportEnergyCons!$A$3:$A$1000)*1,("Var_Fin"=[1]OUT_TransportEnergyCons!$B$3:$B$1000)*1,ISNUMBER(SEARCH("ELC",[1]OUT_TransportEnergyCons!$C$3:$C$1000))*1,[1]OUT_TransportEnergyCons!K$3:K$1000)</f>
        <v>5.4619546262220096E-5</v>
      </c>
      <c r="N1143" s="1" cm="1">
        <f t="array" ref="N1143">SUMPRODUCT(("T-Plg-elc-gsl_S1"=[1]OUT_TransportEnergyCons!$A$3:$A$1000)*1,("Var_Fin"=[1]OUT_TransportEnergyCons!$B$3:$B$1000)*1,ISNUMBER(SEARCH("ELC",[1]OUT_TransportEnergyCons!$C$3:$C$1000))*1,[1]OUT_TransportEnergyCons!L$3:L$1000)</f>
        <v>4.2684117990180755E-4</v>
      </c>
      <c r="O1143" s="1" cm="1">
        <f t="array" ref="O1143">SUMPRODUCT(("T-Plg-elc-gsl_S1"=[1]OUT_TransportEnergyCons!$A$3:$A$1000)*1,("Var_Fin"=[1]OUT_TransportEnergyCons!$B$3:$B$1000)*1,ISNUMBER(SEARCH("ELC",[1]OUT_TransportEnergyCons!$C$3:$C$1000))*1,[1]OUT_TransportEnergyCons!M$3:M$1000)</f>
        <v>6.8907462337561439E-4</v>
      </c>
      <c r="P1143" s="1" cm="1">
        <f t="array" ref="P1143">SUMPRODUCT(("T-Plg-elc-gsl_S1"=[1]OUT_TransportEnergyCons!$A$3:$A$1000)*1,("Var_Fin"=[1]OUT_TransportEnergyCons!$B$3:$B$1000)*1,ISNUMBER(SEARCH("ELC",[1]OUT_TransportEnergyCons!$C$3:$C$1000))*1,[1]OUT_TransportEnergyCons!N$3:N$1000)</f>
        <v>8.4393601277004651E-4</v>
      </c>
      <c r="Q1143" s="1" cm="1">
        <f t="array" ref="Q1143">SUMPRODUCT(("T-Plg-elc-gsl_S1"=[1]OUT_TransportEnergyCons!$A$3:$A$1000)*1,("Var_Fin"=[1]OUT_TransportEnergyCons!$B$3:$B$1000)*1,ISNUMBER(SEARCH("ELC",[1]OUT_TransportEnergyCons!$C$3:$C$1000))*1,[1]OUT_TransportEnergyCons!O$3:O$1000)</f>
        <v>1.0093507550557102E-3</v>
      </c>
      <c r="S1143" s="3"/>
    </row>
    <row r="1144" spans="2:19" x14ac:dyDescent="0.5">
      <c r="B1144" s="5" t="str">
        <f t="shared" si="1358"/>
        <v>SPS1</v>
      </c>
      <c r="C1144" s="5" t="str">
        <f t="shared" si="135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9.3685411243930265E-4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6.4420856103598585E-4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1.1569102136811257E-3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1.4455162852098893E-3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1.8848726401129092E-3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3.3417429955143028E-4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3.4442130670474914E-4</v>
      </c>
      <c r="M1144" s="1" cm="1">
        <f t="array" ref="M1144">SUMPRODUCT(("T-Plg-elc-gsl_S2"=[1]OUT_TransportEnergyCons!$A$3:$A$1000)*1,("Var_Fin"=[1]OUT_TransportEnergyCons!$B$3:$B$1000)*1,ISNUMBER(SEARCH("ELC",[1]OUT_TransportEnergyCons!$C$3:$C$1000))*1,[1]OUT_TransportEnergyCons!K$3:K$1000)</f>
        <v>3.0265335920989973E-4</v>
      </c>
      <c r="N1144" s="1" cm="1">
        <f t="array" ref="N1144">SUMPRODUCT(("T-Plg-elc-gsl_S2"=[1]OUT_TransportEnergyCons!$A$3:$A$1000)*1,("Var_Fin"=[1]OUT_TransportEnergyCons!$B$3:$B$1000)*1,ISNUMBER(SEARCH("ELC",[1]OUT_TransportEnergyCons!$C$3:$C$1000))*1,[1]OUT_TransportEnergyCons!L$3:L$1000)</f>
        <v>2.1730068728656716E-3</v>
      </c>
      <c r="O1144" s="1" cm="1">
        <f t="array" ref="O1144">SUMPRODUCT(("T-Plg-elc-gsl_S2"=[1]OUT_TransportEnergyCons!$A$3:$A$1000)*1,("Var_Fin"=[1]OUT_TransportEnergyCons!$B$3:$B$1000)*1,ISNUMBER(SEARCH("ELC",[1]OUT_TransportEnergyCons!$C$3:$C$1000))*1,[1]OUT_TransportEnergyCons!M$3:M$1000)</f>
        <v>2.1596146442597938E-3</v>
      </c>
      <c r="P1144" s="1" cm="1">
        <f t="array" ref="P1144">SUMPRODUCT(("T-Plg-elc-gsl_S2"=[1]OUT_TransportEnergyCons!$A$3:$A$1000)*1,("Var_Fin"=[1]OUT_TransportEnergyCons!$B$3:$B$1000)*1,ISNUMBER(SEARCH("ELC",[1]OUT_TransportEnergyCons!$C$3:$C$1000))*1,[1]OUT_TransportEnergyCons!N$3:N$1000)</f>
        <v>1.774158364193249E-3</v>
      </c>
      <c r="Q1144" s="1" cm="1">
        <f t="array" ref="Q1144">SUMPRODUCT(("T-Plg-elc-gsl_S2"=[1]OUT_TransportEnergyCons!$A$3:$A$1000)*1,("Var_Fin"=[1]OUT_TransportEnergyCons!$B$3:$B$1000)*1,ISNUMBER(SEARCH("ELC",[1]OUT_TransportEnergyCons!$C$3:$C$1000))*1,[1]OUT_TransportEnergyCons!O$3:O$1000)</f>
        <v>8.2261044769836383E-4</v>
      </c>
      <c r="S1144" s="3"/>
    </row>
    <row r="1145" spans="2:19" x14ac:dyDescent="0.5">
      <c r="B1145" s="5" t="str">
        <f t="shared" si="1358"/>
        <v>SPS1</v>
      </c>
      <c r="C1145" s="5" t="str">
        <f t="shared" si="135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1.7834146244163684E-2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0.16443308196063922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0.75884286198329143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2.0479589876762572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1.92860666242559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2.1159441709220235</v>
      </c>
      <c r="M1145" s="1" cm="1">
        <f t="array" ref="M1145">SUMPRODUCT(("T-Plg-elc-gsl_S3"=[1]OUT_TransportEnergyCons!$A$3:$A$1000)*1,("Var_Fin"=[1]OUT_TransportEnergyCons!$B$3:$B$1000)*1,ISNUMBER(SEARCH("ELC",[1]OUT_TransportEnergyCons!$C$3:$C$1000))*1,[1]OUT_TransportEnergyCons!K$3:K$1000)</f>
        <v>0.8970130727987714</v>
      </c>
      <c r="N1145" s="1" cm="1">
        <f t="array" ref="N1145">SUMPRODUCT(("T-Plg-elc-gsl_S3"=[1]OUT_TransportEnergyCons!$A$3:$A$1000)*1,("Var_Fin"=[1]OUT_TransportEnergyCons!$B$3:$B$1000)*1,ISNUMBER(SEARCH("ELC",[1]OUT_TransportEnergyCons!$C$3:$C$1000))*1,[1]OUT_TransportEnergyCons!L$3:L$1000)</f>
        <v>0.65969413544073885</v>
      </c>
      <c r="O1145" s="1" cm="1">
        <f t="array" ref="O1145">SUMPRODUCT(("T-Plg-elc-gsl_S3"=[1]OUT_TransportEnergyCons!$A$3:$A$1000)*1,("Var_Fin"=[1]OUT_TransportEnergyCons!$B$3:$B$1000)*1,ISNUMBER(SEARCH("ELC",[1]OUT_TransportEnergyCons!$C$3:$C$1000))*1,[1]OUT_TransportEnergyCons!M$3:M$1000)</f>
        <v>3.9851516467578644E-3</v>
      </c>
      <c r="P1145" s="1" cm="1">
        <f t="array" ref="P1145">SUMPRODUCT(("T-Plg-elc-gsl_S3"=[1]OUT_TransportEnergyCons!$A$3:$A$1000)*1,("Var_Fin"=[1]OUT_TransportEnergyCons!$B$3:$B$1000)*1,ISNUMBER(SEARCH("ELC",[1]OUT_TransportEnergyCons!$C$3:$C$1000))*1,[1]OUT_TransportEnergyCons!N$3:N$1000)</f>
        <v>3.597544423585126E-3</v>
      </c>
      <c r="Q1145" s="1" cm="1">
        <f t="array" ref="Q1145">SUMPRODUCT(("T-Plg-elc-gsl_S3"=[1]OUT_TransportEnergyCons!$A$3:$A$1000)*1,("Var_Fin"=[1]OUT_TransportEnergyCons!$B$3:$B$1000)*1,ISNUMBER(SEARCH("ELC",[1]OUT_TransportEnergyCons!$C$3:$C$1000))*1,[1]OUT_TransportEnergyCons!O$3:O$1000)</f>
        <v>1.9162094260920777E-3</v>
      </c>
      <c r="S1145" s="3"/>
    </row>
    <row r="1146" spans="2:19" x14ac:dyDescent="0.5">
      <c r="B1146" s="5" t="str">
        <f t="shared" si="1358"/>
        <v>SPS1</v>
      </c>
      <c r="C1146" s="5" t="str">
        <f t="shared" si="135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4.0673183216729592E-4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1.1225167478398966E-3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8.8183614681295788E-3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5.9122635991434276E-3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9.4437488777199523E-4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7.4361072200535179E-4</v>
      </c>
      <c r="M1146" s="1" cm="1">
        <f t="array" ref="M1146">SUMPRODUCT(("T-Plg-elc-gsl_S4"=[1]OUT_TransportEnergyCons!$A$3:$A$1000)*1,("Var_Fin"=[1]OUT_TransportEnergyCons!$B$3:$B$1000)*1,ISNUMBER(SEARCH("ELC",[1]OUT_TransportEnergyCons!$C$3:$C$1000))*1,[1]OUT_TransportEnergyCons!K$3:K$1000)</f>
        <v>4.8838628298147196E-4</v>
      </c>
      <c r="N1146" s="1" cm="1">
        <f t="array" ref="N1146">SUMPRODUCT(("T-Plg-elc-gsl_S4"=[1]OUT_TransportEnergyCons!$A$3:$A$1000)*1,("Var_Fin"=[1]OUT_TransportEnergyCons!$B$3:$B$1000)*1,ISNUMBER(SEARCH("ELC",[1]OUT_TransportEnergyCons!$C$3:$C$1000))*1,[1]OUT_TransportEnergyCons!L$3:L$1000)</f>
        <v>0.35009396897970696</v>
      </c>
      <c r="O1146" s="1" cm="1">
        <f t="array" ref="O1146">SUMPRODUCT(("T-Plg-elc-gsl_S4"=[1]OUT_TransportEnergyCons!$A$3:$A$1000)*1,("Var_Fin"=[1]OUT_TransportEnergyCons!$B$3:$B$1000)*1,ISNUMBER(SEARCH("ELC",[1]OUT_TransportEnergyCons!$C$3:$C$1000))*1,[1]OUT_TransportEnergyCons!M$3:M$1000)</f>
        <v>0.91016035192662148</v>
      </c>
      <c r="P1146" s="1" cm="1">
        <f t="array" ref="P1146">SUMPRODUCT(("T-Plg-elc-gsl_S4"=[1]OUT_TransportEnergyCons!$A$3:$A$1000)*1,("Var_Fin"=[1]OUT_TransportEnergyCons!$B$3:$B$1000)*1,ISNUMBER(SEARCH("ELC",[1]OUT_TransportEnergyCons!$C$3:$C$1000))*1,[1]OUT_TransportEnergyCons!N$3:N$1000)</f>
        <v>0.87527249511976146</v>
      </c>
      <c r="Q1146" s="1" cm="1">
        <f t="array" ref="Q1146">SUMPRODUCT(("T-Plg-elc-gsl_S4"=[1]OUT_TransportEnergyCons!$A$3:$A$1000)*1,("Var_Fin"=[1]OUT_TransportEnergyCons!$B$3:$B$1000)*1,ISNUMBER(SEARCH("ELC",[1]OUT_TransportEnergyCons!$C$3:$C$1000))*1,[1]OUT_TransportEnergyCons!O$3:O$1000)</f>
        <v>0.72415572419481689</v>
      </c>
      <c r="S1146" s="3"/>
    </row>
    <row r="1147" spans="2:19" x14ac:dyDescent="0.5">
      <c r="B1147" s="5" t="str">
        <f t="shared" ref="B1147:B1151" si="1360">B1146</f>
        <v>SPS1</v>
      </c>
      <c r="C1147" s="5" t="str">
        <f t="shared" ref="C1147:C1151" si="136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2.3624910182107105E-5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4.2291754644068323E-5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9.9874949694146105E-5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1.227436126696714E-4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8.9450188086508342E-5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2.9066086994002121E-4</v>
      </c>
      <c r="M1147" s="1" cm="1">
        <f t="array" ref="M1147">SUMPRODUCT(("T-Plg-elc-dsl_S1"=[1]OUT_TransportEnergyCons!$A$3:$A$1000)*1,("Var_Fin"=[1]OUT_TransportEnergyCons!$B$3:$B$1000)*1,ISNUMBER(SEARCH("ELC",[1]OUT_TransportEnergyCons!$C$3:$C$1000))*1,[1]OUT_TransportEnergyCons!K$3:K$1000)</f>
        <v>2.6639636737862737E-4</v>
      </c>
      <c r="N1147" s="1" cm="1">
        <f t="array" ref="N1147">SUMPRODUCT(("T-Plg-elc-dsl_S1"=[1]OUT_TransportEnergyCons!$A$3:$A$1000)*1,("Var_Fin"=[1]OUT_TransportEnergyCons!$B$3:$B$1000)*1,ISNUMBER(SEARCH("ELC",[1]OUT_TransportEnergyCons!$C$3:$C$1000))*1,[1]OUT_TransportEnergyCons!L$3:L$1000)</f>
        <v>1.5511539610241923E-3</v>
      </c>
      <c r="O1147" s="1" cm="1">
        <f t="array" ref="O1147">SUMPRODUCT(("T-Plg-elc-dsl_S1"=[1]OUT_TransportEnergyCons!$A$3:$A$1000)*1,("Var_Fin"=[1]OUT_TransportEnergyCons!$B$3:$B$1000)*1,ISNUMBER(SEARCH("ELC",[1]OUT_TransportEnergyCons!$C$3:$C$1000))*1,[1]OUT_TransportEnergyCons!M$3:M$1000)</f>
        <v>8.0525481767493241E-5</v>
      </c>
      <c r="P1147" s="1" cm="1">
        <f t="array" ref="P1147">SUMPRODUCT(("T-Plg-elc-dsl_S1"=[1]OUT_TransportEnergyCons!$A$3:$A$1000)*1,("Var_Fin"=[1]OUT_TransportEnergyCons!$B$3:$B$1000)*1,ISNUMBER(SEARCH("ELC",[1]OUT_TransportEnergyCons!$C$3:$C$1000))*1,[1]OUT_TransportEnergyCons!N$3:N$1000)</f>
        <v>4.9449763863436297E-5</v>
      </c>
      <c r="Q1147" s="1" cm="1">
        <f t="array" ref="Q1147">SUMPRODUCT(("T-Plg-elc-dsl_S1"=[1]OUT_TransportEnergyCons!$A$3:$A$1000)*1,("Var_Fin"=[1]OUT_TransportEnergyCons!$B$3:$B$1000)*1,ISNUMBER(SEARCH("ELC",[1]OUT_TransportEnergyCons!$C$3:$C$1000))*1,[1]OUT_TransportEnergyCons!O$3:O$1000)</f>
        <v>4.492422831784587E-5</v>
      </c>
      <c r="S1147" s="3"/>
    </row>
    <row r="1148" spans="2:19" x14ac:dyDescent="0.5">
      <c r="B1148" s="5" t="str">
        <f t="shared" si="1360"/>
        <v>SPS1</v>
      </c>
      <c r="C1148" s="5" t="str">
        <f t="shared" si="136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3.1907303612584595E-5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1.3202190972430065E-4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2.9599124889135127E-4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6.1385344974065176E-4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4.5619449587291938E-4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1.5003886473359974E-3</v>
      </c>
      <c r="M1148" s="1" cm="1">
        <f t="array" ref="M1148">SUMPRODUCT(("T-Plg-elc-dsl_S2"=[1]OUT_TransportEnergyCons!$A$3:$A$1000)*1,("Var_Fin"=[1]OUT_TransportEnergyCons!$B$3:$B$1000)*1,ISNUMBER(SEARCH("ELC",[1]OUT_TransportEnergyCons!$C$3:$C$1000))*1,[1]OUT_TransportEnergyCons!K$3:K$1000)</f>
        <v>1.3971547192627035E-3</v>
      </c>
      <c r="N1148" s="1" cm="1">
        <f t="array" ref="N1148">SUMPRODUCT(("T-Plg-elc-dsl_S2"=[1]OUT_TransportEnergyCons!$A$3:$A$1000)*1,("Var_Fin"=[1]OUT_TransportEnergyCons!$B$3:$B$1000)*1,ISNUMBER(SEARCH("ELC",[1]OUT_TransportEnergyCons!$C$3:$C$1000))*1,[1]OUT_TransportEnergyCons!L$3:L$1000)</f>
        <v>1.188178103880205E-3</v>
      </c>
      <c r="O1148" s="1" cm="1">
        <f t="array" ref="O1148">SUMPRODUCT(("T-Plg-elc-dsl_S2"=[1]OUT_TransportEnergyCons!$A$3:$A$1000)*1,("Var_Fin"=[1]OUT_TransportEnergyCons!$B$3:$B$1000)*1,ISNUMBER(SEARCH("ELC",[1]OUT_TransportEnergyCons!$C$3:$C$1000))*1,[1]OUT_TransportEnergyCons!M$3:M$1000)</f>
        <v>1.7875664193364052E-4</v>
      </c>
      <c r="P1148" s="1" cm="1">
        <f t="array" ref="P1148">SUMPRODUCT(("T-Plg-elc-dsl_S2"=[1]OUT_TransportEnergyCons!$A$3:$A$1000)*1,("Var_Fin"=[1]OUT_TransportEnergyCons!$B$3:$B$1000)*1,ISNUMBER(SEARCH("ELC",[1]OUT_TransportEnergyCons!$C$3:$C$1000))*1,[1]OUT_TransportEnergyCons!N$3:N$1000)</f>
        <v>1.5861205689781844E-4</v>
      </c>
      <c r="Q1148" s="1" cm="1">
        <f t="array" ref="Q1148">SUMPRODUCT(("T-Plg-elc-dsl_S2"=[1]OUT_TransportEnergyCons!$A$3:$A$1000)*1,("Var_Fin"=[1]OUT_TransportEnergyCons!$B$3:$B$1000)*1,ISNUMBER(SEARCH("ELC",[1]OUT_TransportEnergyCons!$C$3:$C$1000))*1,[1]OUT_TransportEnergyCons!O$3:O$1000)</f>
        <v>9.470246875040934E-5</v>
      </c>
      <c r="S1148" s="3"/>
    </row>
    <row r="1149" spans="2:19" x14ac:dyDescent="0.5">
      <c r="B1149" s="5" t="str">
        <f t="shared" si="1360"/>
        <v>SPS1</v>
      </c>
      <c r="C1149" s="5" t="str">
        <f t="shared" si="136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5.3257807446911491E-2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0.13442559589286102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1.1531388276254098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1.6404982952072535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1.391285912200114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1.466976380513306</v>
      </c>
      <c r="M1149" s="1" cm="1">
        <f t="array" ref="M1149">SUMPRODUCT(("T-Plg-elc-dsl_S3"=[1]OUT_TransportEnergyCons!$A$3:$A$1000)*1,("Var_Fin"=[1]OUT_TransportEnergyCons!$B$3:$B$1000)*1,ISNUMBER(SEARCH("ELC",[1]OUT_TransportEnergyCons!$C$3:$C$1000))*1,[1]OUT_TransportEnergyCons!K$3:K$1000)</f>
        <v>0.616546759978995</v>
      </c>
      <c r="N1149" s="1" cm="1">
        <f t="array" ref="N1149">SUMPRODUCT(("T-Plg-elc-dsl_S3"=[1]OUT_TransportEnergyCons!$A$3:$A$1000)*1,("Var_Fin"=[1]OUT_TransportEnergyCons!$B$3:$B$1000)*1,ISNUMBER(SEARCH("ELC",[1]OUT_TransportEnergyCons!$C$3:$C$1000))*1,[1]OUT_TransportEnergyCons!L$3:L$1000)</f>
        <v>0.49651411579805538</v>
      </c>
      <c r="O1149" s="1" cm="1">
        <f t="array" ref="O1149">SUMPRODUCT(("T-Plg-elc-dsl_S3"=[1]OUT_TransportEnergyCons!$A$3:$A$1000)*1,("Var_Fin"=[1]OUT_TransportEnergyCons!$B$3:$B$1000)*1,ISNUMBER(SEARCH("ELC",[1]OUT_TransportEnergyCons!$C$3:$C$1000))*1,[1]OUT_TransportEnergyCons!M$3:M$1000)</f>
        <v>3.2096997535303775E-4</v>
      </c>
      <c r="P1149" s="1" cm="1">
        <f t="array" ref="P1149">SUMPRODUCT(("T-Plg-elc-dsl_S3"=[1]OUT_TransportEnergyCons!$A$3:$A$1000)*1,("Var_Fin"=[1]OUT_TransportEnergyCons!$B$3:$B$1000)*1,ISNUMBER(SEARCH("ELC",[1]OUT_TransportEnergyCons!$C$3:$C$1000))*1,[1]OUT_TransportEnergyCons!N$3:N$1000)</f>
        <v>2.7673412839757539E-4</v>
      </c>
      <c r="Q1149" s="1" cm="1">
        <f t="array" ref="Q1149">SUMPRODUCT(("T-Plg-elc-dsl_S3"=[1]OUT_TransportEnergyCons!$A$3:$A$1000)*1,("Var_Fin"=[1]OUT_TransportEnergyCons!$B$3:$B$1000)*1,ISNUMBER(SEARCH("ELC",[1]OUT_TransportEnergyCons!$C$3:$C$1000))*1,[1]OUT_TransportEnergyCons!O$3:O$1000)</f>
        <v>1.4182874490064869E-4</v>
      </c>
      <c r="S1149" s="3"/>
    </row>
    <row r="1150" spans="2:19" x14ac:dyDescent="0.5">
      <c r="B1150" s="5" t="str">
        <f t="shared" si="1360"/>
        <v>SPS1</v>
      </c>
      <c r="C1150" s="5" t="str">
        <f t="shared" si="136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9.8906630411769964E-5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3.5569214803815721E-4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1.995481761078386E-3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5.2523829913943242E-3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3.4140512253430697E-3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3.777782235605077E-3</v>
      </c>
      <c r="M1150" s="1" cm="1">
        <f t="array" ref="M1150">SUMPRODUCT(("T-Plg-elc-dsl_S4"=[1]OUT_TransportEnergyCons!$A$3:$A$1000)*1,("Var_Fin"=[1]OUT_TransportEnergyCons!$B$3:$B$1000)*1,ISNUMBER(SEARCH("ELC",[1]OUT_TransportEnergyCons!$C$3:$C$1000))*1,[1]OUT_TransportEnergyCons!K$3:K$1000)</f>
        <v>2.9127582019435462E-3</v>
      </c>
      <c r="N1150" s="1" cm="1">
        <f t="array" ref="N1150">SUMPRODUCT(("T-Plg-elc-dsl_S4"=[1]OUT_TransportEnergyCons!$A$3:$A$1000)*1,("Var_Fin"=[1]OUT_TransportEnergyCons!$B$3:$B$1000)*1,ISNUMBER(SEARCH("ELC",[1]OUT_TransportEnergyCons!$C$3:$C$1000))*1,[1]OUT_TransportEnergyCons!L$3:L$1000)</f>
        <v>0.20569774723140485</v>
      </c>
      <c r="O1150" s="1" cm="1">
        <f t="array" ref="O1150">SUMPRODUCT(("T-Plg-elc-dsl_S4"=[1]OUT_TransportEnergyCons!$A$3:$A$1000)*1,("Var_Fin"=[1]OUT_TransportEnergyCons!$B$3:$B$1000)*1,ISNUMBER(SEARCH("ELC",[1]OUT_TransportEnergyCons!$C$3:$C$1000))*1,[1]OUT_TransportEnergyCons!M$3:M$1000)</f>
        <v>0.63955082408034125</v>
      </c>
      <c r="P1150" s="1" cm="1">
        <f t="array" ref="P1150">SUMPRODUCT(("T-Plg-elc-dsl_S4"=[1]OUT_TransportEnergyCons!$A$3:$A$1000)*1,("Var_Fin"=[1]OUT_TransportEnergyCons!$B$3:$B$1000)*1,ISNUMBER(SEARCH("ELC",[1]OUT_TransportEnergyCons!$C$3:$C$1000))*1,[1]OUT_TransportEnergyCons!N$3:N$1000)</f>
        <v>0.61498038698939439</v>
      </c>
      <c r="Q1150" s="1" cm="1">
        <f t="array" ref="Q1150">SUMPRODUCT(("T-Plg-elc-dsl_S4"=[1]OUT_TransportEnergyCons!$A$3:$A$1000)*1,("Var_Fin"=[1]OUT_TransportEnergyCons!$B$3:$B$1000)*1,ISNUMBER(SEARCH("ELC",[1]OUT_TransportEnergyCons!$C$3:$C$1000))*1,[1]OUT_TransportEnergyCons!O$3:O$1000)</f>
        <v>0.50831844701358231</v>
      </c>
      <c r="S1150" s="3"/>
    </row>
    <row r="1151" spans="2:19" x14ac:dyDescent="0.5">
      <c r="B1151" s="5" t="str">
        <f t="shared" si="1360"/>
        <v>SPS1</v>
      </c>
      <c r="C1151" s="5" t="str">
        <f t="shared" si="136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0.31392437544536961</v>
      </c>
      <c r="J1151" s="1">
        <f>[1]Transport!F$32</f>
        <v>1.3433063061574295</v>
      </c>
      <c r="K1151" s="1">
        <f>[1]Transport!G$32</f>
        <v>1.1089820123077456</v>
      </c>
      <c r="L1151" s="1">
        <f>[1]Transport!H$32</f>
        <v>1.8585688145943118</v>
      </c>
      <c r="M1151" s="1">
        <f>[1]Transport!I$32</f>
        <v>2.0752315084923629</v>
      </c>
      <c r="N1151" s="1">
        <f>[1]Transport!J$32</f>
        <v>1.2014199764966844</v>
      </c>
      <c r="O1151" s="1">
        <f>[1]Transport!K$32</f>
        <v>1.8186178671383939</v>
      </c>
      <c r="P1151" s="1">
        <f>[1]Transport!L$32</f>
        <v>1.951264681074935</v>
      </c>
      <c r="Q1151" s="1">
        <f>[1]Transport!M$32</f>
        <v>2.3487021742984981</v>
      </c>
      <c r="S1151" s="3"/>
    </row>
    <row r="1152" spans="2:19" x14ac:dyDescent="0.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8.4585420401944971E-4</v>
      </c>
      <c r="G1152" s="1">
        <f t="shared" ref="G1152:K1152" si="1362">SUM(G1153:G1156)</f>
        <v>2.0165140393767814E-3</v>
      </c>
      <c r="H1152" s="1">
        <f t="shared" si="1362"/>
        <v>1.9309468190546063E-3</v>
      </c>
      <c r="I1152" s="1">
        <f t="shared" si="1362"/>
        <v>5.4821109790092484E-6</v>
      </c>
      <c r="J1152" s="1">
        <f t="shared" si="1362"/>
        <v>4.9502459581444866E-6</v>
      </c>
      <c r="K1152" s="1">
        <f t="shared" si="1362"/>
        <v>4.1328661007168924E-6</v>
      </c>
      <c r="L1152" s="1">
        <f t="shared" ref="L1152:O1152" si="1363">SUM(L1153:L1156)</f>
        <v>4.2209619860012484E-6</v>
      </c>
      <c r="M1152" s="1">
        <f t="shared" si="1363"/>
        <v>4.0015960551736542E-6</v>
      </c>
      <c r="N1152" s="1">
        <f t="shared" si="1363"/>
        <v>3.351502267543535E-6</v>
      </c>
      <c r="O1152" s="1">
        <f t="shared" si="1363"/>
        <v>3.7425825008899487E-6</v>
      </c>
      <c r="P1152" s="1">
        <f>SUM(P1153:P1156)</f>
        <v>3.5781008941576211E-6</v>
      </c>
      <c r="Q1152" s="1">
        <f>SUM(Q1153:Q1156)</f>
        <v>1.1632517715443828E-5</v>
      </c>
      <c r="S1152" s="3"/>
    </row>
    <row r="1153" spans="2:19" x14ac:dyDescent="0.5">
      <c r="B1153" s="5" t="str">
        <f t="shared" si="1358"/>
        <v>SPS1</v>
      </c>
      <c r="C1153" s="5" t="str">
        <f t="shared" si="135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2.0770005375889549E-5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2.7421737812984699E-5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2.2098674090891011E-7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3.8234558202816109E-7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7.5201243090176879E-7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5.7008330081312255E-7</v>
      </c>
      <c r="M1153" s="1" cm="1">
        <f t="array" ref="M1153">SUMPRODUCT(("T_C-FC-H2O-S1"=[1]OUT_TransportEnergyCons!$A$3:$A$1000)*1,("Var_Fin"=[1]OUT_TransportEnergyCons!$B$3:$B$1000)*1,ISNUMBER(SEARCH("H2",[1]OUT_TransportEnergyCons!$C$3:$C$1000))*1,[1]OUT_TransportEnergyCons!K$3:K$1000)</f>
        <v>4.0579457714975761E-7</v>
      </c>
      <c r="N1153" s="1" cm="1">
        <f t="array" ref="N1153">SUMPRODUCT(("T_C-FC-H2O-S1"=[1]OUT_TransportEnergyCons!$A$3:$A$1000)*1,("Var_Fin"=[1]OUT_TransportEnergyCons!$B$3:$B$1000)*1,ISNUMBER(SEARCH("H2",[1]OUT_TransportEnergyCons!$C$3:$C$1000))*1,[1]OUT_TransportEnergyCons!L$3:L$1000)</f>
        <v>1.8557335099684747E-7</v>
      </c>
      <c r="O1153" s="1" cm="1">
        <f t="array" ref="O1153">SUMPRODUCT(("T_C-FC-H2O-S1"=[1]OUT_TransportEnergyCons!$A$3:$A$1000)*1,("Var_Fin"=[1]OUT_TransportEnergyCons!$B$3:$B$1000)*1,ISNUMBER(SEARCH("H2",[1]OUT_TransportEnergyCons!$C$3:$C$1000))*1,[1]OUT_TransportEnergyCons!M$3:M$1000)</f>
        <v>1.017619702049518E-7</v>
      </c>
      <c r="P1153" s="1" cm="1">
        <f t="array" ref="P1153">SUMPRODUCT(("T_C-FC-H2O-S1"=[1]OUT_TransportEnergyCons!$A$3:$A$1000)*1,("Var_Fin"=[1]OUT_TransportEnergyCons!$B$3:$B$1000)*1,ISNUMBER(SEARCH("H2",[1]OUT_TransportEnergyCons!$C$3:$C$1000))*1,[1]OUT_TransportEnergyCons!N$3:N$1000)</f>
        <v>0</v>
      </c>
      <c r="Q1153" s="1" cm="1">
        <f t="array" ref="Q1153">SUMPRODUCT(("T_C-FC-H2O-S1"=[1]OUT_TransportEnergyCons!$A$3:$A$1000)*1,("Var_Fin"=[1]OUT_TransportEnergyCons!$B$3:$B$1000)*1,ISNUMBER(SEARCH("H2",[1]OUT_TransportEnergyCons!$C$3:$C$1000))*1,[1]OUT_TransportEnergyCons!O$3:O$1000)</f>
        <v>1.100805441638622E-6</v>
      </c>
      <c r="S1153" s="3"/>
    </row>
    <row r="1154" spans="2:19" x14ac:dyDescent="0.5">
      <c r="B1154" s="5" t="str">
        <f t="shared" si="1358"/>
        <v>SPS1</v>
      </c>
      <c r="C1154" s="5" t="str">
        <f t="shared" si="135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8.1454772820704224E-5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1.0676138311131072E-4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1.1056338302913862E-4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1.5587514459209117E-6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1.5629728703454376E-6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1.1938805873992076E-6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1.203734561714166E-6</v>
      </c>
      <c r="M1154" s="1" cm="1">
        <f t="array" ref="M1154">SUMPRODUCT(("T_C-FC-H2O-S2"=[1]OUT_TransportEnergyCons!$A$3:$A$1000)*1,("Var_Fin"=[1]OUT_TransportEnergyCons!$B$3:$B$1000)*1,ISNUMBER(SEARCH("H2",[1]OUT_TransportEnergyCons!$C$3:$C$1000))*1,[1]OUT_TransportEnergyCons!K$3:K$1000)</f>
        <v>1.1994881118650151E-6</v>
      </c>
      <c r="N1154" s="1" cm="1">
        <f t="array" ref="N1154">SUMPRODUCT(("T_C-FC-H2O-S2"=[1]OUT_TransportEnergyCons!$A$3:$A$1000)*1,("Var_Fin"=[1]OUT_TransportEnergyCons!$B$3:$B$1000)*1,ISNUMBER(SEARCH("H2",[1]OUT_TransportEnergyCons!$C$3:$C$1000))*1,[1]OUT_TransportEnergyCons!L$3:L$1000)</f>
        <v>9.9202215738476599E-7</v>
      </c>
      <c r="O1154" s="1" cm="1">
        <f t="array" ref="O1154">SUMPRODUCT(("T_C-FC-H2O-S2"=[1]OUT_TransportEnergyCons!$A$3:$A$1000)*1,("Var_Fin"=[1]OUT_TransportEnergyCons!$B$3:$B$1000)*1,ISNUMBER(SEARCH("H2",[1]OUT_TransportEnergyCons!$C$3:$C$1000))*1,[1]OUT_TransportEnergyCons!M$3:M$1000)</f>
        <v>1.1430952822597758E-6</v>
      </c>
      <c r="P1154" s="1" cm="1">
        <f t="array" ref="P1154">SUMPRODUCT(("T_C-FC-H2O-S2"=[1]OUT_TransportEnergyCons!$A$3:$A$1000)*1,("Var_Fin"=[1]OUT_TransportEnergyCons!$B$3:$B$1000)*1,ISNUMBER(SEARCH("H2",[1]OUT_TransportEnergyCons!$C$3:$C$1000))*1,[1]OUT_TransportEnergyCons!N$3:N$1000)</f>
        <v>9.6873231578084743E-7</v>
      </c>
      <c r="Q1154" s="1" cm="1">
        <f t="array" ref="Q1154">SUMPRODUCT(("T_C-FC-H2O-S2"=[1]OUT_TransportEnergyCons!$A$3:$A$1000)*1,("Var_Fin"=[1]OUT_TransportEnergyCons!$B$3:$B$1000)*1,ISNUMBER(SEARCH("H2",[1]OUT_TransportEnergyCons!$C$3:$C$1000))*1,[1]OUT_TransportEnergyCons!O$3:O$1000)</f>
        <v>3.2479319184802328E-6</v>
      </c>
      <c r="S1154" s="3"/>
    </row>
    <row r="1155" spans="2:19" x14ac:dyDescent="0.5">
      <c r="B1155" s="5" t="str">
        <f t="shared" si="1358"/>
        <v>SPS1</v>
      </c>
      <c r="C1155" s="5" t="str">
        <f t="shared" si="135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7.6439943119874546E-4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1.8680875395582926E-3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1.7651898512847E-3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2.3129095012354175E-6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1.62676439285695E-6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1.0105341823542114E-6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1.2576219604933311E-6</v>
      </c>
      <c r="M1155" s="1" cm="1">
        <f t="array" ref="M1155">SUMPRODUCT(("T_C-FC-H2O-S3"=[1]OUT_TransportEnergyCons!$A$3:$A$1000)*1,("Var_Fin"=[1]OUT_TransportEnergyCons!$B$3:$B$1000)*1,ISNUMBER(SEARCH("H2",[1]OUT_TransportEnergyCons!$C$3:$C$1000))*1,[1]OUT_TransportEnergyCons!K$3:K$1000)</f>
        <v>1.360034633113602E-6</v>
      </c>
      <c r="N1155" s="1" cm="1">
        <f t="array" ref="N1155">SUMPRODUCT(("T_C-FC-H2O-S3"=[1]OUT_TransportEnergyCons!$A$3:$A$1000)*1,("Var_Fin"=[1]OUT_TransportEnergyCons!$B$3:$B$1000)*1,ISNUMBER(SEARCH("H2",[1]OUT_TransportEnergyCons!$C$3:$C$1000))*1,[1]OUT_TransportEnergyCons!L$3:L$1000)</f>
        <v>1.3287222980804112E-6</v>
      </c>
      <c r="O1155" s="1" cm="1">
        <f t="array" ref="O1155">SUMPRODUCT(("T_C-FC-H2O-S3"=[1]OUT_TransportEnergyCons!$A$3:$A$1000)*1,("Var_Fin"=[1]OUT_TransportEnergyCons!$B$3:$B$1000)*1,ISNUMBER(SEARCH("H2",[1]OUT_TransportEnergyCons!$C$3:$C$1000))*1,[1]OUT_TransportEnergyCons!M$3:M$1000)</f>
        <v>1.4963460532025358E-6</v>
      </c>
      <c r="P1155" s="1" cm="1">
        <f t="array" ref="P1155">SUMPRODUCT(("T_C-FC-H2O-S3"=[1]OUT_TransportEnergyCons!$A$3:$A$1000)*1,("Var_Fin"=[1]OUT_TransportEnergyCons!$B$3:$B$1000)*1,ISNUMBER(SEARCH("H2",[1]OUT_TransportEnergyCons!$C$3:$C$1000))*1,[1]OUT_TransportEnergyCons!N$3:N$1000)</f>
        <v>1.9942457330492987E-6</v>
      </c>
      <c r="Q1155" s="1" cm="1">
        <f t="array" ref="Q1155">SUMPRODUCT(("T_C-FC-H2O-S3"=[1]OUT_TransportEnergyCons!$A$3:$A$1000)*1,("Var_Fin"=[1]OUT_TransportEnergyCons!$B$3:$B$1000)*1,ISNUMBER(SEARCH("H2",[1]OUT_TransportEnergyCons!$C$3:$C$1000))*1,[1]OUT_TransportEnergyCons!O$3:O$1000)</f>
        <v>4.1890156137510512E-6</v>
      </c>
      <c r="S1155" s="3"/>
    </row>
    <row r="1156" spans="2:19" x14ac:dyDescent="0.5">
      <c r="B1156" s="5" t="str">
        <f t="shared" si="1358"/>
        <v>SPS1</v>
      </c>
      <c r="C1156" s="5" t="str">
        <f t="shared" si="135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2.0895111331288422E-5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2.7771846927782878E-5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1.3894632909440096E-6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1.378163112913938E-6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1.1764389000617046E-6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1.1895221629806288E-6</v>
      </c>
      <c r="M1156" s="1" cm="1">
        <f t="array" ref="M1156">SUMPRODUCT(("T_C-FC-H2O-S4"=[1]OUT_TransportEnergyCons!$A$3:$A$1000)*1,("Var_Fin"=[1]OUT_TransportEnergyCons!$B$3:$B$1000)*1,ISNUMBER(SEARCH("H2",[1]OUT_TransportEnergyCons!$C$3:$C$1000))*1,[1]OUT_TransportEnergyCons!K$3:K$1000)</f>
        <v>1.0362787330452794E-6</v>
      </c>
      <c r="N1156" s="1" cm="1">
        <f t="array" ref="N1156">SUMPRODUCT(("T_C-FC-H2O-S4"=[1]OUT_TransportEnergyCons!$A$3:$A$1000)*1,("Var_Fin"=[1]OUT_TransportEnergyCons!$B$3:$B$1000)*1,ISNUMBER(SEARCH("H2",[1]OUT_TransportEnergyCons!$C$3:$C$1000))*1,[1]OUT_TransportEnergyCons!L$3:L$1000)</f>
        <v>8.4518446108151002E-7</v>
      </c>
      <c r="O1156" s="1" cm="1">
        <f t="array" ref="O1156">SUMPRODUCT(("T_C-FC-H2O-S4"=[1]OUT_TransportEnergyCons!$A$3:$A$1000)*1,("Var_Fin"=[1]OUT_TransportEnergyCons!$B$3:$B$1000)*1,ISNUMBER(SEARCH("H2",[1]OUT_TransportEnergyCons!$C$3:$C$1000))*1,[1]OUT_TransportEnergyCons!M$3:M$1000)</f>
        <v>1.0013791952226855E-6</v>
      </c>
      <c r="P1156" s="1" cm="1">
        <f t="array" ref="P1156">SUMPRODUCT(("T_C-FC-H2O-S4"=[1]OUT_TransportEnergyCons!$A$3:$A$1000)*1,("Var_Fin"=[1]OUT_TransportEnergyCons!$B$3:$B$1000)*1,ISNUMBER(SEARCH("H2",[1]OUT_TransportEnergyCons!$C$3:$C$1000))*1,[1]OUT_TransportEnergyCons!N$3:N$1000)</f>
        <v>6.1512284532747534E-7</v>
      </c>
      <c r="Q1156" s="1" cm="1">
        <f t="array" ref="Q1156">SUMPRODUCT(("T_C-FC-H2O-S4"=[1]OUT_TransportEnergyCons!$A$3:$A$1000)*1,("Var_Fin"=[1]OUT_TransportEnergyCons!$B$3:$B$1000)*1,ISNUMBER(SEARCH("H2",[1]OUT_TransportEnergyCons!$C$3:$C$1000))*1,[1]OUT_TransportEnergyCons!O$3:O$1000)</f>
        <v>3.094764741573921E-6</v>
      </c>
      <c r="S1156" s="3"/>
    </row>
    <row r="1157" spans="2:19" x14ac:dyDescent="0.5">
      <c r="B1157" s="5" t="str">
        <f t="shared" si="1358"/>
        <v>SPS1</v>
      </c>
      <c r="C1157" s="5" t="str">
        <f t="shared" si="1359"/>
        <v>CH</v>
      </c>
      <c r="D1157" t="s">
        <v>1257</v>
      </c>
      <c r="E1157" t="s">
        <v>8</v>
      </c>
      <c r="F1157" s="1">
        <f>SUM(F1162:F1179)</f>
        <v>77.888492886327512</v>
      </c>
      <c r="G1157" s="1">
        <f t="shared" ref="G1157:K1157" si="1364">SUM(G1162:G1179)</f>
        <v>74.675797694966562</v>
      </c>
      <c r="H1157" s="1">
        <f t="shared" si="1364"/>
        <v>77.937733665436753</v>
      </c>
      <c r="I1157" s="1">
        <f t="shared" si="1364"/>
        <v>45.17209796595094</v>
      </c>
      <c r="J1157" s="1">
        <f t="shared" si="1364"/>
        <v>18.527948931342937</v>
      </c>
      <c r="K1157" s="1">
        <f t="shared" si="1364"/>
        <v>8.3533949137916235</v>
      </c>
      <c r="L1157" s="1">
        <f t="shared" ref="L1157:O1157" si="1365">SUM(L1162:L1179)</f>
        <v>6.54906737974063</v>
      </c>
      <c r="M1157" s="1">
        <f t="shared" si="1365"/>
        <v>1.9264208396913762</v>
      </c>
      <c r="N1157" s="1">
        <f t="shared" si="1365"/>
        <v>1.3658693046887063</v>
      </c>
      <c r="O1157" s="1">
        <f t="shared" si="1365"/>
        <v>1.3557997010831084</v>
      </c>
      <c r="P1157" s="1">
        <f>SUM(P1162:P1179)</f>
        <v>1.2363006364443718</v>
      </c>
      <c r="Q1157" s="1">
        <f>SUM(Q1162:Q1179)</f>
        <v>1.0476538818141576</v>
      </c>
      <c r="S1157" s="3"/>
    </row>
    <row r="1158" spans="2:19" x14ac:dyDescent="0.5">
      <c r="B1158" s="5" t="str">
        <f>B1157</f>
        <v>SPS1</v>
      </c>
      <c r="C1158" s="5" t="str">
        <f t="shared" si="1359"/>
        <v>CH</v>
      </c>
      <c r="D1158" t="s">
        <v>1258</v>
      </c>
      <c r="E1158" t="str">
        <f>E1157</f>
        <v>PJ/yr.</v>
      </c>
      <c r="F1158" s="1">
        <f t="shared" ref="F1158:J1158" si="1366">IF(F1157-F1159&lt;0,0,F1157-F1159)</f>
        <v>73.62482491974481</v>
      </c>
      <c r="G1158" s="1">
        <f t="shared" si="1366"/>
        <v>70.588010539067071</v>
      </c>
      <c r="H1158" s="1">
        <f t="shared" si="1366"/>
        <v>73.6713749391254</v>
      </c>
      <c r="I1158" s="1">
        <f t="shared" si="1366"/>
        <v>42.698052981415472</v>
      </c>
      <c r="J1158" s="1">
        <f t="shared" si="1366"/>
        <v>17.464897698578728</v>
      </c>
      <c r="K1158" s="1">
        <f>IF(K1157-K1159&lt;0,0,K1157-K1159)</f>
        <v>7.6722243502262248</v>
      </c>
      <c r="L1158" s="1">
        <f t="shared" ref="L1158:O1158" si="1367">IF(L1157-L1159&lt;0,0,L1157-L1159)</f>
        <v>2.4706036941490721</v>
      </c>
      <c r="M1158" s="1">
        <f t="shared" si="1367"/>
        <v>0</v>
      </c>
      <c r="N1158" s="1">
        <f t="shared" si="1367"/>
        <v>0.14483558417087661</v>
      </c>
      <c r="O1158" s="1">
        <f t="shared" si="1367"/>
        <v>9.545224889328674E-2</v>
      </c>
      <c r="P1158" s="1">
        <f>IF(P1157-P1159&lt;0,0,P1157-P1159)</f>
        <v>8.6783336233114516E-2</v>
      </c>
      <c r="Q1158" s="1">
        <f>IF(Q1157-Q1159&lt;0,0,Q1157-Q1159)</f>
        <v>7.3386618160153239E-2</v>
      </c>
      <c r="S1158" s="3"/>
    </row>
    <row r="1159" spans="2:19" x14ac:dyDescent="0.5">
      <c r="B1159" s="5" t="str">
        <f t="shared" ref="B1159:B1161" si="1368">B1158</f>
        <v>SPS1</v>
      </c>
      <c r="C1159" s="5" t="str">
        <f t="shared" si="1359"/>
        <v>CH</v>
      </c>
      <c r="D1159" t="s">
        <v>1259</v>
      </c>
      <c r="E1159" t="str">
        <f>E1158</f>
        <v>PJ/yr.</v>
      </c>
      <c r="F1159" s="1">
        <f>SUM(F1160:F1161)</f>
        <v>4.2636679665827044</v>
      </c>
      <c r="G1159" s="1">
        <f t="shared" ref="G1159" si="1369">SUM(G1160:G1161)</f>
        <v>4.0877871558994974</v>
      </c>
      <c r="H1159" s="1">
        <f t="shared" ref="H1159" si="1370">SUM(H1160:H1161)</f>
        <v>4.2663587263113554</v>
      </c>
      <c r="I1159" s="1">
        <f t="shared" ref="I1159" si="1371">SUM(I1160:I1161)</f>
        <v>2.4740449845354653</v>
      </c>
      <c r="J1159" s="1">
        <f t="shared" ref="J1159" si="1372">SUM(J1160:J1161)</f>
        <v>1.0630512327642097</v>
      </c>
      <c r="K1159" s="1">
        <f t="shared" ref="K1159" si="1373">SUM(K1160:K1161)</f>
        <v>0.68117056356539862</v>
      </c>
      <c r="L1159" s="1">
        <f t="shared" ref="L1159:O1159" si="1374">SUM(L1160:L1161)</f>
        <v>4.0784636855915579</v>
      </c>
      <c r="M1159" s="1">
        <f t="shared" si="1374"/>
        <v>1.9307325305986482</v>
      </c>
      <c r="N1159" s="1">
        <f t="shared" si="1374"/>
        <v>1.2210337205178297</v>
      </c>
      <c r="O1159" s="1">
        <f t="shared" si="1374"/>
        <v>1.2603474521898217</v>
      </c>
      <c r="P1159" s="1">
        <f>SUM(P1160:P1161)</f>
        <v>1.1495173002112573</v>
      </c>
      <c r="Q1159" s="1">
        <f>SUM(Q1160:Q1161)</f>
        <v>0.9742672636540044</v>
      </c>
      <c r="S1159" s="3"/>
    </row>
    <row r="1160" spans="2:19" x14ac:dyDescent="0.5">
      <c r="B1160" s="5" t="str">
        <f t="shared" si="1368"/>
        <v>SPS1</v>
      </c>
      <c r="C1160" s="5" t="str">
        <f t="shared" si="135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4.2636679665827044</v>
      </c>
      <c r="G1160" s="1">
        <f>[1]Transport!C$25/SUM([1]Transport!C$21,[1]Transport!C$25)*G1157*(G$35+G$600)/(G$35+G$600+G$39)</f>
        <v>4.0877871558994974</v>
      </c>
      <c r="H1160" s="1">
        <f>[1]Transport!D$25/SUM([1]Transport!D$21,[1]Transport!D$25)*H1157*(H$35+H$600)/(H$35+H$600+H$39)</f>
        <v>4.2663587263113554</v>
      </c>
      <c r="I1160" s="1">
        <f>[1]Transport!E$25/SUM([1]Transport!E$21,[1]Transport!E$25)*I1157*(I$35+I$600)/(I$35+I$600+I$39)</f>
        <v>2.4740449845354653</v>
      </c>
      <c r="J1160" s="1">
        <f>[1]Transport!F$25/SUM([1]Transport!F$21,[1]Transport!F$25)*J1157*(J$35+J$600)/(J$35+J$600+J$39)</f>
        <v>1.0630512327642097</v>
      </c>
      <c r="K1160" s="1">
        <f>[1]Transport!G$25/SUM([1]Transport!G$21,[1]Transport!G$25)*K1157*(K$35+K$600)/(K$35+K$600+K$39)</f>
        <v>0.45808001016832711</v>
      </c>
      <c r="L1160" s="1">
        <f>[1]Transport!H$25/SUM([1]Transport!H$21,[1]Transport!H$25)*L1157*(L$35+L$600)/(L$35+L$600+L$39)</f>
        <v>3.7989129082162529</v>
      </c>
      <c r="M1160" s="1">
        <f>[1]Transport!I$25/SUM([1]Transport!I$21,[1]Transport!I$25)*M1157*(M$35+M$600)/(M$35+M$600+M$39)</f>
        <v>1.6373424802047547</v>
      </c>
      <c r="N1160" s="1">
        <f>[1]Transport!J$25/SUM([1]Transport!J$21,[1]Transport!J$25)*N1157*(N$35+N$600)/(N$35+N$600+N$39)</f>
        <v>1.1608293158653544</v>
      </c>
      <c r="O1160" s="1">
        <f>[1]Transport!K$25/SUM([1]Transport!K$21,[1]Transport!K$25)*O1157*(O$35+O$600)/(O$35+O$600+O$39)</f>
        <v>1.1520938781767307</v>
      </c>
      <c r="P1160" s="1">
        <f>[1]Transport!L$25/SUM([1]Transport!L$21,[1]Transport!L$25)*P1157*(P$35+P$600)/(P$35+P$600+P$39)</f>
        <v>1.0506230566690371</v>
      </c>
      <c r="Q1160" s="1">
        <f>[1]Transport!M$25/SUM([1]Transport!M$21,[1]Transport!M$25)*Q1157*(Q$35+Q$600)/(Q$35+Q$600+Q$39)</f>
        <v>0.89000594751570183</v>
      </c>
      <c r="S1160" s="3"/>
    </row>
    <row r="1161" spans="2:19" x14ac:dyDescent="0.5">
      <c r="B1161" s="5" t="str">
        <f t="shared" si="1368"/>
        <v>SPS1</v>
      </c>
      <c r="C1161" s="5" t="str">
        <f t="shared" si="135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0.22309055339707146</v>
      </c>
      <c r="L1161" s="1">
        <f>(L$39+L$719)/([1]Transport!H$21+[1]Transport!H$25)*L1157</f>
        <v>0.27955077737530543</v>
      </c>
      <c r="M1161" s="1">
        <f>(M$39+M$719)/([1]Transport!I$21+[1]Transport!I$25)*M1157</f>
        <v>0.29339005039389354</v>
      </c>
      <c r="N1161" s="1">
        <f>(N$39+N$719)/([1]Transport!J$21+[1]Transport!J$25)*N1157</f>
        <v>6.0204404652475292E-2</v>
      </c>
      <c r="O1161" s="1">
        <f>(O$39+O$719)/([1]Transport!K$21+[1]Transport!K$25)*O1157</f>
        <v>0.10825357401309108</v>
      </c>
      <c r="P1161" s="1">
        <f>(P$39+P$719)/([1]Transport!L$21+[1]Transport!L$25)*P1157</f>
        <v>9.8894243542220206E-2</v>
      </c>
      <c r="Q1161" s="1">
        <f>(Q$39+Q$719)/([1]Transport!M$21+[1]Transport!M$25)*Q1157</f>
        <v>8.4261316138302511E-2</v>
      </c>
      <c r="S1161" s="3"/>
    </row>
    <row r="1162" spans="2:19" x14ac:dyDescent="0.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1.2540667889712189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1.2428790996106456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0.92517961148555794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0.43896147167284977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M1162" s="1" cm="1">
        <f t="array" ref="M1162">SUMPRODUCT(("T_C-HYBGSLEXT"=[1]OUT_TransportEnergyCons!$A$3:$A$1000)*1,("Var_Fin"=[1]OUT_TransportEnergyCons!$B$3:$B$1000)*1,ISNUMBER(SEARCH("GSL",[1]OUT_TransportEnergyCons!$C$3:$C$1000))*1,[1]OUT_TransportEnergyCons!K$3:K$1000)</f>
        <v>0</v>
      </c>
      <c r="N1162" s="1" cm="1">
        <f t="array" ref="N1162">SUMPRODUCT(("T_C-HYBGSLEXT"=[1]OUT_TransportEnergyCons!$A$3:$A$1000)*1,("Var_Fin"=[1]OUT_TransportEnergyCons!$B$3:$B$1000)*1,ISNUMBER(SEARCH("GSL",[1]OUT_TransportEnergyCons!$C$3:$C$1000))*1,[1]OUT_TransportEnergyCons!L$3:L$1000)</f>
        <v>0</v>
      </c>
      <c r="O1162" s="1" cm="1">
        <f t="array" ref="O1162">SUMPRODUCT(("T_C-HYBGSLEXT"=[1]OUT_TransportEnergyCons!$A$3:$A$1000)*1,("Var_Fin"=[1]OUT_TransportEnergyCons!$B$3:$B$1000)*1,ISNUMBER(SEARCH("GSL",[1]OUT_TransportEnergyCons!$C$3:$C$1000))*1,[1]OUT_TransportEnergyCons!M$3:M$1000)</f>
        <v>0</v>
      </c>
      <c r="P1162" s="1" cm="1">
        <f t="array" ref="P1162">SUMPRODUCT(("T_C-HYBGSLEXT"=[1]OUT_TransportEnergyCons!$A$3:$A$1000)*1,("Var_Fin"=[1]OUT_TransportEnergyCons!$B$3:$B$1000)*1,ISNUMBER(SEARCH("GSL",[1]OUT_TransportEnergyCons!$C$3:$C$1000))*1,[1]OUT_TransportEnergyCons!N$3:N$1000)</f>
        <v>0</v>
      </c>
      <c r="Q1162" s="1" cm="1">
        <f t="array" ref="Q1162">SUMPRODUCT(("T_C-HYBGSLEXT"=[1]OUT_TransportEnergyCons!$A$3:$A$1000)*1,("Var_Fin"=[1]OUT_TransportEnergyCons!$B$3:$B$1000)*1,ISNUMBER(SEARCH("GSL",[1]OUT_TransportEnergyCons!$C$3:$C$1000))*1,[1]OUT_TransportEnergyCons!O$3:O$1000)</f>
        <v>0</v>
      </c>
      <c r="S1162" s="3"/>
    </row>
    <row r="1163" spans="2:19" x14ac:dyDescent="0.5">
      <c r="B1163" s="5" t="str">
        <f t="shared" si="1358"/>
        <v>SPS1</v>
      </c>
      <c r="C1163" s="5" t="str">
        <f t="shared" si="135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4.5780472933997042E-2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5.3904175917404706E-2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3.8768730070980577E-2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3.0148628653949978E-2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2.9192039468770919E-3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3.2302976686788534E-4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</v>
      </c>
      <c r="M1163" s="1" cm="1">
        <f t="array" ref="M1163">SUMPRODUCT(("T_C-HY-GSL-S1"=[1]OUT_TransportEnergyCons!$A$3:$A$1000)*1,("Var_Fin"=[1]OUT_TransportEnergyCons!$B$3:$B$1000)*1,ISNUMBER(SEARCH("GSL",[1]OUT_TransportEnergyCons!$C$3:$C$1000))*1,[1]OUT_TransportEnergyCons!K$3:K$1000)</f>
        <v>0</v>
      </c>
      <c r="N1163" s="1" cm="1">
        <f t="array" ref="N1163">SUMPRODUCT(("T_C-HY-GSL-S1"=[1]OUT_TransportEnergyCons!$A$3:$A$1000)*1,("Var_Fin"=[1]OUT_TransportEnergyCons!$B$3:$B$1000)*1,ISNUMBER(SEARCH("GSL",[1]OUT_TransportEnergyCons!$C$3:$C$1000))*1,[1]OUT_TransportEnergyCons!L$3:L$1000)</f>
        <v>0</v>
      </c>
      <c r="O1163" s="1" cm="1">
        <f t="array" ref="O1163">SUMPRODUCT(("T_C-HY-GSL-S1"=[1]OUT_TransportEnergyCons!$A$3:$A$1000)*1,("Var_Fin"=[1]OUT_TransportEnergyCons!$B$3:$B$1000)*1,ISNUMBER(SEARCH("GSL",[1]OUT_TransportEnergyCons!$C$3:$C$1000))*1,[1]OUT_TransportEnergyCons!M$3:M$1000)</f>
        <v>0</v>
      </c>
      <c r="P1163" s="1" cm="1">
        <f t="array" ref="P1163">SUMPRODUCT(("T_C-HY-GSL-S1"=[1]OUT_TransportEnergyCons!$A$3:$A$1000)*1,("Var_Fin"=[1]OUT_TransportEnergyCons!$B$3:$B$1000)*1,ISNUMBER(SEARCH("GSL",[1]OUT_TransportEnergyCons!$C$3:$C$1000))*1,[1]OUT_TransportEnergyCons!N$3:N$1000)</f>
        <v>0</v>
      </c>
      <c r="Q1163" s="1" cm="1">
        <f t="array" ref="Q1163">SUMPRODUCT(("T_C-HY-GSL-S1"=[1]OUT_TransportEnergyCons!$A$3:$A$1000)*1,("Var_Fin"=[1]OUT_TransportEnergyCons!$B$3:$B$1000)*1,ISNUMBER(SEARCH("GSL",[1]OUT_TransportEnergyCons!$C$3:$C$1000))*1,[1]OUT_TransportEnergyCons!O$3:O$1000)</f>
        <v>0</v>
      </c>
      <c r="S1163" s="3"/>
    </row>
    <row r="1164" spans="2:19" x14ac:dyDescent="0.5">
      <c r="B1164" s="5" t="str">
        <f t="shared" si="1358"/>
        <v>SPS1</v>
      </c>
      <c r="C1164" s="5" t="str">
        <f t="shared" si="135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0.13850918702342851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0.22958449563493211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0.77216769656504369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0.66737939572267424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0.28350512692190843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4.1342120423063115E-2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</v>
      </c>
      <c r="M1164" s="1" cm="1">
        <f t="array" ref="M1164">SUMPRODUCT(("T_C-HY-GSL-S2"=[1]OUT_TransportEnergyCons!$A$3:$A$1000)*1,("Var_Fin"=[1]OUT_TransportEnergyCons!$B$3:$B$1000)*1,ISNUMBER(SEARCH("GSL",[1]OUT_TransportEnergyCons!$C$3:$C$1000))*1,[1]OUT_TransportEnergyCons!K$3:K$1000)</f>
        <v>0</v>
      </c>
      <c r="N1164" s="1" cm="1">
        <f t="array" ref="N1164">SUMPRODUCT(("T_C-HY-GSL-S2"=[1]OUT_TransportEnergyCons!$A$3:$A$1000)*1,("Var_Fin"=[1]OUT_TransportEnergyCons!$B$3:$B$1000)*1,ISNUMBER(SEARCH("GSL",[1]OUT_TransportEnergyCons!$C$3:$C$1000))*1,[1]OUT_TransportEnergyCons!L$3:L$1000)</f>
        <v>0</v>
      </c>
      <c r="O1164" s="1" cm="1">
        <f t="array" ref="O1164">SUMPRODUCT(("T_C-HY-GSL-S2"=[1]OUT_TransportEnergyCons!$A$3:$A$1000)*1,("Var_Fin"=[1]OUT_TransportEnergyCons!$B$3:$B$1000)*1,ISNUMBER(SEARCH("GSL",[1]OUT_TransportEnergyCons!$C$3:$C$1000))*1,[1]OUT_TransportEnergyCons!M$3:M$1000)</f>
        <v>0</v>
      </c>
      <c r="P1164" s="1" cm="1">
        <f t="array" ref="P1164">SUMPRODUCT(("T_C-HY-GSL-S2"=[1]OUT_TransportEnergyCons!$A$3:$A$1000)*1,("Var_Fin"=[1]OUT_TransportEnergyCons!$B$3:$B$1000)*1,ISNUMBER(SEARCH("GSL",[1]OUT_TransportEnergyCons!$C$3:$C$1000))*1,[1]OUT_TransportEnergyCons!N$3:N$1000)</f>
        <v>0</v>
      </c>
      <c r="Q1164" s="1" cm="1">
        <f t="array" ref="Q1164">SUMPRODUCT(("T_C-HY-GSL-S2"=[1]OUT_TransportEnergyCons!$A$3:$A$1000)*1,("Var_Fin"=[1]OUT_TransportEnergyCons!$B$3:$B$1000)*1,ISNUMBER(SEARCH("GSL",[1]OUT_TransportEnergyCons!$C$3:$C$1000))*1,[1]OUT_TransportEnergyCons!O$3:O$1000)</f>
        <v>0</v>
      </c>
      <c r="S1164" s="3"/>
    </row>
    <row r="1165" spans="2:19" x14ac:dyDescent="0.5">
      <c r="B1165" s="5" t="str">
        <f t="shared" si="1358"/>
        <v>SPS1</v>
      </c>
      <c r="C1165" s="5" t="str">
        <f t="shared" si="135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0.10271288522273561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1.1202748142544317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1.0598635963407992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0.84735231711098236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0.26820145775473897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1.2910094577637141E-4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0</v>
      </c>
      <c r="M1165" s="1" cm="1">
        <f t="array" ref="M1165">SUMPRODUCT(("T_C-HY-GSL-S3"=[1]OUT_TransportEnergyCons!$A$3:$A$1000)*1,("Var_Fin"=[1]OUT_TransportEnergyCons!$B$3:$B$1000)*1,ISNUMBER(SEARCH("GSL",[1]OUT_TransportEnergyCons!$C$3:$C$1000))*1,[1]OUT_TransportEnergyCons!K$3:K$1000)</f>
        <v>0</v>
      </c>
      <c r="N1165" s="1" cm="1">
        <f t="array" ref="N1165">SUMPRODUCT(("T_C-HY-GSL-S3"=[1]OUT_TransportEnergyCons!$A$3:$A$1000)*1,("Var_Fin"=[1]OUT_TransportEnergyCons!$B$3:$B$1000)*1,ISNUMBER(SEARCH("GSL",[1]OUT_TransportEnergyCons!$C$3:$C$1000))*1,[1]OUT_TransportEnergyCons!L$3:L$1000)</f>
        <v>0</v>
      </c>
      <c r="O1165" s="1" cm="1">
        <f t="array" ref="O1165">SUMPRODUCT(("T_C-HY-GSL-S3"=[1]OUT_TransportEnergyCons!$A$3:$A$1000)*1,("Var_Fin"=[1]OUT_TransportEnergyCons!$B$3:$B$1000)*1,ISNUMBER(SEARCH("GSL",[1]OUT_TransportEnergyCons!$C$3:$C$1000))*1,[1]OUT_TransportEnergyCons!M$3:M$1000)</f>
        <v>0</v>
      </c>
      <c r="P1165" s="1" cm="1">
        <f t="array" ref="P1165">SUMPRODUCT(("T_C-HY-GSL-S3"=[1]OUT_TransportEnergyCons!$A$3:$A$1000)*1,("Var_Fin"=[1]OUT_TransportEnergyCons!$B$3:$B$1000)*1,ISNUMBER(SEARCH("GSL",[1]OUT_TransportEnergyCons!$C$3:$C$1000))*1,[1]OUT_TransportEnergyCons!N$3:N$1000)</f>
        <v>0</v>
      </c>
      <c r="Q1165" s="1" cm="1">
        <f t="array" ref="Q1165">SUMPRODUCT(("T_C-HY-GSL-S3"=[1]OUT_TransportEnergyCons!$A$3:$A$1000)*1,("Var_Fin"=[1]OUT_TransportEnergyCons!$B$3:$B$1000)*1,ISNUMBER(SEARCH("GSL",[1]OUT_TransportEnergyCons!$C$3:$C$1000))*1,[1]OUT_TransportEnergyCons!O$3:O$1000)</f>
        <v>0</v>
      </c>
      <c r="S1165" s="3"/>
    </row>
    <row r="1166" spans="2:19" x14ac:dyDescent="0.5">
      <c r="B1166" s="5" t="str">
        <f t="shared" si="1358"/>
        <v>SPS1</v>
      </c>
      <c r="C1166" s="5" t="str">
        <f t="shared" si="135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9.0783340491791473E-2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0.13540357319857327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0.12790956764731901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0.10805514499267227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1.5864926307770873E-2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1.4422586410360683E-4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0</v>
      </c>
      <c r="M1166" s="1" cm="1">
        <f t="array" ref="M1166">SUMPRODUCT(("T_C-HY-GSL-S4"=[1]OUT_TransportEnergyCons!$A$3:$A$1000)*1,("Var_Fin"=[1]OUT_TransportEnergyCons!$B$3:$B$1000)*1,ISNUMBER(SEARCH("GSL",[1]OUT_TransportEnergyCons!$C$3:$C$1000))*1,[1]OUT_TransportEnergyCons!K$3:K$1000)</f>
        <v>0</v>
      </c>
      <c r="N1166" s="1" cm="1">
        <f t="array" ref="N1166">SUMPRODUCT(("T_C-HY-GSL-S4"=[1]OUT_TransportEnergyCons!$A$3:$A$1000)*1,("Var_Fin"=[1]OUT_TransportEnergyCons!$B$3:$B$1000)*1,ISNUMBER(SEARCH("GSL",[1]OUT_TransportEnergyCons!$C$3:$C$1000))*1,[1]OUT_TransportEnergyCons!L$3:L$1000)</f>
        <v>0</v>
      </c>
      <c r="O1166" s="1" cm="1">
        <f t="array" ref="O1166">SUMPRODUCT(("T_C-HY-GSL-S4"=[1]OUT_TransportEnergyCons!$A$3:$A$1000)*1,("Var_Fin"=[1]OUT_TransportEnergyCons!$B$3:$B$1000)*1,ISNUMBER(SEARCH("GSL",[1]OUT_TransportEnergyCons!$C$3:$C$1000))*1,[1]OUT_TransportEnergyCons!M$3:M$1000)</f>
        <v>0</v>
      </c>
      <c r="P1166" s="1" cm="1">
        <f t="array" ref="P1166">SUMPRODUCT(("T_C-HY-GSL-S4"=[1]OUT_TransportEnergyCons!$A$3:$A$1000)*1,("Var_Fin"=[1]OUT_TransportEnergyCons!$B$3:$B$1000)*1,ISNUMBER(SEARCH("GSL",[1]OUT_TransportEnergyCons!$C$3:$C$1000))*1,[1]OUT_TransportEnergyCons!N$3:N$1000)</f>
        <v>0</v>
      </c>
      <c r="Q1166" s="1" cm="1">
        <f t="array" ref="Q1166">SUMPRODUCT(("T_C-HY-GSL-S4"=[1]OUT_TransportEnergyCons!$A$3:$A$1000)*1,("Var_Fin"=[1]OUT_TransportEnergyCons!$B$3:$B$1000)*1,ISNUMBER(SEARCH("GSL",[1]OUT_TransportEnergyCons!$C$3:$C$1000))*1,[1]OUT_TransportEnergyCons!O$3:O$1000)</f>
        <v>0</v>
      </c>
      <c r="S1166" s="3"/>
    </row>
    <row r="1167" spans="2:19" x14ac:dyDescent="0.5">
      <c r="B1167" s="5" t="str">
        <f t="shared" si="1358"/>
        <v>SPS1</v>
      </c>
      <c r="C1167" s="5" t="str">
        <f t="shared" si="135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63.987648657215793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54.322590115882321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48.826236842070564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17.644392878552722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M1167" s="1" cm="1">
        <f t="array" ref="M1167">SUMPRODUCT(("T_C-ICEGSLEXT"=[1]OUT_TransportEnergyCons!$A$3:$A$1000)*1,("Var_Fin"=[1]OUT_TransportEnergyCons!$B$3:$B$1000)*1,ISNUMBER(SEARCH("GSL",[1]OUT_TransportEnergyCons!$C$3:$C$1000))*1,[1]OUT_TransportEnergyCons!K$3:K$1000)</f>
        <v>0</v>
      </c>
      <c r="N1167" s="1" cm="1">
        <f t="array" ref="N1167">SUMPRODUCT(("T_C-ICEGSLEXT"=[1]OUT_TransportEnergyCons!$A$3:$A$1000)*1,("Var_Fin"=[1]OUT_TransportEnergyCons!$B$3:$B$1000)*1,ISNUMBER(SEARCH("GSL",[1]OUT_TransportEnergyCons!$C$3:$C$1000))*1,[1]OUT_TransportEnergyCons!L$3:L$1000)</f>
        <v>0</v>
      </c>
      <c r="O1167" s="1" cm="1">
        <f t="array" ref="O1167">SUMPRODUCT(("T_C-ICEGSLEXT"=[1]OUT_TransportEnergyCons!$A$3:$A$1000)*1,("Var_Fin"=[1]OUT_TransportEnergyCons!$B$3:$B$1000)*1,ISNUMBER(SEARCH("GSL",[1]OUT_TransportEnergyCons!$C$3:$C$1000))*1,[1]OUT_TransportEnergyCons!M$3:M$1000)</f>
        <v>0</v>
      </c>
      <c r="P1167" s="1" cm="1">
        <f t="array" ref="P1167">SUMPRODUCT(("T_C-ICEGSLEXT"=[1]OUT_TransportEnergyCons!$A$3:$A$1000)*1,("Var_Fin"=[1]OUT_TransportEnergyCons!$B$3:$B$1000)*1,ISNUMBER(SEARCH("GSL",[1]OUT_TransportEnergyCons!$C$3:$C$1000))*1,[1]OUT_TransportEnergyCons!N$3:N$1000)</f>
        <v>0</v>
      </c>
      <c r="Q1167" s="1" cm="1">
        <f t="array" ref="Q1167">SUMPRODUCT(("T_C-ICEGSLEXT"=[1]OUT_TransportEnergyCons!$A$3:$A$1000)*1,("Var_Fin"=[1]OUT_TransportEnergyCons!$B$3:$B$1000)*1,ISNUMBER(SEARCH("GSL",[1]OUT_TransportEnergyCons!$C$3:$C$1000))*1,[1]OUT_TransportEnergyCons!O$3:O$1000)</f>
        <v>0</v>
      </c>
      <c r="S1167" s="3"/>
    </row>
    <row r="1168" spans="2:19" x14ac:dyDescent="0.5">
      <c r="B1168" s="5" t="str">
        <f t="shared" si="1358"/>
        <v>SPS1</v>
      </c>
      <c r="C1168" s="5" t="str">
        <f t="shared" si="135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0.49666497178252084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0.5508654871104165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1.3518654927712395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1.1428815794847305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0.62291142693812496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9.776591898434879E-2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0</v>
      </c>
      <c r="M1168" s="1" cm="1">
        <f t="array" ref="M1168">SUMPRODUCT(("T_C-ICE-GSL-S1"=[1]OUT_TransportEnergyCons!$A$3:$A$1000)*1,("Var_Fin"=[1]OUT_TransportEnergyCons!$B$3:$B$1000)*1,ISNUMBER(SEARCH("GSL",[1]OUT_TransportEnergyCons!$C$3:$C$1000))*1,[1]OUT_TransportEnergyCons!K$3:K$1000)</f>
        <v>0</v>
      </c>
      <c r="N1168" s="1" cm="1">
        <f t="array" ref="N1168">SUMPRODUCT(("T_C-ICE-GSL-S1"=[1]OUT_TransportEnergyCons!$A$3:$A$1000)*1,("Var_Fin"=[1]OUT_TransportEnergyCons!$B$3:$B$1000)*1,ISNUMBER(SEARCH("GSL",[1]OUT_TransportEnergyCons!$C$3:$C$1000))*1,[1]OUT_TransportEnergyCons!L$3:L$1000)</f>
        <v>0</v>
      </c>
      <c r="O1168" s="1" cm="1">
        <f t="array" ref="O1168">SUMPRODUCT(("T_C-ICE-GSL-S1"=[1]OUT_TransportEnergyCons!$A$3:$A$1000)*1,("Var_Fin"=[1]OUT_TransportEnergyCons!$B$3:$B$1000)*1,ISNUMBER(SEARCH("GSL",[1]OUT_TransportEnergyCons!$C$3:$C$1000))*1,[1]OUT_TransportEnergyCons!M$3:M$1000)</f>
        <v>0</v>
      </c>
      <c r="P1168" s="1" cm="1">
        <f t="array" ref="P1168">SUMPRODUCT(("T_C-ICE-GSL-S1"=[1]OUT_TransportEnergyCons!$A$3:$A$1000)*1,("Var_Fin"=[1]OUT_TransportEnergyCons!$B$3:$B$1000)*1,ISNUMBER(SEARCH("GSL",[1]OUT_TransportEnergyCons!$C$3:$C$1000))*1,[1]OUT_TransportEnergyCons!N$3:N$1000)</f>
        <v>0</v>
      </c>
      <c r="Q1168" s="1" cm="1">
        <f t="array" ref="Q1168">SUMPRODUCT(("T_C-ICE-GSL-S1"=[1]OUT_TransportEnergyCons!$A$3:$A$1000)*1,("Var_Fin"=[1]OUT_TransportEnergyCons!$B$3:$B$1000)*1,ISNUMBER(SEARCH("GSL",[1]OUT_TransportEnergyCons!$C$3:$C$1000))*1,[1]OUT_TransportEnergyCons!O$3:O$1000)</f>
        <v>0</v>
      </c>
      <c r="S1168" s="3"/>
    </row>
    <row r="1169" spans="2:19" x14ac:dyDescent="0.5">
      <c r="B1169" s="5" t="str">
        <f t="shared" si="1358"/>
        <v>SPS1</v>
      </c>
      <c r="C1169" s="5" t="str">
        <f t="shared" si="135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3.7612463711032849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5.3071483685777618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4.4271840590106626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4.1158755425189346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0.16917089753868933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1.7959463991889747E-3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0</v>
      </c>
      <c r="M1169" s="1" cm="1">
        <f t="array" ref="M1169">SUMPRODUCT(("T_C-ICE-GSL-S2"=[1]OUT_TransportEnergyCons!$A$3:$A$1000)*1,("Var_Fin"=[1]OUT_TransportEnergyCons!$B$3:$B$1000)*1,ISNUMBER(SEARCH("GSL",[1]OUT_TransportEnergyCons!$C$3:$C$1000))*1,[1]OUT_TransportEnergyCons!K$3:K$1000)</f>
        <v>0</v>
      </c>
      <c r="N1169" s="1" cm="1">
        <f t="array" ref="N1169">SUMPRODUCT(("T_C-ICE-GSL-S2"=[1]OUT_TransportEnergyCons!$A$3:$A$1000)*1,("Var_Fin"=[1]OUT_TransportEnergyCons!$B$3:$B$1000)*1,ISNUMBER(SEARCH("GSL",[1]OUT_TransportEnergyCons!$C$3:$C$1000))*1,[1]OUT_TransportEnergyCons!L$3:L$1000)</f>
        <v>0</v>
      </c>
      <c r="O1169" s="1" cm="1">
        <f t="array" ref="O1169">SUMPRODUCT(("T_C-ICE-GSL-S2"=[1]OUT_TransportEnergyCons!$A$3:$A$1000)*1,("Var_Fin"=[1]OUT_TransportEnergyCons!$B$3:$B$1000)*1,ISNUMBER(SEARCH("GSL",[1]OUT_TransportEnergyCons!$C$3:$C$1000))*1,[1]OUT_TransportEnergyCons!M$3:M$1000)</f>
        <v>0</v>
      </c>
      <c r="P1169" s="1" cm="1">
        <f t="array" ref="P1169">SUMPRODUCT(("T_C-ICE-GSL-S2"=[1]OUT_TransportEnergyCons!$A$3:$A$1000)*1,("Var_Fin"=[1]OUT_TransportEnergyCons!$B$3:$B$1000)*1,ISNUMBER(SEARCH("GSL",[1]OUT_TransportEnergyCons!$C$3:$C$1000))*1,[1]OUT_TransportEnergyCons!N$3:N$1000)</f>
        <v>0</v>
      </c>
      <c r="Q1169" s="1" cm="1">
        <f t="array" ref="Q1169">SUMPRODUCT(("T_C-ICE-GSL-S2"=[1]OUT_TransportEnergyCons!$A$3:$A$1000)*1,("Var_Fin"=[1]OUT_TransportEnergyCons!$B$3:$B$1000)*1,ISNUMBER(SEARCH("GSL",[1]OUT_TransportEnergyCons!$C$3:$C$1000))*1,[1]OUT_TransportEnergyCons!O$3:O$1000)</f>
        <v>0</v>
      </c>
      <c r="S1169" s="3"/>
    </row>
    <row r="1170" spans="2:19" x14ac:dyDescent="0.5">
      <c r="B1170" s="5" t="str">
        <f t="shared" si="1358"/>
        <v>SPS1</v>
      </c>
      <c r="C1170" s="5" t="str">
        <f t="shared" si="135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3.7698827773597379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5.7410171011642612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7.1019238853392608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5.8272244690613251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1.1665372090501855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0.1456547810477804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</v>
      </c>
      <c r="M1170" s="1" cm="1">
        <f t="array" ref="M1170">SUMPRODUCT(("T_C-ICE-GSL-S3"=[1]OUT_TransportEnergyCons!$A$3:$A$1000)*1,("Var_Fin"=[1]OUT_TransportEnergyCons!$B$3:$B$1000)*1,ISNUMBER(SEARCH("GSL",[1]OUT_TransportEnergyCons!$C$3:$C$1000))*1,[1]OUT_TransportEnergyCons!K$3:K$1000)</f>
        <v>0</v>
      </c>
      <c r="N1170" s="1" cm="1">
        <f t="array" ref="N1170">SUMPRODUCT(("T_C-ICE-GSL-S3"=[1]OUT_TransportEnergyCons!$A$3:$A$1000)*1,("Var_Fin"=[1]OUT_TransportEnergyCons!$B$3:$B$1000)*1,ISNUMBER(SEARCH("GSL",[1]OUT_TransportEnergyCons!$C$3:$C$1000))*1,[1]OUT_TransportEnergyCons!L$3:L$1000)</f>
        <v>0</v>
      </c>
      <c r="O1170" s="1" cm="1">
        <f t="array" ref="O1170">SUMPRODUCT(("T_C-ICE-GSL-S3"=[1]OUT_TransportEnergyCons!$A$3:$A$1000)*1,("Var_Fin"=[1]OUT_TransportEnergyCons!$B$3:$B$1000)*1,ISNUMBER(SEARCH("GSL",[1]OUT_TransportEnergyCons!$C$3:$C$1000))*1,[1]OUT_TransportEnergyCons!M$3:M$1000)</f>
        <v>0</v>
      </c>
      <c r="P1170" s="1" cm="1">
        <f t="array" ref="P1170">SUMPRODUCT(("T_C-ICE-GSL-S3"=[1]OUT_TransportEnergyCons!$A$3:$A$1000)*1,("Var_Fin"=[1]OUT_TransportEnergyCons!$B$3:$B$1000)*1,ISNUMBER(SEARCH("GSL",[1]OUT_TransportEnergyCons!$C$3:$C$1000))*1,[1]OUT_TransportEnergyCons!N$3:N$1000)</f>
        <v>0</v>
      </c>
      <c r="Q1170" s="1" cm="1">
        <f t="array" ref="Q1170">SUMPRODUCT(("T_C-ICE-GSL-S3"=[1]OUT_TransportEnergyCons!$A$3:$A$1000)*1,("Var_Fin"=[1]OUT_TransportEnergyCons!$B$3:$B$1000)*1,ISNUMBER(SEARCH("GSL",[1]OUT_TransportEnergyCons!$C$3:$C$1000))*1,[1]OUT_TransportEnergyCons!O$3:O$1000)</f>
        <v>0</v>
      </c>
      <c r="S1170" s="3"/>
    </row>
    <row r="1171" spans="2:19" x14ac:dyDescent="0.5">
      <c r="B1171" s="5" t="str">
        <f t="shared" si="1358"/>
        <v>SPS1</v>
      </c>
      <c r="C1171" s="5" t="str">
        <f t="shared" si="135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3.8957688582066972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5.254926354159914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11.111267137095892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9.3260122800793805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3.9135437851455839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0.4352555198915139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0</v>
      </c>
      <c r="M1171" s="1" cm="1">
        <f t="array" ref="M1171">SUMPRODUCT(("T_C-ICE-GSL-S4"=[1]OUT_TransportEnergyCons!$A$3:$A$1000)*1,("Var_Fin"=[1]OUT_TransportEnergyCons!$B$3:$B$1000)*1,ISNUMBER(SEARCH("GSL",[1]OUT_TransportEnergyCons!$C$3:$C$1000))*1,[1]OUT_TransportEnergyCons!K$3:K$1000)</f>
        <v>0</v>
      </c>
      <c r="N1171" s="1" cm="1">
        <f t="array" ref="N1171">SUMPRODUCT(("T_C-ICE-GSL-S4"=[1]OUT_TransportEnergyCons!$A$3:$A$1000)*1,("Var_Fin"=[1]OUT_TransportEnergyCons!$B$3:$B$1000)*1,ISNUMBER(SEARCH("GSL",[1]OUT_TransportEnergyCons!$C$3:$C$1000))*1,[1]OUT_TransportEnergyCons!L$3:L$1000)</f>
        <v>0</v>
      </c>
      <c r="O1171" s="1" cm="1">
        <f t="array" ref="O1171">SUMPRODUCT(("T_C-ICE-GSL-S4"=[1]OUT_TransportEnergyCons!$A$3:$A$1000)*1,("Var_Fin"=[1]OUT_TransportEnergyCons!$B$3:$B$1000)*1,ISNUMBER(SEARCH("GSL",[1]OUT_TransportEnergyCons!$C$3:$C$1000))*1,[1]OUT_TransportEnergyCons!M$3:M$1000)</f>
        <v>0</v>
      </c>
      <c r="P1171" s="1" cm="1">
        <f t="array" ref="P1171">SUMPRODUCT(("T_C-ICE-GSL-S4"=[1]OUT_TransportEnergyCons!$A$3:$A$1000)*1,("Var_Fin"=[1]OUT_TransportEnergyCons!$B$3:$B$1000)*1,ISNUMBER(SEARCH("GSL",[1]OUT_TransportEnergyCons!$C$3:$C$1000))*1,[1]OUT_TransportEnergyCons!N$3:N$1000)</f>
        <v>0</v>
      </c>
      <c r="Q1171" s="1" cm="1">
        <f t="array" ref="Q1171">SUMPRODUCT(("T_C-ICE-GSL-S4"=[1]OUT_TransportEnergyCons!$A$3:$A$1000)*1,("Var_Fin"=[1]OUT_TransportEnergyCons!$B$3:$B$1000)*1,ISNUMBER(SEARCH("GSL",[1]OUT_TransportEnergyCons!$C$3:$C$1000))*1,[1]OUT_TransportEnergyCons!O$3:O$1000)</f>
        <v>0</v>
      </c>
      <c r="S1171" s="3"/>
    </row>
    <row r="1172" spans="2:19" x14ac:dyDescent="0.5">
      <c r="B1172" s="5" t="str">
        <f t="shared" si="1358"/>
        <v>SPS1</v>
      </c>
      <c r="C1172" s="5" t="str">
        <f t="shared" si="135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3.1870417089501575E-4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1.1868873732457489E-3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1.4712393385943984E-3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1.0395631346614715E-3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3.2525016411615536E-4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0</v>
      </c>
      <c r="M1172" s="1" cm="1">
        <f t="array" ref="M1172">SUMPRODUCT(("T_C-MHY-GSL-S1"=[1]OUT_TransportEnergyCons!$A$3:$A$1000)*1,("Var_Fin"=[1]OUT_TransportEnergyCons!$B$3:$B$1000)*1,ISNUMBER(SEARCH("GSL",[1]OUT_TransportEnergyCons!$C$3:$C$1000))*1,[1]OUT_TransportEnergyCons!K$3:K$1000)</f>
        <v>0</v>
      </c>
      <c r="N1172" s="1" cm="1">
        <f t="array" ref="N1172">SUMPRODUCT(("T_C-MHY-GSL-S1"=[1]OUT_TransportEnergyCons!$A$3:$A$1000)*1,("Var_Fin"=[1]OUT_TransportEnergyCons!$B$3:$B$1000)*1,ISNUMBER(SEARCH("GSL",[1]OUT_TransportEnergyCons!$C$3:$C$1000))*1,[1]OUT_TransportEnergyCons!L$3:L$1000)</f>
        <v>0</v>
      </c>
      <c r="O1172" s="1" cm="1">
        <f t="array" ref="O1172">SUMPRODUCT(("T_C-MHY-GSL-S1"=[1]OUT_TransportEnergyCons!$A$3:$A$1000)*1,("Var_Fin"=[1]OUT_TransportEnergyCons!$B$3:$B$1000)*1,ISNUMBER(SEARCH("GSL",[1]OUT_TransportEnergyCons!$C$3:$C$1000))*1,[1]OUT_TransportEnergyCons!M$3:M$1000)</f>
        <v>0</v>
      </c>
      <c r="P1172" s="1" cm="1">
        <f t="array" ref="P1172">SUMPRODUCT(("T_C-MHY-GSL-S1"=[1]OUT_TransportEnergyCons!$A$3:$A$1000)*1,("Var_Fin"=[1]OUT_TransportEnergyCons!$B$3:$B$1000)*1,ISNUMBER(SEARCH("GSL",[1]OUT_TransportEnergyCons!$C$3:$C$1000))*1,[1]OUT_TransportEnergyCons!N$3:N$1000)</f>
        <v>0</v>
      </c>
      <c r="Q1172" s="1" cm="1">
        <f t="array" ref="Q1172">SUMPRODUCT(("T_C-MHY-GSL-S1"=[1]OUT_TransportEnergyCons!$A$3:$A$1000)*1,("Var_Fin"=[1]OUT_TransportEnergyCons!$B$3:$B$1000)*1,ISNUMBER(SEARCH("GSL",[1]OUT_TransportEnergyCons!$C$3:$C$1000))*1,[1]OUT_TransportEnergyCons!O$3:O$1000)</f>
        <v>0</v>
      </c>
      <c r="S1172" s="3"/>
    </row>
    <row r="1173" spans="2:19" x14ac:dyDescent="0.5">
      <c r="B1173" s="5" t="str">
        <f t="shared" si="1358"/>
        <v>SPS1</v>
      </c>
      <c r="C1173" s="5" t="str">
        <f t="shared" si="135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2.981074001152944E-4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1.2020786632330684E-3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1.665839113147003E-3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1.1343865628732075E-3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3.8717945627168886E-4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0</v>
      </c>
      <c r="M1173" s="1" cm="1">
        <f t="array" ref="M1173">SUMPRODUCT(("T_C-MHY-GSL-S2"=[1]OUT_TransportEnergyCons!$A$3:$A$1000)*1,("Var_Fin"=[1]OUT_TransportEnergyCons!$B$3:$B$1000)*1,ISNUMBER(SEARCH("GSL",[1]OUT_TransportEnergyCons!$C$3:$C$1000))*1,[1]OUT_TransportEnergyCons!K$3:K$1000)</f>
        <v>0</v>
      </c>
      <c r="N1173" s="1" cm="1">
        <f t="array" ref="N1173">SUMPRODUCT(("T_C-MHY-GSL-S2"=[1]OUT_TransportEnergyCons!$A$3:$A$1000)*1,("Var_Fin"=[1]OUT_TransportEnergyCons!$B$3:$B$1000)*1,ISNUMBER(SEARCH("GSL",[1]OUT_TransportEnergyCons!$C$3:$C$1000))*1,[1]OUT_TransportEnergyCons!L$3:L$1000)</f>
        <v>0</v>
      </c>
      <c r="O1173" s="1" cm="1">
        <f t="array" ref="O1173">SUMPRODUCT(("T_C-MHY-GSL-S2"=[1]OUT_TransportEnergyCons!$A$3:$A$1000)*1,("Var_Fin"=[1]OUT_TransportEnergyCons!$B$3:$B$1000)*1,ISNUMBER(SEARCH("GSL",[1]OUT_TransportEnergyCons!$C$3:$C$1000))*1,[1]OUT_TransportEnergyCons!M$3:M$1000)</f>
        <v>0</v>
      </c>
      <c r="P1173" s="1" cm="1">
        <f t="array" ref="P1173">SUMPRODUCT(("T_C-MHY-GSL-S2"=[1]OUT_TransportEnergyCons!$A$3:$A$1000)*1,("Var_Fin"=[1]OUT_TransportEnergyCons!$B$3:$B$1000)*1,ISNUMBER(SEARCH("GSL",[1]OUT_TransportEnergyCons!$C$3:$C$1000))*1,[1]OUT_TransportEnergyCons!N$3:N$1000)</f>
        <v>0</v>
      </c>
      <c r="Q1173" s="1" cm="1">
        <f t="array" ref="Q1173">SUMPRODUCT(("T_C-MHY-GSL-S2"=[1]OUT_TransportEnergyCons!$A$3:$A$1000)*1,("Var_Fin"=[1]OUT_TransportEnergyCons!$B$3:$B$1000)*1,ISNUMBER(SEARCH("GSL",[1]OUT_TransportEnergyCons!$C$3:$C$1000))*1,[1]OUT_TransportEnergyCons!O$3:O$1000)</f>
        <v>0</v>
      </c>
      <c r="S1173" s="3"/>
    </row>
    <row r="1174" spans="2:19" x14ac:dyDescent="0.5">
      <c r="B1174" s="5" t="str">
        <f t="shared" si="1358"/>
        <v>SPS1</v>
      </c>
      <c r="C1174" s="5" t="str">
        <f t="shared" si="135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4.1957203766993802E-4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1.4195545108508989E-3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1.7965067816739266E-3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1.1817495522006562E-3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3.6013375274518243E-4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0</v>
      </c>
      <c r="M1174" s="1" cm="1">
        <f t="array" ref="M1174">SUMPRODUCT(("T_C-MHY-GSL-S3"=[1]OUT_TransportEnergyCons!$A$3:$A$1000)*1,("Var_Fin"=[1]OUT_TransportEnergyCons!$B$3:$B$1000)*1,ISNUMBER(SEARCH("GSL",[1]OUT_TransportEnergyCons!$C$3:$C$1000))*1,[1]OUT_TransportEnergyCons!K$3:K$1000)</f>
        <v>0</v>
      </c>
      <c r="N1174" s="1" cm="1">
        <f t="array" ref="N1174">SUMPRODUCT(("T_C-MHY-GSL-S3"=[1]OUT_TransportEnergyCons!$A$3:$A$1000)*1,("Var_Fin"=[1]OUT_TransportEnergyCons!$B$3:$B$1000)*1,ISNUMBER(SEARCH("GSL",[1]OUT_TransportEnergyCons!$C$3:$C$1000))*1,[1]OUT_TransportEnergyCons!L$3:L$1000)</f>
        <v>0</v>
      </c>
      <c r="O1174" s="1" cm="1">
        <f t="array" ref="O1174">SUMPRODUCT(("T_C-MHY-GSL-S3"=[1]OUT_TransportEnergyCons!$A$3:$A$1000)*1,("Var_Fin"=[1]OUT_TransportEnergyCons!$B$3:$B$1000)*1,ISNUMBER(SEARCH("GSL",[1]OUT_TransportEnergyCons!$C$3:$C$1000))*1,[1]OUT_TransportEnergyCons!M$3:M$1000)</f>
        <v>0</v>
      </c>
      <c r="P1174" s="1" cm="1">
        <f t="array" ref="P1174">SUMPRODUCT(("T_C-MHY-GSL-S3"=[1]OUT_TransportEnergyCons!$A$3:$A$1000)*1,("Var_Fin"=[1]OUT_TransportEnergyCons!$B$3:$B$1000)*1,ISNUMBER(SEARCH("GSL",[1]OUT_TransportEnergyCons!$C$3:$C$1000))*1,[1]OUT_TransportEnergyCons!N$3:N$1000)</f>
        <v>0</v>
      </c>
      <c r="Q1174" s="1" cm="1">
        <f t="array" ref="Q1174">SUMPRODUCT(("T_C-MHY-GSL-S3"=[1]OUT_TransportEnergyCons!$A$3:$A$1000)*1,("Var_Fin"=[1]OUT_TransportEnergyCons!$B$3:$B$1000)*1,ISNUMBER(SEARCH("GSL",[1]OUT_TransportEnergyCons!$C$3:$C$1000))*1,[1]OUT_TransportEnergyCons!O$3:O$1000)</f>
        <v>0</v>
      </c>
      <c r="S1174" s="3"/>
    </row>
    <row r="1175" spans="2:19" x14ac:dyDescent="0.5">
      <c r="B1175" s="5" t="str">
        <f t="shared" si="1358"/>
        <v>SPS1</v>
      </c>
      <c r="C1175" s="5" t="str">
        <f t="shared" si="135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4.9816115018008116E-4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1.8224215512879088E-3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2.6074421529886306E-3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1.6981392827279511E-3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5.7525102261954332E-4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0</v>
      </c>
      <c r="M1175" s="1" cm="1">
        <f t="array" ref="M1175">SUMPRODUCT(("T_C-MHY-GSL-S4"=[1]OUT_TransportEnergyCons!$A$3:$A$1000)*1,("Var_Fin"=[1]OUT_TransportEnergyCons!$B$3:$B$1000)*1,ISNUMBER(SEARCH("GSL",[1]OUT_TransportEnergyCons!$C$3:$C$1000))*1,[1]OUT_TransportEnergyCons!K$3:K$1000)</f>
        <v>0</v>
      </c>
      <c r="N1175" s="1" cm="1">
        <f t="array" ref="N1175">SUMPRODUCT(("T_C-MHY-GSL-S4"=[1]OUT_TransportEnergyCons!$A$3:$A$1000)*1,("Var_Fin"=[1]OUT_TransportEnergyCons!$B$3:$B$1000)*1,ISNUMBER(SEARCH("GSL",[1]OUT_TransportEnergyCons!$C$3:$C$1000))*1,[1]OUT_TransportEnergyCons!L$3:L$1000)</f>
        <v>0</v>
      </c>
      <c r="O1175" s="1" cm="1">
        <f t="array" ref="O1175">SUMPRODUCT(("T_C-MHY-GSL-S4"=[1]OUT_TransportEnergyCons!$A$3:$A$1000)*1,("Var_Fin"=[1]OUT_TransportEnergyCons!$B$3:$B$1000)*1,ISNUMBER(SEARCH("GSL",[1]OUT_TransportEnergyCons!$C$3:$C$1000))*1,[1]OUT_TransportEnergyCons!M$3:M$1000)</f>
        <v>0</v>
      </c>
      <c r="P1175" s="1" cm="1">
        <f t="array" ref="P1175">SUMPRODUCT(("T_C-MHY-GSL-S4"=[1]OUT_TransportEnergyCons!$A$3:$A$1000)*1,("Var_Fin"=[1]OUT_TransportEnergyCons!$B$3:$B$1000)*1,ISNUMBER(SEARCH("GSL",[1]OUT_TransportEnergyCons!$C$3:$C$1000))*1,[1]OUT_TransportEnergyCons!N$3:N$1000)</f>
        <v>0</v>
      </c>
      <c r="Q1175" s="1" cm="1">
        <f t="array" ref="Q1175">SUMPRODUCT(("T_C-MHY-GSL-S4"=[1]OUT_TransportEnergyCons!$A$3:$A$1000)*1,("Var_Fin"=[1]OUT_TransportEnergyCons!$B$3:$B$1000)*1,ISNUMBER(SEARCH("GSL",[1]OUT_TransportEnergyCons!$C$3:$C$1000))*1,[1]OUT_TransportEnergyCons!O$3:O$1000)</f>
        <v>0</v>
      </c>
      <c r="S1175" s="3"/>
    </row>
    <row r="1176" spans="2:19" x14ac:dyDescent="0.5">
      <c r="B1176" s="5" t="str">
        <f t="shared" si="1358"/>
        <v>SPS1</v>
      </c>
      <c r="C1176" s="5" t="str">
        <f t="shared" si="135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2.9569696848185772E-4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7.220826506161254E-4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8.933163766053616E-4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9.6109428374390447E-4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8.5377789797143376E-4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4.132588891091593E-4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3.584295045381245E-4</v>
      </c>
      <c r="M1176" s="1" cm="1">
        <f t="array" ref="M1176">SUMPRODUCT(("T-Plg-GSL-mix_S1"=[1]OUT_TransportEnergyCons!$A$3:$A$1000)*1,("Var_Fin"=[1]OUT_TransportEnergyCons!$B$3:$B$1000)*1,ISNUMBER(SEARCH("GSL",[1]OUT_TransportEnergyCons!$C$3:$C$1000))*1,[1]OUT_TransportEnergyCons!K$3:K$1000)</f>
        <v>1.409873735216414E-4</v>
      </c>
      <c r="N1176" s="1" cm="1">
        <f t="array" ref="N1176">SUMPRODUCT(("T-Plg-GSL-mix_S1"=[1]OUT_TransportEnergyCons!$A$3:$A$1000)*1,("Var_Fin"=[1]OUT_TransportEnergyCons!$B$3:$B$1000)*1,ISNUMBER(SEARCH("GSL",[1]OUT_TransportEnergyCons!$C$3:$C$1000))*1,[1]OUT_TransportEnergyCons!L$3:L$1000)</f>
        <v>9.9462723697374476E-4</v>
      </c>
      <c r="O1176" s="1" cm="1">
        <f t="array" ref="O1176">SUMPRODUCT(("T-Plg-GSL-mix_S1"=[1]OUT_TransportEnergyCons!$A$3:$A$1000)*1,("Var_Fin"=[1]OUT_TransportEnergyCons!$B$3:$B$1000)*1,ISNUMBER(SEARCH("GSL",[1]OUT_TransportEnergyCons!$C$3:$C$1000))*1,[1]OUT_TransportEnergyCons!M$3:M$1000)</f>
        <v>1.5941706073296198E-3</v>
      </c>
      <c r="P1176" s="1" cm="1">
        <f t="array" ref="P1176">SUMPRODUCT(("T-Plg-GSL-mix_S1"=[1]OUT_TransportEnergyCons!$A$3:$A$1000)*1,("Var_Fin"=[1]OUT_TransportEnergyCons!$B$3:$B$1000)*1,ISNUMBER(SEARCH("GSL",[1]OUT_TransportEnergyCons!$C$3:$C$1000))*1,[1]OUT_TransportEnergyCons!N$3:N$1000)</f>
        <v>1.8792689331560287E-3</v>
      </c>
      <c r="Q1176" s="1" cm="1">
        <f t="array" ref="Q1176">SUMPRODUCT(("T-Plg-GSL-mix_S1"=[1]OUT_TransportEnergyCons!$A$3:$A$1000)*1,("Var_Fin"=[1]OUT_TransportEnergyCons!$B$3:$B$1000)*1,ISNUMBER(SEARCH("GSL",[1]OUT_TransportEnergyCons!$C$3:$C$1000))*1,[1]OUT_TransportEnergyCons!O$3:O$1000)</f>
        <v>2.2724940715414831E-3</v>
      </c>
      <c r="S1176" s="3"/>
    </row>
    <row r="1177" spans="2:19" x14ac:dyDescent="0.5">
      <c r="B1177" s="5" t="str">
        <f t="shared" si="1358"/>
        <v>SPS1</v>
      </c>
      <c r="C1177" s="5" t="str">
        <f t="shared" si="135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8.3885821724246259E-2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0.16682071286120209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0.11796233405434046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0.13220970082015629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1.43096250755326E-2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1.6032392811153396E-3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1.3041775935192369E-3</v>
      </c>
      <c r="M1177" s="1" cm="1">
        <f t="array" ref="M1177">SUMPRODUCT(("T-Plg-GSL-mix_S2"=[1]OUT_TransportEnergyCons!$A$3:$A$1000)*1,("Var_Fin"=[1]OUT_TransportEnergyCons!$B$3:$B$1000)*1,ISNUMBER(SEARCH("GSL",[1]OUT_TransportEnergyCons!$C$3:$C$1000))*1,[1]OUT_TransportEnergyCons!K$3:K$1000)</f>
        <v>7.517645364109103E-4</v>
      </c>
      <c r="N1177" s="1" cm="1">
        <f t="array" ref="N1177">SUMPRODUCT(("T-Plg-GSL-mix_S2"=[1]OUT_TransportEnergyCons!$A$3:$A$1000)*1,("Var_Fin"=[1]OUT_TransportEnergyCons!$B$3:$B$1000)*1,ISNUMBER(SEARCH("GSL",[1]OUT_TransportEnergyCons!$C$3:$C$1000))*1,[1]OUT_TransportEnergyCons!L$3:L$1000)</f>
        <v>4.0111958453138844E-3</v>
      </c>
      <c r="O1177" s="1" cm="1">
        <f t="array" ref="O1177">SUMPRODUCT(("T-Plg-GSL-mix_S2"=[1]OUT_TransportEnergyCons!$A$3:$A$1000)*1,("Var_Fin"=[1]OUT_TransportEnergyCons!$B$3:$B$1000)*1,ISNUMBER(SEARCH("GSL",[1]OUT_TransportEnergyCons!$C$3:$C$1000))*1,[1]OUT_TransportEnergyCons!M$3:M$1000)</f>
        <v>3.9795969976537905E-3</v>
      </c>
      <c r="P1177" s="1" cm="1">
        <f t="array" ref="P1177">SUMPRODUCT(("T-Plg-GSL-mix_S2"=[1]OUT_TransportEnergyCons!$A$3:$A$1000)*1,("Var_Fin"=[1]OUT_TransportEnergyCons!$B$3:$B$1000)*1,ISNUMBER(SEARCH("GSL",[1]OUT_TransportEnergyCons!$C$3:$C$1000))*1,[1]OUT_TransportEnergyCons!N$3:N$1000)</f>
        <v>3.1435086655741606E-3</v>
      </c>
      <c r="Q1177" s="1" cm="1">
        <f t="array" ref="Q1177">SUMPRODUCT(("T-Plg-GSL-mix_S2"=[1]OUT_TransportEnergyCons!$A$3:$A$1000)*1,("Var_Fin"=[1]OUT_TransportEnergyCons!$B$3:$B$1000)*1,ISNUMBER(SEARCH("GSL",[1]OUT_TransportEnergyCons!$C$3:$C$1000))*1,[1]OUT_TransportEnergyCons!O$3:O$1000)</f>
        <v>1.4864702723552943E-3</v>
      </c>
      <c r="S1177" s="3"/>
    </row>
    <row r="1178" spans="2:19" x14ac:dyDescent="0.5">
      <c r="B1178" s="5" t="str">
        <f t="shared" si="1358"/>
        <v>SPS1</v>
      </c>
      <c r="C1178" s="5" t="str">
        <f t="shared" si="135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8.977441142811754E-2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0.24300080991026118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1.7790203266807154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4.6617599730458696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12.027368766777283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7.6233435265062051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6.5449460262287067</v>
      </c>
      <c r="M1178" s="1" cm="1">
        <f t="array" ref="M1178">SUMPRODUCT(("T-Plg-GSL-mix_S3"=[1]OUT_TransportEnergyCons!$A$3:$A$1000)*1,("Var_Fin"=[1]OUT_TransportEnergyCons!$B$3:$B$1000)*1,ISNUMBER(SEARCH("GSL",[1]OUT_TransportEnergyCons!$C$3:$C$1000))*1,[1]OUT_TransportEnergyCons!K$3:K$1000)</f>
        <v>1.9244555823885283</v>
      </c>
      <c r="N1178" s="1" cm="1">
        <f t="array" ref="N1178">SUMPRODUCT(("T-Plg-GSL-mix_S3"=[1]OUT_TransportEnergyCons!$A$3:$A$1000)*1,("Var_Fin"=[1]OUT_TransportEnergyCons!$B$3:$B$1000)*1,ISNUMBER(SEARCH("GSL",[1]OUT_TransportEnergyCons!$C$3:$C$1000))*1,[1]OUT_TransportEnergyCons!L$3:L$1000)</f>
        <v>0.84431273857617006</v>
      </c>
      <c r="O1178" s="1" cm="1">
        <f t="array" ref="O1178">SUMPRODUCT(("T-Plg-GSL-mix_S3"=[1]OUT_TransportEnergyCons!$A$3:$A$1000)*1,("Var_Fin"=[1]OUT_TransportEnergyCons!$B$3:$B$1000)*1,ISNUMBER(SEARCH("GSL",[1]OUT_TransportEnergyCons!$C$3:$C$1000))*1,[1]OUT_TransportEnergyCons!M$3:M$1000)</f>
        <v>5.1207828529132955E-3</v>
      </c>
      <c r="P1178" s="1" cm="1">
        <f t="array" ref="P1178">SUMPRODUCT(("T-Plg-GSL-mix_S3"=[1]OUT_TransportEnergyCons!$A$3:$A$1000)*1,("Var_Fin"=[1]OUT_TransportEnergyCons!$B$3:$B$1000)*1,ISNUMBER(SEARCH("GSL",[1]OUT_TransportEnergyCons!$C$3:$C$1000))*1,[1]OUT_TransportEnergyCons!N$3:N$1000)</f>
        <v>4.4309134181092823E-3</v>
      </c>
      <c r="Q1178" s="1" cm="1">
        <f t="array" ref="Q1178">SUMPRODUCT(("T-Plg-GSL-mix_S3"=[1]OUT_TransportEnergyCons!$A$3:$A$1000)*1,("Var_Fin"=[1]OUT_TransportEnergyCons!$B$3:$B$1000)*1,ISNUMBER(SEARCH("GSL",[1]OUT_TransportEnergyCons!$C$3:$C$1000))*1,[1]OUT_TransportEnergyCons!O$3:O$1000)</f>
        <v>2.4039466229945532E-3</v>
      </c>
      <c r="S1178" s="3"/>
    </row>
    <row r="1179" spans="2:19" x14ac:dyDescent="0.5">
      <c r="B1179" s="5" t="str">
        <f t="shared" si="1358"/>
        <v>SPS1</v>
      </c>
      <c r="C1179" s="5" t="str">
        <f t="shared" si="135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0.17147264589544414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0.30512595927496927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0.29186012782918752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0.22134246256455631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3.7708889455811648E-2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3.9764313967983996E-3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2.4587464138655746E-3</v>
      </c>
      <c r="M1179" s="1" cm="1">
        <f t="array" ref="M1179">SUMPRODUCT(("T-Plg-GSL-mix_S4"=[1]OUT_TransportEnergyCons!$A$3:$A$1000)*1,("Var_Fin"=[1]OUT_TransportEnergyCons!$B$3:$B$1000)*1,ISNUMBER(SEARCH("GSL",[1]OUT_TransportEnergyCons!$C$3:$C$1000))*1,[1]OUT_TransportEnergyCons!K$3:K$1000)</f>
        <v>1.072505392915244E-3</v>
      </c>
      <c r="N1179" s="1" cm="1">
        <f t="array" ref="N1179">SUMPRODUCT(("T-Plg-GSL-mix_S4"=[1]OUT_TransportEnergyCons!$A$3:$A$1000)*1,("Var_Fin"=[1]OUT_TransportEnergyCons!$B$3:$B$1000)*1,ISNUMBER(SEARCH("GSL",[1]OUT_TransportEnergyCons!$C$3:$C$1000))*1,[1]OUT_TransportEnergyCons!L$3:L$1000)</f>
        <v>0.51655074303024873</v>
      </c>
      <c r="O1179" s="1" cm="1">
        <f t="array" ref="O1179">SUMPRODUCT(("T-Plg-GSL-mix_S4"=[1]OUT_TransportEnergyCons!$A$3:$A$1000)*1,("Var_Fin"=[1]OUT_TransportEnergyCons!$B$3:$B$1000)*1,ISNUMBER(SEARCH("GSL",[1]OUT_TransportEnergyCons!$C$3:$C$1000))*1,[1]OUT_TransportEnergyCons!M$3:M$1000)</f>
        <v>1.3451051506252116</v>
      </c>
      <c r="P1179" s="1" cm="1">
        <f t="array" ref="P1179">SUMPRODUCT(("T-Plg-GSL-mix_S4"=[1]OUT_TransportEnergyCons!$A$3:$A$1000)*1,("Var_Fin"=[1]OUT_TransportEnergyCons!$B$3:$B$1000)*1,ISNUMBER(SEARCH("GSL",[1]OUT_TransportEnergyCons!$C$3:$C$1000))*1,[1]OUT_TransportEnergyCons!N$3:N$1000)</f>
        <v>1.2268469454275324</v>
      </c>
      <c r="Q1179" s="1" cm="1">
        <f t="array" ref="Q1179">SUMPRODUCT(("T-Plg-GSL-mix_S4"=[1]OUT_TransportEnergyCons!$A$3:$A$1000)*1,("Var_Fin"=[1]OUT_TransportEnergyCons!$B$3:$B$1000)*1,ISNUMBER(SEARCH("GSL",[1]OUT_TransportEnergyCons!$C$3:$C$1000))*1,[1]OUT_TransportEnergyCons!O$3:O$1000)</f>
        <v>1.0414909708472664</v>
      </c>
      <c r="S1179" s="3"/>
    </row>
    <row r="1180" spans="2:19" x14ac:dyDescent="0.5">
      <c r="B1180" s="5" t="str">
        <f t="shared" si="1358"/>
        <v>SPS1</v>
      </c>
      <c r="C1180" s="5" t="str">
        <f t="shared" si="1359"/>
        <v>CH</v>
      </c>
      <c r="D1180" t="s">
        <v>1280</v>
      </c>
      <c r="E1180" t="s">
        <v>8</v>
      </c>
      <c r="F1180" s="1">
        <f>SUM(F1185:F1202)</f>
        <v>60.413415826436861</v>
      </c>
      <c r="G1180" s="1">
        <f t="shared" ref="G1180:K1180" si="1375">SUM(G1185:G1202)</f>
        <v>59.111277936351769</v>
      </c>
      <c r="H1180" s="1">
        <f t="shared" si="1375"/>
        <v>46.656738626122689</v>
      </c>
      <c r="I1180" s="1">
        <f t="shared" si="1375"/>
        <v>26.320685466093718</v>
      </c>
      <c r="J1180" s="1">
        <f t="shared" si="1375"/>
        <v>10.318376665629918</v>
      </c>
      <c r="K1180" s="1">
        <f t="shared" si="1375"/>
        <v>5.4887953139656087</v>
      </c>
      <c r="L1180" s="1">
        <f t="shared" ref="L1180:O1180" si="1376">SUM(L1185:L1202)</f>
        <v>4.522878055409584</v>
      </c>
      <c r="M1180" s="1">
        <f t="shared" si="1376"/>
        <v>1.3361604837223546</v>
      </c>
      <c r="N1180" s="1">
        <f t="shared" si="1376"/>
        <v>0.93397007755175365</v>
      </c>
      <c r="O1180" s="1">
        <f t="shared" si="1376"/>
        <v>0.93618192608801198</v>
      </c>
      <c r="P1180" s="1">
        <f>SUM(P1185:P1202)</f>
        <v>0.85406108915688761</v>
      </c>
      <c r="Q1180" s="1">
        <f>SUM(Q1185:Q1202)</f>
        <v>0.72374117069737232</v>
      </c>
      <c r="S1180" s="3"/>
    </row>
    <row r="1181" spans="2:19" x14ac:dyDescent="0.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58.914340187247731</v>
      </c>
      <c r="G1181" s="1">
        <f t="shared" ref="G1181:K1181" si="1377">IF(G1180-G1182&lt;0,0,G1180-G1182)</f>
        <v>57.559123315041724</v>
      </c>
      <c r="H1181" s="1">
        <f t="shared" si="1377"/>
        <v>44.563131975659502</v>
      </c>
      <c r="I1181" s="1">
        <f t="shared" si="1377"/>
        <v>25.100117117869381</v>
      </c>
      <c r="J1181" s="1">
        <f t="shared" si="1377"/>
        <v>9.5333778961226869</v>
      </c>
      <c r="K1181" s="1">
        <f t="shared" si="1377"/>
        <v>4.8827330034808707</v>
      </c>
      <c r="L1181" s="1">
        <f t="shared" ref="L1181:O1181" si="1378">IF(L1180-L1182&lt;0,0,L1180-L1182)</f>
        <v>3.2269598769525816</v>
      </c>
      <c r="M1181" s="1">
        <f t="shared" si="1378"/>
        <v>0</v>
      </c>
      <c r="N1181" s="1">
        <f t="shared" si="1378"/>
        <v>6.9366132148029891E-5</v>
      </c>
      <c r="O1181" s="1">
        <f t="shared" si="1378"/>
        <v>1.1775789479639975E-4</v>
      </c>
      <c r="P1181" s="1">
        <f>IF(P1180-P1182&lt;0,0,P1180-P1182)</f>
        <v>7.043982330490195E-5</v>
      </c>
      <c r="Q1181" s="1">
        <f>IF(Q1180-Q1182&lt;0,0,Q1180-Q1182)</f>
        <v>1.1527458067761565E-4</v>
      </c>
      <c r="S1181" s="3"/>
    </row>
    <row r="1182" spans="2:19" x14ac:dyDescent="0.5">
      <c r="B1182" s="5" t="str">
        <f t="shared" ref="B1182:B1184" si="1379">B1181</f>
        <v>SPS1</v>
      </c>
      <c r="C1182" s="5" t="str">
        <f t="shared" ref="C1182:C1184" si="1380">C1181</f>
        <v>CH</v>
      </c>
      <c r="D1182" t="s">
        <v>1282</v>
      </c>
      <c r="E1182" t="str">
        <f t="shared" ref="E1182:E1184" si="1381">E1181</f>
        <v>PJ/yr.</v>
      </c>
      <c r="F1182" s="1">
        <f>SUM(F1183:F1184)</f>
        <v>1.499075639189132</v>
      </c>
      <c r="G1182" s="1">
        <f t="shared" ref="G1182" si="1382">SUM(G1183:G1184)</f>
        <v>1.5521546213100428</v>
      </c>
      <c r="H1182" s="1">
        <f t="shared" ref="H1182" si="1383">SUM(H1183:H1184)</f>
        <v>2.0936066504631876</v>
      </c>
      <c r="I1182" s="1">
        <f t="shared" ref="I1182" si="1384">SUM(I1183:I1184)</f>
        <v>1.220568348224337</v>
      </c>
      <c r="J1182" s="1">
        <f t="shared" ref="J1182" si="1385">SUM(J1183:J1184)</f>
        <v>0.78499876950723113</v>
      </c>
      <c r="K1182" s="1">
        <f t="shared" ref="K1182" si="1386">SUM(K1183:K1184)</f>
        <v>0.60606231048473835</v>
      </c>
      <c r="L1182" s="1">
        <f t="shared" ref="L1182:O1182" si="1387">SUM(L1183:L1184)</f>
        <v>1.2959181784570024</v>
      </c>
      <c r="M1182" s="1">
        <f t="shared" si="1387"/>
        <v>2.79231182734177</v>
      </c>
      <c r="N1182" s="1">
        <f t="shared" si="1387"/>
        <v>0.93390071141960562</v>
      </c>
      <c r="O1182" s="1">
        <f t="shared" si="1387"/>
        <v>0.93606416819321558</v>
      </c>
      <c r="P1182" s="1">
        <f>SUM(P1183:P1184)</f>
        <v>0.85399064933358271</v>
      </c>
      <c r="Q1182" s="1">
        <f>SUM(Q1183:Q1184)</f>
        <v>0.7236258961166947</v>
      </c>
      <c r="S1182" s="3"/>
    </row>
    <row r="1183" spans="2:19" x14ac:dyDescent="0.5">
      <c r="B1183" s="5" t="str">
        <f t="shared" si="1379"/>
        <v>SPS1</v>
      </c>
      <c r="C1183" s="5" t="str">
        <f t="shared" si="1380"/>
        <v>CH</v>
      </c>
      <c r="D1183" t="s">
        <v>1283</v>
      </c>
      <c r="E1183" t="str">
        <f t="shared" si="1381"/>
        <v>PJ/yr.</v>
      </c>
      <c r="F1183" s="1">
        <f>[1]Transport!B$26/SUM([1]Transport!B$22,[1]Transport!B$26)*F1180*(F$34+F$582)/(F$34+F$582+F$38)</f>
        <v>1.499075639189132</v>
      </c>
      <c r="G1183" s="1">
        <f>[1]Transport!C$26/SUM([1]Transport!C$22,[1]Transport!C$26)*G1180*(G$34+G$582)/(G$34+G$582+G$38)</f>
        <v>1.5521546213100428</v>
      </c>
      <c r="H1183" s="1">
        <f>[1]Transport!D$26/SUM([1]Transport!D$22,[1]Transport!D$26)*H1180*(H$34+H$582)/(H$34+H$582+H$38)</f>
        <v>2.0936066504631876</v>
      </c>
      <c r="I1183" s="1">
        <f>[1]Transport!E$26/SUM([1]Transport!E$22,[1]Transport!E$26)*I1180*(I$34+I$582)/(I$34+I$582+I$38)</f>
        <v>1.220568348224337</v>
      </c>
      <c r="J1183" s="1">
        <f>[1]Transport!F$26/SUM([1]Transport!F$22,[1]Transport!F$26)*J1180*(J$34+J$582)/(J$34+J$582+J$38)</f>
        <v>0.78499876950723113</v>
      </c>
      <c r="K1183" s="1">
        <f>[1]Transport!G$26/SUM([1]Transport!G$22,[1]Transport!G$26)*K1180*(K$34+K$582)/(K$34+K$582+K$38)</f>
        <v>0.60552174801881287</v>
      </c>
      <c r="L1183" s="1">
        <f>[1]Transport!H$26/SUM([1]Transport!H$22,[1]Transport!H$26)*L1180*(L$34+L$582)/(L$34+L$582+L$38)</f>
        <v>1.0272302779099414</v>
      </c>
      <c r="M1183" s="1">
        <f>[1]Transport!I$26/SUM([1]Transport!I$22,[1]Transport!I$26)*M1180*(M$34+M$582)/(M$34+M$582+M$38)</f>
        <v>0.67717339288000511</v>
      </c>
      <c r="N1183" s="1">
        <f>[1]Transport!J$26/SUM([1]Transport!J$22,[1]Transport!J$26)*N1180*(N$34+N$582)/(N$34+N$582+N$38)</f>
        <v>0.93371546107495407</v>
      </c>
      <c r="O1183" s="1">
        <f>[1]Transport!K$26/SUM([1]Transport!K$22,[1]Transport!K$26)*O1180*(O$34+O$582)/(O$34+O$582+O$38)</f>
        <v>0.93569882068134291</v>
      </c>
      <c r="P1183" s="1">
        <f>[1]Transport!L$26/SUM([1]Transport!L$22,[1]Transport!L$26)*P1180*(P$34+P$582)/(P$34+P$582+P$38)</f>
        <v>0.85374402773943769</v>
      </c>
      <c r="Q1183" s="1">
        <f>[1]Transport!M$26/SUM([1]Transport!M$22,[1]Transport!M$26)*Q1180*(Q$34+Q$582)/(Q$34+Q$582+Q$38)</f>
        <v>0.72313668422964683</v>
      </c>
      <c r="S1183" s="3"/>
    </row>
    <row r="1184" spans="2:19" x14ac:dyDescent="0.5">
      <c r="B1184" s="5" t="str">
        <f t="shared" si="1379"/>
        <v>SPS1</v>
      </c>
      <c r="C1184" s="5" t="str">
        <f t="shared" si="1380"/>
        <v>CH</v>
      </c>
      <c r="D1184" t="s">
        <v>1284</v>
      </c>
      <c r="E1184" t="str">
        <f t="shared" si="1381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0</v>
      </c>
      <c r="K1184" s="1">
        <f>(K$38+K$718)/([1]Transport!G$22+[1]Transport!G$26)*K1180</f>
        <v>5.4056246592547633E-4</v>
      </c>
      <c r="L1184" s="1">
        <f>(L$38+L$718)/([1]Transport!H$22+[1]Transport!H$26)*L1180</f>
        <v>0.26868790054706099</v>
      </c>
      <c r="M1184" s="1">
        <f>(M$38+M$718)/([1]Transport!I$22+[1]Transport!I$26)*M1180</f>
        <v>2.1151384344617647</v>
      </c>
      <c r="N1184" s="1">
        <f>(N$38+N$718)/([1]Transport!J$22+[1]Transport!J$26)*N1180</f>
        <v>1.8525034465157895E-4</v>
      </c>
      <c r="O1184" s="1">
        <f>(O$38+O$718)/([1]Transport!K$22+[1]Transport!K$26)*O1180</f>
        <v>3.6534751187272153E-4</v>
      </c>
      <c r="P1184" s="1">
        <f>(P$38+P$718)/([1]Transport!L$22+[1]Transport!L$26)*P1180</f>
        <v>2.4662159414500575E-4</v>
      </c>
      <c r="Q1184" s="1">
        <f>(Q$38+Q$718)/([1]Transport!M$22+[1]Transport!M$26)*Q1180</f>
        <v>4.8921188704788819E-4</v>
      </c>
      <c r="R1184" s="1"/>
      <c r="S1184" s="3"/>
    </row>
    <row r="1185" spans="2:19" x14ac:dyDescent="0.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M1185" s="1" cm="1">
        <f t="array" ref="M1185">SUMPRODUCT(("T_C-HYBDSLEXT"=[1]OUT_TransportEnergyCons!$A$3:$A$1000)*1,("Var_Fin"=[1]OUT_TransportEnergyCons!$B$3:$B$1000)*1,ISNUMBER(SEARCH("DSL",[1]OUT_TransportEnergyCons!$C$3:$C$1000))*1,[1]OUT_TransportEnergyCons!K$3:K$1000)</f>
        <v>0</v>
      </c>
      <c r="N1185" s="1" cm="1">
        <f t="array" ref="N1185">SUMPRODUCT(("T_C-HYBDSLEXT"=[1]OUT_TransportEnergyCons!$A$3:$A$1000)*1,("Var_Fin"=[1]OUT_TransportEnergyCons!$B$3:$B$1000)*1,ISNUMBER(SEARCH("DSL",[1]OUT_TransportEnergyCons!$C$3:$C$1000))*1,[1]OUT_TransportEnergyCons!L$3:L$1000)</f>
        <v>0</v>
      </c>
      <c r="O1185" s="1" cm="1">
        <f t="array" ref="O1185">SUMPRODUCT(("T_C-HYBDSLEXT"=[1]OUT_TransportEnergyCons!$A$3:$A$1000)*1,("Var_Fin"=[1]OUT_TransportEnergyCons!$B$3:$B$1000)*1,ISNUMBER(SEARCH("DSL",[1]OUT_TransportEnergyCons!$C$3:$C$1000))*1,[1]OUT_TransportEnergyCons!M$3:M$1000)</f>
        <v>0</v>
      </c>
      <c r="P1185" s="1" cm="1">
        <f t="array" ref="P1185">SUMPRODUCT(("T_C-HYBDSLEXT"=[1]OUT_TransportEnergyCons!$A$3:$A$1000)*1,("Var_Fin"=[1]OUT_TransportEnergyCons!$B$3:$B$1000)*1,ISNUMBER(SEARCH("DSL",[1]OUT_TransportEnergyCons!$C$3:$C$1000))*1,[1]OUT_TransportEnergyCons!N$3:N$1000)</f>
        <v>0</v>
      </c>
      <c r="Q1185" s="1" cm="1">
        <f t="array" ref="Q1185">SUMPRODUCT(("T_C-HYBDSLEXT"=[1]OUT_TransportEnergyCons!$A$3:$A$1000)*1,("Var_Fin"=[1]OUT_TransportEnergyCons!$B$3:$B$1000)*1,ISNUMBER(SEARCH("DSL",[1]OUT_TransportEnergyCons!$C$3:$C$1000))*1,[1]OUT_TransportEnergyCons!O$3:O$1000)</f>
        <v>0</v>
      </c>
      <c r="S1185" s="3"/>
    </row>
    <row r="1186" spans="2:19" x14ac:dyDescent="0.5">
      <c r="B1186" s="5" t="str">
        <f t="shared" si="1358"/>
        <v>SPS1</v>
      </c>
      <c r="C1186" s="5" t="str">
        <f t="shared" si="135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3.0896708491896122E-5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0.16428143889999111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0.11380593154391486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9.2365055596679388E-2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3.3650108185247475E-2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8.0801789707948357E-4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0</v>
      </c>
      <c r="M1186" s="1" cm="1">
        <f t="array" ref="M1186">SUMPRODUCT(("T_C-HY-DSL-S1"=[1]OUT_TransportEnergyCons!$A$3:$A$1000)*1,("Var_Fin"=[1]OUT_TransportEnergyCons!$B$3:$B$1000)*1,ISNUMBER(SEARCH("DSL",[1]OUT_TransportEnergyCons!$C$3:$C$1000))*1,[1]OUT_TransportEnergyCons!K$3:K$1000)</f>
        <v>0</v>
      </c>
      <c r="N1186" s="1" cm="1">
        <f t="array" ref="N1186">SUMPRODUCT(("T_C-HY-DSL-S1"=[1]OUT_TransportEnergyCons!$A$3:$A$1000)*1,("Var_Fin"=[1]OUT_TransportEnergyCons!$B$3:$B$1000)*1,ISNUMBER(SEARCH("DSL",[1]OUT_TransportEnergyCons!$C$3:$C$1000))*1,[1]OUT_TransportEnergyCons!L$3:L$1000)</f>
        <v>0</v>
      </c>
      <c r="O1186" s="1" cm="1">
        <f t="array" ref="O1186">SUMPRODUCT(("T_C-HY-DSL-S1"=[1]OUT_TransportEnergyCons!$A$3:$A$1000)*1,("Var_Fin"=[1]OUT_TransportEnergyCons!$B$3:$B$1000)*1,ISNUMBER(SEARCH("DSL",[1]OUT_TransportEnergyCons!$C$3:$C$1000))*1,[1]OUT_TransportEnergyCons!M$3:M$1000)</f>
        <v>0</v>
      </c>
      <c r="P1186" s="1" cm="1">
        <f t="array" ref="P1186">SUMPRODUCT(("T_C-HY-DSL-S1"=[1]OUT_TransportEnergyCons!$A$3:$A$1000)*1,("Var_Fin"=[1]OUT_TransportEnergyCons!$B$3:$B$1000)*1,ISNUMBER(SEARCH("DSL",[1]OUT_TransportEnergyCons!$C$3:$C$1000))*1,[1]OUT_TransportEnergyCons!N$3:N$1000)</f>
        <v>0</v>
      </c>
      <c r="Q1186" s="1" cm="1">
        <f t="array" ref="Q1186">SUMPRODUCT(("T_C-HY-DSL-S1"=[1]OUT_TransportEnergyCons!$A$3:$A$1000)*1,("Var_Fin"=[1]OUT_TransportEnergyCons!$B$3:$B$1000)*1,ISNUMBER(SEARCH("DSL",[1]OUT_TransportEnergyCons!$C$3:$C$1000))*1,[1]OUT_TransportEnergyCons!O$3:O$1000)</f>
        <v>0</v>
      </c>
      <c r="R1186" s="1"/>
      <c r="S1186" s="3"/>
    </row>
    <row r="1187" spans="2:19" x14ac:dyDescent="0.5">
      <c r="B1187" s="5" t="str">
        <f t="shared" si="1358"/>
        <v>SPS1</v>
      </c>
      <c r="C1187" s="5" t="str">
        <f t="shared" si="135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2.7771077161734335E-3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0.56532883682932888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1.1672417621297007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0.98603484544005082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0.48410963490394637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4.6315213801027641E-2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0</v>
      </c>
      <c r="M1187" s="1" cm="1">
        <f t="array" ref="M1187">SUMPRODUCT(("T_C-HY-DSL-S2"=[1]OUT_TransportEnergyCons!$A$3:$A$1000)*1,("Var_Fin"=[1]OUT_TransportEnergyCons!$B$3:$B$1000)*1,ISNUMBER(SEARCH("DSL",[1]OUT_TransportEnergyCons!$C$3:$C$1000))*1,[1]OUT_TransportEnergyCons!K$3:K$1000)</f>
        <v>0</v>
      </c>
      <c r="N1187" s="1" cm="1">
        <f t="array" ref="N1187">SUMPRODUCT(("T_C-HY-DSL-S2"=[1]OUT_TransportEnergyCons!$A$3:$A$1000)*1,("Var_Fin"=[1]OUT_TransportEnergyCons!$B$3:$B$1000)*1,ISNUMBER(SEARCH("DSL",[1]OUT_TransportEnergyCons!$C$3:$C$1000))*1,[1]OUT_TransportEnergyCons!L$3:L$1000)</f>
        <v>0</v>
      </c>
      <c r="O1187" s="1" cm="1">
        <f t="array" ref="O1187">SUMPRODUCT(("T_C-HY-DSL-S2"=[1]OUT_TransportEnergyCons!$A$3:$A$1000)*1,("Var_Fin"=[1]OUT_TransportEnergyCons!$B$3:$B$1000)*1,ISNUMBER(SEARCH("DSL",[1]OUT_TransportEnergyCons!$C$3:$C$1000))*1,[1]OUT_TransportEnergyCons!M$3:M$1000)</f>
        <v>0</v>
      </c>
      <c r="P1187" s="1" cm="1">
        <f t="array" ref="P1187">SUMPRODUCT(("T_C-HY-DSL-S2"=[1]OUT_TransportEnergyCons!$A$3:$A$1000)*1,("Var_Fin"=[1]OUT_TransportEnergyCons!$B$3:$B$1000)*1,ISNUMBER(SEARCH("DSL",[1]OUT_TransportEnergyCons!$C$3:$C$1000))*1,[1]OUT_TransportEnergyCons!N$3:N$1000)</f>
        <v>0</v>
      </c>
      <c r="Q1187" s="1" cm="1">
        <f t="array" ref="Q1187">SUMPRODUCT(("T_C-HY-DSL-S2"=[1]OUT_TransportEnergyCons!$A$3:$A$1000)*1,("Var_Fin"=[1]OUT_TransportEnergyCons!$B$3:$B$1000)*1,ISNUMBER(SEARCH("DSL",[1]OUT_TransportEnergyCons!$C$3:$C$1000))*1,[1]OUT_TransportEnergyCons!O$3:O$1000)</f>
        <v>0</v>
      </c>
      <c r="S1187" s="3"/>
    </row>
    <row r="1188" spans="2:19" x14ac:dyDescent="0.5">
      <c r="B1188" s="5" t="str">
        <f t="shared" si="1358"/>
        <v>SPS1</v>
      </c>
      <c r="C1188" s="5" t="str">
        <f t="shared" si="135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2.9333435732452784E-2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4.5616405067288812E-2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4.3805601523939829E-2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3.292949565883968E-2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6.4133882500858287E-3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1.3163751718543192E-4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0</v>
      </c>
      <c r="M1188" s="1" cm="1">
        <f t="array" ref="M1188">SUMPRODUCT(("T_C-HY-DSL-S3"=[1]OUT_TransportEnergyCons!$A$3:$A$1000)*1,("Var_Fin"=[1]OUT_TransportEnergyCons!$B$3:$B$1000)*1,ISNUMBER(SEARCH("DSL",[1]OUT_TransportEnergyCons!$C$3:$C$1000))*1,[1]OUT_TransportEnergyCons!K$3:K$1000)</f>
        <v>0</v>
      </c>
      <c r="N1188" s="1" cm="1">
        <f t="array" ref="N1188">SUMPRODUCT(("T_C-HY-DSL-S3"=[1]OUT_TransportEnergyCons!$A$3:$A$1000)*1,("Var_Fin"=[1]OUT_TransportEnergyCons!$B$3:$B$1000)*1,ISNUMBER(SEARCH("DSL",[1]OUT_TransportEnergyCons!$C$3:$C$1000))*1,[1]OUT_TransportEnergyCons!L$3:L$1000)</f>
        <v>0</v>
      </c>
      <c r="O1188" s="1" cm="1">
        <f t="array" ref="O1188">SUMPRODUCT(("T_C-HY-DSL-S3"=[1]OUT_TransportEnergyCons!$A$3:$A$1000)*1,("Var_Fin"=[1]OUT_TransportEnergyCons!$B$3:$B$1000)*1,ISNUMBER(SEARCH("DSL",[1]OUT_TransportEnergyCons!$C$3:$C$1000))*1,[1]OUT_TransportEnergyCons!M$3:M$1000)</f>
        <v>0</v>
      </c>
      <c r="P1188" s="1" cm="1">
        <f t="array" ref="P1188">SUMPRODUCT(("T_C-HY-DSL-S3"=[1]OUT_TransportEnergyCons!$A$3:$A$1000)*1,("Var_Fin"=[1]OUT_TransportEnergyCons!$B$3:$B$1000)*1,ISNUMBER(SEARCH("DSL",[1]OUT_TransportEnergyCons!$C$3:$C$1000))*1,[1]OUT_TransportEnergyCons!N$3:N$1000)</f>
        <v>0</v>
      </c>
      <c r="Q1188" s="1" cm="1">
        <f t="array" ref="Q1188">SUMPRODUCT(("T_C-HY-DSL-S3"=[1]OUT_TransportEnergyCons!$A$3:$A$1000)*1,("Var_Fin"=[1]OUT_TransportEnergyCons!$B$3:$B$1000)*1,ISNUMBER(SEARCH("DSL",[1]OUT_TransportEnergyCons!$C$3:$C$1000))*1,[1]OUT_TransportEnergyCons!O$3:O$1000)</f>
        <v>0</v>
      </c>
      <c r="S1188" s="3"/>
    </row>
    <row r="1189" spans="2:19" x14ac:dyDescent="0.5">
      <c r="B1189" s="5" t="str">
        <f t="shared" si="1358"/>
        <v>SPS1</v>
      </c>
      <c r="C1189" s="5" t="str">
        <f t="shared" si="135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3.5263613708202288E-2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7.1124213427985319E-2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6.7524942550418895E-2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5.554803433333716E-2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1.2577881189187092E-2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1.4482263411585492E-4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</v>
      </c>
      <c r="M1189" s="1" cm="1">
        <f t="array" ref="M1189">SUMPRODUCT(("T_C-HY-DSL-S4"=[1]OUT_TransportEnergyCons!$A$3:$A$1000)*1,("Var_Fin"=[1]OUT_TransportEnergyCons!$B$3:$B$1000)*1,ISNUMBER(SEARCH("DSL",[1]OUT_TransportEnergyCons!$C$3:$C$1000))*1,[1]OUT_TransportEnergyCons!K$3:K$1000)</f>
        <v>0</v>
      </c>
      <c r="N1189" s="1" cm="1">
        <f t="array" ref="N1189">SUMPRODUCT(("T_C-HY-DSL-S4"=[1]OUT_TransportEnergyCons!$A$3:$A$1000)*1,("Var_Fin"=[1]OUT_TransportEnergyCons!$B$3:$B$1000)*1,ISNUMBER(SEARCH("DSL",[1]OUT_TransportEnergyCons!$C$3:$C$1000))*1,[1]OUT_TransportEnergyCons!L$3:L$1000)</f>
        <v>0</v>
      </c>
      <c r="O1189" s="1" cm="1">
        <f t="array" ref="O1189">SUMPRODUCT(("T_C-HY-DSL-S4"=[1]OUT_TransportEnergyCons!$A$3:$A$1000)*1,("Var_Fin"=[1]OUT_TransportEnergyCons!$B$3:$B$1000)*1,ISNUMBER(SEARCH("DSL",[1]OUT_TransportEnergyCons!$C$3:$C$1000))*1,[1]OUT_TransportEnergyCons!M$3:M$1000)</f>
        <v>0</v>
      </c>
      <c r="P1189" s="1" cm="1">
        <f t="array" ref="P1189">SUMPRODUCT(("T_C-HY-DSL-S4"=[1]OUT_TransportEnergyCons!$A$3:$A$1000)*1,("Var_Fin"=[1]OUT_TransportEnergyCons!$B$3:$B$1000)*1,ISNUMBER(SEARCH("DSL",[1]OUT_TransportEnergyCons!$C$3:$C$1000))*1,[1]OUT_TransportEnergyCons!N$3:N$1000)</f>
        <v>0</v>
      </c>
      <c r="Q1189" s="1" cm="1">
        <f t="array" ref="Q1189">SUMPRODUCT(("T_C-HY-DSL-S4"=[1]OUT_TransportEnergyCons!$A$3:$A$1000)*1,("Var_Fin"=[1]OUT_TransportEnergyCons!$B$3:$B$1000)*1,ISNUMBER(SEARCH("DSL",[1]OUT_TransportEnergyCons!$C$3:$C$1000))*1,[1]OUT_TransportEnergyCons!O$3:O$1000)</f>
        <v>0</v>
      </c>
      <c r="S1189" s="3"/>
    </row>
    <row r="1190" spans="2:19" x14ac:dyDescent="0.5">
      <c r="B1190" s="5" t="str">
        <f t="shared" si="1358"/>
        <v>SPS1</v>
      </c>
      <c r="C1190" s="5" t="str">
        <f t="shared" si="135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52.132715614399288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48.700921236993736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35.237589792458756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11.565795460171504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M1190" s="1" cm="1">
        <f t="array" ref="M1190">SUMPRODUCT(("T_C-ICEDSLEXT"=[1]OUT_TransportEnergyCons!$A$3:$A$1000)*1,("Var_Fin"=[1]OUT_TransportEnergyCons!$B$3:$B$1000)*1,ISNUMBER(SEARCH("DSL",[1]OUT_TransportEnergyCons!$C$3:$C$1000))*1,[1]OUT_TransportEnergyCons!K$3:K$1000)</f>
        <v>0</v>
      </c>
      <c r="N1190" s="1" cm="1">
        <f t="array" ref="N1190">SUMPRODUCT(("T_C-ICEDSLEXT"=[1]OUT_TransportEnergyCons!$A$3:$A$1000)*1,("Var_Fin"=[1]OUT_TransportEnergyCons!$B$3:$B$1000)*1,ISNUMBER(SEARCH("DSL",[1]OUT_TransportEnergyCons!$C$3:$C$1000))*1,[1]OUT_TransportEnergyCons!L$3:L$1000)</f>
        <v>0</v>
      </c>
      <c r="O1190" s="1" cm="1">
        <f t="array" ref="O1190">SUMPRODUCT(("T_C-ICEDSLEXT"=[1]OUT_TransportEnergyCons!$A$3:$A$1000)*1,("Var_Fin"=[1]OUT_TransportEnergyCons!$B$3:$B$1000)*1,ISNUMBER(SEARCH("DSL",[1]OUT_TransportEnergyCons!$C$3:$C$1000))*1,[1]OUT_TransportEnergyCons!M$3:M$1000)</f>
        <v>0</v>
      </c>
      <c r="P1190" s="1" cm="1">
        <f t="array" ref="P1190">SUMPRODUCT(("T_C-ICEDSLEXT"=[1]OUT_TransportEnergyCons!$A$3:$A$1000)*1,("Var_Fin"=[1]OUT_TransportEnergyCons!$B$3:$B$1000)*1,ISNUMBER(SEARCH("DSL",[1]OUT_TransportEnergyCons!$C$3:$C$1000))*1,[1]OUT_TransportEnergyCons!N$3:N$1000)</f>
        <v>0</v>
      </c>
      <c r="Q1190" s="1" cm="1">
        <f t="array" ref="Q1190">SUMPRODUCT(("T_C-ICEDSLEXT"=[1]OUT_TransportEnergyCons!$A$3:$A$1000)*1,("Var_Fin"=[1]OUT_TransportEnergyCons!$B$3:$B$1000)*1,ISNUMBER(SEARCH("DSL",[1]OUT_TransportEnergyCons!$C$3:$C$1000))*1,[1]OUT_TransportEnergyCons!O$3:O$1000)</f>
        <v>0</v>
      </c>
      <c r="S1190" s="3"/>
    </row>
    <row r="1191" spans="2:19" x14ac:dyDescent="0.5">
      <c r="B1191" s="5" t="str">
        <f t="shared" si="1358"/>
        <v>SPS1</v>
      </c>
      <c r="C1191" s="5" t="str">
        <f t="shared" si="135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5.1442179047723052E-3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6.1224605754416558E-3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4.891154335559424E-3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3.8884708134041177E-3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8.4037173260720821E-4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2.7279392710837289E-4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0</v>
      </c>
      <c r="M1191" s="1" cm="1">
        <f t="array" ref="M1191">SUMPRODUCT(("T_C-ICE-DSL-S1"=[1]OUT_TransportEnergyCons!$A$3:$A$1000)*1,("Var_Fin"=[1]OUT_TransportEnergyCons!$B$3:$B$1000)*1,ISNUMBER(SEARCH("DSL",[1]OUT_TransportEnergyCons!$C$3:$C$1000))*1,[1]OUT_TransportEnergyCons!K$3:K$1000)</f>
        <v>0</v>
      </c>
      <c r="N1191" s="1" cm="1">
        <f t="array" ref="N1191">SUMPRODUCT(("T_C-ICE-DSL-S1"=[1]OUT_TransportEnergyCons!$A$3:$A$1000)*1,("Var_Fin"=[1]OUT_TransportEnergyCons!$B$3:$B$1000)*1,ISNUMBER(SEARCH("DSL",[1]OUT_TransportEnergyCons!$C$3:$C$1000))*1,[1]OUT_TransportEnergyCons!L$3:L$1000)</f>
        <v>0</v>
      </c>
      <c r="O1191" s="1" cm="1">
        <f t="array" ref="O1191">SUMPRODUCT(("T_C-ICE-DSL-S1"=[1]OUT_TransportEnergyCons!$A$3:$A$1000)*1,("Var_Fin"=[1]OUT_TransportEnergyCons!$B$3:$B$1000)*1,ISNUMBER(SEARCH("DSL",[1]OUT_TransportEnergyCons!$C$3:$C$1000))*1,[1]OUT_TransportEnergyCons!M$3:M$1000)</f>
        <v>0</v>
      </c>
      <c r="P1191" s="1" cm="1">
        <f t="array" ref="P1191">SUMPRODUCT(("T_C-ICE-DSL-S1"=[1]OUT_TransportEnergyCons!$A$3:$A$1000)*1,("Var_Fin"=[1]OUT_TransportEnergyCons!$B$3:$B$1000)*1,ISNUMBER(SEARCH("DSL",[1]OUT_TransportEnergyCons!$C$3:$C$1000))*1,[1]OUT_TransportEnergyCons!N$3:N$1000)</f>
        <v>0</v>
      </c>
      <c r="Q1191" s="1" cm="1">
        <f t="array" ref="Q1191">SUMPRODUCT(("T_C-ICE-DSL-S1"=[1]OUT_TransportEnergyCons!$A$3:$A$1000)*1,("Var_Fin"=[1]OUT_TransportEnergyCons!$B$3:$B$1000)*1,ISNUMBER(SEARCH("DSL",[1]OUT_TransportEnergyCons!$C$3:$C$1000))*1,[1]OUT_TransportEnergyCons!O$3:O$1000)</f>
        <v>0</v>
      </c>
      <c r="S1191" s="3"/>
    </row>
    <row r="1192" spans="2:19" x14ac:dyDescent="0.5">
      <c r="B1192" s="5" t="str">
        <f t="shared" si="1358"/>
        <v>SPS1</v>
      </c>
      <c r="C1192" s="5" t="str">
        <f t="shared" si="135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1.221840170505212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1.283314364694029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1.1126436102540691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0.8295280911201004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2.133512896615785E-2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2.7741046356106932E-4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0</v>
      </c>
      <c r="M1192" s="1" cm="1">
        <f t="array" ref="M1192">SUMPRODUCT(("T_C-ICE-DSL-S2"=[1]OUT_TransportEnergyCons!$A$3:$A$1000)*1,("Var_Fin"=[1]OUT_TransportEnergyCons!$B$3:$B$1000)*1,ISNUMBER(SEARCH("DSL",[1]OUT_TransportEnergyCons!$C$3:$C$1000))*1,[1]OUT_TransportEnergyCons!K$3:K$1000)</f>
        <v>0</v>
      </c>
      <c r="N1192" s="1" cm="1">
        <f t="array" ref="N1192">SUMPRODUCT(("T_C-ICE-DSL-S2"=[1]OUT_TransportEnergyCons!$A$3:$A$1000)*1,("Var_Fin"=[1]OUT_TransportEnergyCons!$B$3:$B$1000)*1,ISNUMBER(SEARCH("DSL",[1]OUT_TransportEnergyCons!$C$3:$C$1000))*1,[1]OUT_TransportEnergyCons!L$3:L$1000)</f>
        <v>0</v>
      </c>
      <c r="O1192" s="1" cm="1">
        <f t="array" ref="O1192">SUMPRODUCT(("T_C-ICE-DSL-S2"=[1]OUT_TransportEnergyCons!$A$3:$A$1000)*1,("Var_Fin"=[1]OUT_TransportEnergyCons!$B$3:$B$1000)*1,ISNUMBER(SEARCH("DSL",[1]OUT_TransportEnergyCons!$C$3:$C$1000))*1,[1]OUT_TransportEnergyCons!M$3:M$1000)</f>
        <v>0</v>
      </c>
      <c r="P1192" s="1" cm="1">
        <f t="array" ref="P1192">SUMPRODUCT(("T_C-ICE-DSL-S2"=[1]OUT_TransportEnergyCons!$A$3:$A$1000)*1,("Var_Fin"=[1]OUT_TransportEnergyCons!$B$3:$B$1000)*1,ISNUMBER(SEARCH("DSL",[1]OUT_TransportEnergyCons!$C$3:$C$1000))*1,[1]OUT_TransportEnergyCons!N$3:N$1000)</f>
        <v>0</v>
      </c>
      <c r="Q1192" s="1" cm="1">
        <f t="array" ref="Q1192">SUMPRODUCT(("T_C-ICE-DSL-S2"=[1]OUT_TransportEnergyCons!$A$3:$A$1000)*1,("Var_Fin"=[1]OUT_TransportEnergyCons!$B$3:$B$1000)*1,ISNUMBER(SEARCH("DSL",[1]OUT_TransportEnergyCons!$C$3:$C$1000))*1,[1]OUT_TransportEnergyCons!O$3:O$1000)</f>
        <v>0</v>
      </c>
      <c r="S1192" s="3"/>
    </row>
    <row r="1193" spans="2:19" x14ac:dyDescent="0.5">
      <c r="B1193" s="5" t="str">
        <f t="shared" si="1358"/>
        <v>SPS1</v>
      </c>
      <c r="C1193" s="5" t="str">
        <f t="shared" si="135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5.0428881260765186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5.3270513639528154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5.2764324350268064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4.0296311330659638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0.13863306923483271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2.5071414884459732E-4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0</v>
      </c>
      <c r="M1193" s="1" cm="1">
        <f t="array" ref="M1193">SUMPRODUCT(("T_C-ICE-DSL-S3"=[1]OUT_TransportEnergyCons!$A$3:$A$1000)*1,("Var_Fin"=[1]OUT_TransportEnergyCons!$B$3:$B$1000)*1,ISNUMBER(SEARCH("DSL",[1]OUT_TransportEnergyCons!$C$3:$C$1000))*1,[1]OUT_TransportEnergyCons!K$3:K$1000)</f>
        <v>0</v>
      </c>
      <c r="N1193" s="1" cm="1">
        <f t="array" ref="N1193">SUMPRODUCT(("T_C-ICE-DSL-S3"=[1]OUT_TransportEnergyCons!$A$3:$A$1000)*1,("Var_Fin"=[1]OUT_TransportEnergyCons!$B$3:$B$1000)*1,ISNUMBER(SEARCH("DSL",[1]OUT_TransportEnergyCons!$C$3:$C$1000))*1,[1]OUT_TransportEnergyCons!L$3:L$1000)</f>
        <v>0</v>
      </c>
      <c r="O1193" s="1" cm="1">
        <f t="array" ref="O1193">SUMPRODUCT(("T_C-ICE-DSL-S3"=[1]OUT_TransportEnergyCons!$A$3:$A$1000)*1,("Var_Fin"=[1]OUT_TransportEnergyCons!$B$3:$B$1000)*1,ISNUMBER(SEARCH("DSL",[1]OUT_TransportEnergyCons!$C$3:$C$1000))*1,[1]OUT_TransportEnergyCons!M$3:M$1000)</f>
        <v>0</v>
      </c>
      <c r="P1193" s="1" cm="1">
        <f t="array" ref="P1193">SUMPRODUCT(("T_C-ICE-DSL-S3"=[1]OUT_TransportEnergyCons!$A$3:$A$1000)*1,("Var_Fin"=[1]OUT_TransportEnergyCons!$B$3:$B$1000)*1,ISNUMBER(SEARCH("DSL",[1]OUT_TransportEnergyCons!$C$3:$C$1000))*1,[1]OUT_TransportEnergyCons!N$3:N$1000)</f>
        <v>0</v>
      </c>
      <c r="Q1193" s="1" cm="1">
        <f t="array" ref="Q1193">SUMPRODUCT(("T_C-ICE-DSL-S3"=[1]OUT_TransportEnergyCons!$A$3:$A$1000)*1,("Var_Fin"=[1]OUT_TransportEnergyCons!$B$3:$B$1000)*1,ISNUMBER(SEARCH("DSL",[1]OUT_TransportEnergyCons!$C$3:$C$1000))*1,[1]OUT_TransportEnergyCons!O$3:O$1000)</f>
        <v>0</v>
      </c>
      <c r="S1193" s="3"/>
    </row>
    <row r="1194" spans="2:19" x14ac:dyDescent="0.5">
      <c r="B1194" s="5" t="str">
        <f t="shared" si="1358"/>
        <v>SPS1</v>
      </c>
      <c r="C1194" s="5" t="str">
        <f t="shared" si="135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1.9376230321205095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2.2108547780975552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2.1726970559520282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1.6724745981218938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8.4997477910877514E-2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1.6544992976386531E-4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0</v>
      </c>
      <c r="M1194" s="1" cm="1">
        <f t="array" ref="M1194">SUMPRODUCT(("T_C-ICE-DSL-S4"=[1]OUT_TransportEnergyCons!$A$3:$A$1000)*1,("Var_Fin"=[1]OUT_TransportEnergyCons!$B$3:$B$1000)*1,ISNUMBER(SEARCH("DSL",[1]OUT_TransportEnergyCons!$C$3:$C$1000))*1,[1]OUT_TransportEnergyCons!K$3:K$1000)</f>
        <v>0</v>
      </c>
      <c r="N1194" s="1" cm="1">
        <f t="array" ref="N1194">SUMPRODUCT(("T_C-ICE-DSL-S4"=[1]OUT_TransportEnergyCons!$A$3:$A$1000)*1,("Var_Fin"=[1]OUT_TransportEnergyCons!$B$3:$B$1000)*1,ISNUMBER(SEARCH("DSL",[1]OUT_TransportEnergyCons!$C$3:$C$1000))*1,[1]OUT_TransportEnergyCons!L$3:L$1000)</f>
        <v>0</v>
      </c>
      <c r="O1194" s="1" cm="1">
        <f t="array" ref="O1194">SUMPRODUCT(("T_C-ICE-DSL-S4"=[1]OUT_TransportEnergyCons!$A$3:$A$1000)*1,("Var_Fin"=[1]OUT_TransportEnergyCons!$B$3:$B$1000)*1,ISNUMBER(SEARCH("DSL",[1]OUT_TransportEnergyCons!$C$3:$C$1000))*1,[1]OUT_TransportEnergyCons!M$3:M$1000)</f>
        <v>0</v>
      </c>
      <c r="P1194" s="1" cm="1">
        <f t="array" ref="P1194">SUMPRODUCT(("T_C-ICE-DSL-S4"=[1]OUT_TransportEnergyCons!$A$3:$A$1000)*1,("Var_Fin"=[1]OUT_TransportEnergyCons!$B$3:$B$1000)*1,ISNUMBER(SEARCH("DSL",[1]OUT_TransportEnergyCons!$C$3:$C$1000))*1,[1]OUT_TransportEnergyCons!N$3:N$1000)</f>
        <v>0</v>
      </c>
      <c r="Q1194" s="1" cm="1">
        <f t="array" ref="Q1194">SUMPRODUCT(("T_C-ICE-DSL-S4"=[1]OUT_TransportEnergyCons!$A$3:$A$1000)*1,("Var_Fin"=[1]OUT_TransportEnergyCons!$B$3:$B$1000)*1,ISNUMBER(SEARCH("DSL",[1]OUT_TransportEnergyCons!$C$3:$C$1000))*1,[1]OUT_TransportEnergyCons!O$3:O$1000)</f>
        <v>0</v>
      </c>
      <c r="S1194" s="3"/>
    </row>
    <row r="1195" spans="2:19" x14ac:dyDescent="0.5">
      <c r="B1195" s="5" t="str">
        <f t="shared" si="1358"/>
        <v>SPS1</v>
      </c>
      <c r="C1195" s="5" t="str">
        <f t="shared" si="135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2.9358127108967573E-4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9.3932977353235344E-4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1.2985461589301429E-3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9.2721147867174552E-4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3.2198174704987746E-4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</v>
      </c>
      <c r="M1195" s="1" cm="1">
        <f t="array" ref="M1195">SUMPRODUCT(("T_C-MHY-DSL-S1"=[1]OUT_TransportEnergyCons!$A$3:$A$1000)*1,("Var_Fin"=[1]OUT_TransportEnergyCons!$B$3:$B$1000)*1,ISNUMBER(SEARCH("DSL",[1]OUT_TransportEnergyCons!$C$3:$C$1000))*1,[1]OUT_TransportEnergyCons!K$3:K$1000)</f>
        <v>0</v>
      </c>
      <c r="N1195" s="1" cm="1">
        <f t="array" ref="N1195">SUMPRODUCT(("T_C-MHY-DSL-S1"=[1]OUT_TransportEnergyCons!$A$3:$A$1000)*1,("Var_Fin"=[1]OUT_TransportEnergyCons!$B$3:$B$1000)*1,ISNUMBER(SEARCH("DSL",[1]OUT_TransportEnergyCons!$C$3:$C$1000))*1,[1]OUT_TransportEnergyCons!L$3:L$1000)</f>
        <v>0</v>
      </c>
      <c r="O1195" s="1" cm="1">
        <f t="array" ref="O1195">SUMPRODUCT(("T_C-MHY-DSL-S1"=[1]OUT_TransportEnergyCons!$A$3:$A$1000)*1,("Var_Fin"=[1]OUT_TransportEnergyCons!$B$3:$B$1000)*1,ISNUMBER(SEARCH("DSL",[1]OUT_TransportEnergyCons!$C$3:$C$1000))*1,[1]OUT_TransportEnergyCons!M$3:M$1000)</f>
        <v>0</v>
      </c>
      <c r="P1195" s="1" cm="1">
        <f t="array" ref="P1195">SUMPRODUCT(("T_C-MHY-DSL-S1"=[1]OUT_TransportEnergyCons!$A$3:$A$1000)*1,("Var_Fin"=[1]OUT_TransportEnergyCons!$B$3:$B$1000)*1,ISNUMBER(SEARCH("DSL",[1]OUT_TransportEnergyCons!$C$3:$C$1000))*1,[1]OUT_TransportEnergyCons!N$3:N$1000)</f>
        <v>0</v>
      </c>
      <c r="Q1195" s="1" cm="1">
        <f t="array" ref="Q1195">SUMPRODUCT(("T_C-MHY-DSL-S1"=[1]OUT_TransportEnergyCons!$A$3:$A$1000)*1,("Var_Fin"=[1]OUT_TransportEnergyCons!$B$3:$B$1000)*1,ISNUMBER(SEARCH("DSL",[1]OUT_TransportEnergyCons!$C$3:$C$1000))*1,[1]OUT_TransportEnergyCons!O$3:O$1000)</f>
        <v>0</v>
      </c>
      <c r="S1195" s="3"/>
    </row>
    <row r="1196" spans="2:19" x14ac:dyDescent="0.5">
      <c r="B1196" s="5" t="str">
        <f t="shared" si="1358"/>
        <v>SPS1</v>
      </c>
      <c r="C1196" s="5" t="str">
        <f t="shared" si="135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2.7382332216460687E-4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9.9857550538869772E-4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1.3754712756292211E-3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9.0798981438645118E-4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3.0540657396325017E-4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0</v>
      </c>
      <c r="M1196" s="1" cm="1">
        <f t="array" ref="M1196">SUMPRODUCT(("T_C-MHY-DSL-S2"=[1]OUT_TransportEnergyCons!$A$3:$A$1000)*1,("Var_Fin"=[1]OUT_TransportEnergyCons!$B$3:$B$1000)*1,ISNUMBER(SEARCH("DSL",[1]OUT_TransportEnergyCons!$C$3:$C$1000))*1,[1]OUT_TransportEnergyCons!K$3:K$1000)</f>
        <v>0</v>
      </c>
      <c r="N1196" s="1" cm="1">
        <f t="array" ref="N1196">SUMPRODUCT(("T_C-MHY-DSL-S2"=[1]OUT_TransportEnergyCons!$A$3:$A$1000)*1,("Var_Fin"=[1]OUT_TransportEnergyCons!$B$3:$B$1000)*1,ISNUMBER(SEARCH("DSL",[1]OUT_TransportEnergyCons!$C$3:$C$1000))*1,[1]OUT_TransportEnergyCons!L$3:L$1000)</f>
        <v>0</v>
      </c>
      <c r="O1196" s="1" cm="1">
        <f t="array" ref="O1196">SUMPRODUCT(("T_C-MHY-DSL-S2"=[1]OUT_TransportEnergyCons!$A$3:$A$1000)*1,("Var_Fin"=[1]OUT_TransportEnergyCons!$B$3:$B$1000)*1,ISNUMBER(SEARCH("DSL",[1]OUT_TransportEnergyCons!$C$3:$C$1000))*1,[1]OUT_TransportEnergyCons!M$3:M$1000)</f>
        <v>0</v>
      </c>
      <c r="P1196" s="1" cm="1">
        <f t="array" ref="P1196">SUMPRODUCT(("T_C-MHY-DSL-S2"=[1]OUT_TransportEnergyCons!$A$3:$A$1000)*1,("Var_Fin"=[1]OUT_TransportEnergyCons!$B$3:$B$1000)*1,ISNUMBER(SEARCH("DSL",[1]OUT_TransportEnergyCons!$C$3:$C$1000))*1,[1]OUT_TransportEnergyCons!N$3:N$1000)</f>
        <v>0</v>
      </c>
      <c r="Q1196" s="1" cm="1">
        <f t="array" ref="Q1196">SUMPRODUCT(("T_C-MHY-DSL-S2"=[1]OUT_TransportEnergyCons!$A$3:$A$1000)*1,("Var_Fin"=[1]OUT_TransportEnergyCons!$B$3:$B$1000)*1,ISNUMBER(SEARCH("DSL",[1]OUT_TransportEnergyCons!$C$3:$C$1000))*1,[1]OUT_TransportEnergyCons!O$3:O$1000)</f>
        <v>0</v>
      </c>
      <c r="S1196" s="3"/>
    </row>
    <row r="1197" spans="2:19" x14ac:dyDescent="0.5">
      <c r="B1197" s="5" t="str">
        <f t="shared" si="1358"/>
        <v>SPS1</v>
      </c>
      <c r="C1197" s="5" t="str">
        <f t="shared" si="135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3.7031914975663562E-4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1.0933120236251393E-3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1.378333333553554E-3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8.9759693868761523E-4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2.7140747567966491E-4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0</v>
      </c>
      <c r="M1197" s="1" cm="1">
        <f t="array" ref="M1197">SUMPRODUCT(("T_C-MHY-DSL-S3"=[1]OUT_TransportEnergyCons!$A$3:$A$1000)*1,("Var_Fin"=[1]OUT_TransportEnergyCons!$B$3:$B$1000)*1,ISNUMBER(SEARCH("DSL",[1]OUT_TransportEnergyCons!$C$3:$C$1000))*1,[1]OUT_TransportEnergyCons!K$3:K$1000)</f>
        <v>0</v>
      </c>
      <c r="N1197" s="1" cm="1">
        <f t="array" ref="N1197">SUMPRODUCT(("T_C-MHY-DSL-S3"=[1]OUT_TransportEnergyCons!$A$3:$A$1000)*1,("Var_Fin"=[1]OUT_TransportEnergyCons!$B$3:$B$1000)*1,ISNUMBER(SEARCH("DSL",[1]OUT_TransportEnergyCons!$C$3:$C$1000))*1,[1]OUT_TransportEnergyCons!L$3:L$1000)</f>
        <v>0</v>
      </c>
      <c r="O1197" s="1" cm="1">
        <f t="array" ref="O1197">SUMPRODUCT(("T_C-MHY-DSL-S3"=[1]OUT_TransportEnergyCons!$A$3:$A$1000)*1,("Var_Fin"=[1]OUT_TransportEnergyCons!$B$3:$B$1000)*1,ISNUMBER(SEARCH("DSL",[1]OUT_TransportEnergyCons!$C$3:$C$1000))*1,[1]OUT_TransportEnergyCons!M$3:M$1000)</f>
        <v>0</v>
      </c>
      <c r="P1197" s="1" cm="1">
        <f t="array" ref="P1197">SUMPRODUCT(("T_C-MHY-DSL-S3"=[1]OUT_TransportEnergyCons!$A$3:$A$1000)*1,("Var_Fin"=[1]OUT_TransportEnergyCons!$B$3:$B$1000)*1,ISNUMBER(SEARCH("DSL",[1]OUT_TransportEnergyCons!$C$3:$C$1000))*1,[1]OUT_TransportEnergyCons!N$3:N$1000)</f>
        <v>0</v>
      </c>
      <c r="Q1197" s="1" cm="1">
        <f t="array" ref="Q1197">SUMPRODUCT(("T_C-MHY-DSL-S3"=[1]OUT_TransportEnergyCons!$A$3:$A$1000)*1,("Var_Fin"=[1]OUT_TransportEnergyCons!$B$3:$B$1000)*1,ISNUMBER(SEARCH("DSL",[1]OUT_TransportEnergyCons!$C$3:$C$1000))*1,[1]OUT_TransportEnergyCons!O$3:O$1000)</f>
        <v>0</v>
      </c>
      <c r="S1197" s="3"/>
    </row>
    <row r="1198" spans="2:19" x14ac:dyDescent="0.5">
      <c r="B1198" s="5" t="str">
        <f t="shared" si="1358"/>
        <v>SPS1</v>
      </c>
      <c r="C1198" s="5" t="str">
        <f t="shared" si="135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2.5404763594180044E-4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6.1452724485374483E-4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8.1070219868800491E-4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5.2250262942987833E-4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1.6766734277402084E-4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0</v>
      </c>
      <c r="M1198" s="1" cm="1">
        <f t="array" ref="M1198">SUMPRODUCT(("T_C-MHY-DSL-S4"=[1]OUT_TransportEnergyCons!$A$3:$A$1000)*1,("Var_Fin"=[1]OUT_TransportEnergyCons!$B$3:$B$1000)*1,ISNUMBER(SEARCH("DSL",[1]OUT_TransportEnergyCons!$C$3:$C$1000))*1,[1]OUT_TransportEnergyCons!K$3:K$1000)</f>
        <v>0</v>
      </c>
      <c r="N1198" s="1" cm="1">
        <f t="array" ref="N1198">SUMPRODUCT(("T_C-MHY-DSL-S4"=[1]OUT_TransportEnergyCons!$A$3:$A$1000)*1,("Var_Fin"=[1]OUT_TransportEnergyCons!$B$3:$B$1000)*1,ISNUMBER(SEARCH("DSL",[1]OUT_TransportEnergyCons!$C$3:$C$1000))*1,[1]OUT_TransportEnergyCons!L$3:L$1000)</f>
        <v>0</v>
      </c>
      <c r="O1198" s="1" cm="1">
        <f t="array" ref="O1198">SUMPRODUCT(("T_C-MHY-DSL-S4"=[1]OUT_TransportEnergyCons!$A$3:$A$1000)*1,("Var_Fin"=[1]OUT_TransportEnergyCons!$B$3:$B$1000)*1,ISNUMBER(SEARCH("DSL",[1]OUT_TransportEnergyCons!$C$3:$C$1000))*1,[1]OUT_TransportEnergyCons!M$3:M$1000)</f>
        <v>0</v>
      </c>
      <c r="P1198" s="1" cm="1">
        <f t="array" ref="P1198">SUMPRODUCT(("T_C-MHY-DSL-S4"=[1]OUT_TransportEnergyCons!$A$3:$A$1000)*1,("Var_Fin"=[1]OUT_TransportEnergyCons!$B$3:$B$1000)*1,ISNUMBER(SEARCH("DSL",[1]OUT_TransportEnergyCons!$C$3:$C$1000))*1,[1]OUT_TransportEnergyCons!N$3:N$1000)</f>
        <v>0</v>
      </c>
      <c r="Q1198" s="1" cm="1">
        <f t="array" ref="Q1198">SUMPRODUCT(("T_C-MHY-DSL-S4"=[1]OUT_TransportEnergyCons!$A$3:$A$1000)*1,("Var_Fin"=[1]OUT_TransportEnergyCons!$B$3:$B$1000)*1,ISNUMBER(SEARCH("DSL",[1]OUT_TransportEnergyCons!$C$3:$C$1000))*1,[1]OUT_TransportEnergyCons!O$3:O$1000)</f>
        <v>0</v>
      </c>
      <c r="S1198" s="3"/>
    </row>
    <row r="1199" spans="2:19" x14ac:dyDescent="0.5">
      <c r="B1199" s="5" t="str">
        <f t="shared" si="1358"/>
        <v>SPS1</v>
      </c>
      <c r="C1199" s="5" t="str">
        <f t="shared" si="135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1.6879381639252517E-5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5.2575267027032458E-4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7.4246321106493025E-4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1.0063021809750511E-3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9.6244334521349527E-4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4.5761415043726113E-4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1.2824578421329717E-3</v>
      </c>
      <c r="M1199" s="1" cm="1">
        <f t="array" ref="M1199">SUMPRODUCT(("T-Plg-DSL-mix_S1"=[1]OUT_TransportEnergyCons!$A$3:$A$1000)*1,("Var_Fin"=[1]OUT_TransportEnergyCons!$B$3:$B$1000)*1,ISNUMBER(SEARCH("DSL",[1]OUT_TransportEnergyCons!$C$3:$C$1000))*1,[1]OUT_TransportEnergyCons!K$3:K$1000)</f>
        <v>7.9736669879697784E-4</v>
      </c>
      <c r="N1199" s="1" cm="1">
        <f t="array" ref="N1199">SUMPRODUCT(("T-Plg-DSL-mix_S1"=[1]OUT_TransportEnergyCons!$A$3:$A$1000)*1,("Var_Fin"=[1]OUT_TransportEnergyCons!$B$3:$B$1000)*1,ISNUMBER(SEARCH("DSL",[1]OUT_TransportEnergyCons!$C$3:$C$1000))*1,[1]OUT_TransportEnergyCons!L$3:L$1000)</f>
        <v>3.501619099762487E-3</v>
      </c>
      <c r="O1199" s="1" cm="1">
        <f t="array" ref="O1199">SUMPRODUCT(("T-Plg-DSL-mix_S1"=[1]OUT_TransportEnergyCons!$A$3:$A$1000)*1,("Var_Fin"=[1]OUT_TransportEnergyCons!$B$3:$B$1000)*1,ISNUMBER(SEARCH("DSL",[1]OUT_TransportEnergyCons!$C$3:$C$1000))*1,[1]OUT_TransportEnergyCons!M$3:M$1000)</f>
        <v>1.8689273803609681E-4</v>
      </c>
      <c r="P1199" s="1" cm="1">
        <f t="array" ref="P1199">SUMPRODUCT(("T-Plg-DSL-mix_S1"=[1]OUT_TransportEnergyCons!$A$3:$A$1000)*1,("Var_Fin"=[1]OUT_TransportEnergyCons!$B$3:$B$1000)*1,ISNUMBER(SEARCH("DSL",[1]OUT_TransportEnergyCons!$C$3:$C$1000))*1,[1]OUT_TransportEnergyCons!N$3:N$1000)</f>
        <v>1.1479695384149035E-4</v>
      </c>
      <c r="Q1199" s="1" cm="1">
        <f t="array" ref="Q1199">SUMPRODUCT(("T-Plg-DSL-mix_S1"=[1]OUT_TransportEnergyCons!$A$3:$A$1000)*1,("Var_Fin"=[1]OUT_TransportEnergyCons!$B$3:$B$1000)*1,ISNUMBER(SEARCH("DSL",[1]OUT_TransportEnergyCons!$C$3:$C$1000))*1,[1]OUT_TransportEnergyCons!O$3:O$1000)</f>
        <v>1.0953827313826183E-4</v>
      </c>
      <c r="S1199" s="3"/>
    </row>
    <row r="1200" spans="2:19" x14ac:dyDescent="0.5">
      <c r="B1200" s="5" t="str">
        <f t="shared" si="1358"/>
        <v>SPS1</v>
      </c>
      <c r="C1200" s="5" t="str">
        <f t="shared" si="135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5.2601877197052838E-6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6.3052800030936646E-4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2.1502108059953751E-3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5.8256765093105964E-3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4.5493438021097397E-3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2.1932870070915885E-3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5.7695663260767388E-3</v>
      </c>
      <c r="M1200" s="1" cm="1">
        <f t="array" ref="M1200">SUMPRODUCT(("T-Plg-DSL-mix_S2"=[1]OUT_TransportEnergyCons!$A$3:$A$1000)*1,("Var_Fin"=[1]OUT_TransportEnergyCons!$B$3:$B$1000)*1,ISNUMBER(SEARCH("DSL",[1]OUT_TransportEnergyCons!$C$3:$C$1000))*1,[1]OUT_TransportEnergyCons!K$3:K$1000)</f>
        <v>3.7303063969422708E-3</v>
      </c>
      <c r="N1200" s="1" cm="1">
        <f t="array" ref="N1200">SUMPRODUCT(("T-Plg-DSL-mix_S2"=[1]OUT_TransportEnergyCons!$A$3:$A$1000)*1,("Var_Fin"=[1]OUT_TransportEnergyCons!$B$3:$B$1000)*1,ISNUMBER(SEARCH("DSL",[1]OUT_TransportEnergyCons!$C$3:$C$1000))*1,[1]OUT_TransportEnergyCons!L$3:L$1000)</f>
        <v>2.170580115467093E-3</v>
      </c>
      <c r="O1200" s="1" cm="1">
        <f t="array" ref="O1200">SUMPRODUCT(("T-Plg-DSL-mix_S2"=[1]OUT_TransportEnergyCons!$A$3:$A$1000)*1,("Var_Fin"=[1]OUT_TransportEnergyCons!$B$3:$B$1000)*1,ISNUMBER(SEARCH("DSL",[1]OUT_TransportEnergyCons!$C$3:$C$1000))*1,[1]OUT_TransportEnergyCons!M$3:M$1000)</f>
        <v>3.3217603172017976E-4</v>
      </c>
      <c r="P1200" s="1" cm="1">
        <f t="array" ref="P1200">SUMPRODUCT(("T-Plg-DSL-mix_S2"=[1]OUT_TransportEnergyCons!$A$3:$A$1000)*1,("Var_Fin"=[1]OUT_TransportEnergyCons!$B$3:$B$1000)*1,ISNUMBER(SEARCH("DSL",[1]OUT_TransportEnergyCons!$C$3:$C$1000))*1,[1]OUT_TransportEnergyCons!N$3:N$1000)</f>
        <v>2.8784300658423454E-4</v>
      </c>
      <c r="Q1200" s="1" cm="1">
        <f t="array" ref="Q1200">SUMPRODUCT(("T-Plg-DSL-mix_S2"=[1]OUT_TransportEnergyCons!$A$3:$A$1000)*1,("Var_Fin"=[1]OUT_TransportEnergyCons!$B$3:$B$1000)*1,ISNUMBER(SEARCH("DSL",[1]OUT_TransportEnergyCons!$C$3:$C$1000))*1,[1]OUT_TransportEnergyCons!O$3:O$1000)</f>
        <v>1.8038439035732276E-4</v>
      </c>
      <c r="S1200" s="3"/>
    </row>
    <row r="1201" spans="2:19" x14ac:dyDescent="0.5">
      <c r="B1201" s="5" t="str">
        <f t="shared" si="1358"/>
        <v>SPS1</v>
      </c>
      <c r="C1201" s="5" t="str">
        <f t="shared" si="135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9.4787017497827987E-5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0.71510631042494421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1.4332300690113162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6.9810474342611135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9.4940446584225313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5.4219926212507481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4.5031397259593939</v>
      </c>
      <c r="M1201" s="1" cm="1">
        <f t="array" ref="M1201">SUMPRODUCT(("T-Plg-DSL-mix_S3"=[1]OUT_TransportEnergyCons!$A$3:$A$1000)*1,("Var_Fin"=[1]OUT_TransportEnergyCons!$B$3:$B$1000)*1,ISNUMBER(SEARCH("DSL",[1]OUT_TransportEnergyCons!$C$3:$C$1000))*1,[1]OUT_TransportEnergyCons!K$3:K$1000)</f>
        <v>1.3248829334964862</v>
      </c>
      <c r="N1201" s="1" cm="1">
        <f t="array" ref="N1201">SUMPRODUCT(("T-Plg-DSL-mix_S3"=[1]OUT_TransportEnergyCons!$A$3:$A$1000)*1,("Var_Fin"=[1]OUT_TransportEnergyCons!$B$3:$B$1000)*1,ISNUMBER(SEARCH("DSL",[1]OUT_TransportEnergyCons!$C$3:$C$1000))*1,[1]OUT_TransportEnergyCons!L$3:L$1000)</f>
        <v>0.62801286521832056</v>
      </c>
      <c r="O1201" s="1" cm="1">
        <f t="array" ref="O1201">SUMPRODUCT(("T-Plg-DSL-mix_S3"=[1]OUT_TransportEnergyCons!$A$3:$A$1000)*1,("Var_Fin"=[1]OUT_TransportEnergyCons!$B$3:$B$1000)*1,ISNUMBER(SEARCH("DSL",[1]OUT_TransportEnergyCons!$C$3:$C$1000))*1,[1]OUT_TransportEnergyCons!M$3:M$1000)</f>
        <v>4.1562452344136921E-4</v>
      </c>
      <c r="P1201" s="1" cm="1">
        <f t="array" ref="P1201">SUMPRODUCT(("T-Plg-DSL-mix_S3"=[1]OUT_TransportEnergyCons!$A$3:$A$1000)*1,("Var_Fin"=[1]OUT_TransportEnergyCons!$B$3:$B$1000)*1,ISNUMBER(SEARCH("DSL",[1]OUT_TransportEnergyCons!$C$3:$C$1000))*1,[1]OUT_TransportEnergyCons!N$3:N$1000)</f>
        <v>3.5023086270858576E-4</v>
      </c>
      <c r="Q1201" s="1" cm="1">
        <f t="array" ref="Q1201">SUMPRODUCT(("T-Plg-DSL-mix_S3"=[1]OUT_TransportEnergyCons!$A$3:$A$1000)*1,("Var_Fin"=[1]OUT_TransportEnergyCons!$B$3:$B$1000)*1,ISNUMBER(SEARCH("DSL",[1]OUT_TransportEnergyCons!$C$3:$C$1000))*1,[1]OUT_TransportEnergyCons!O$3:O$1000)</f>
        <v>1.9398474167777032E-4</v>
      </c>
      <c r="S1201" s="3"/>
    </row>
    <row r="1202" spans="2:19" x14ac:dyDescent="0.5">
      <c r="B1202" s="5" t="str">
        <f t="shared" si="1358"/>
        <v>SPS1</v>
      </c>
      <c r="C1202" s="5" t="str">
        <f t="shared" si="135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5.6826849783800908E-3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1.9208475339119617E-2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2.0337852771711733E-2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5.9747815853735918E-2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3.3007858825945674E-2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1.4719268099179061E-2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1.268630528198093E-2</v>
      </c>
      <c r="M1202" s="1" cm="1">
        <f t="array" ref="M1202">SUMPRODUCT(("T-Plg-DSL-mix_S4"=[1]OUT_TransportEnergyCons!$A$3:$A$1000)*1,("Var_Fin"=[1]OUT_TransportEnergyCons!$B$3:$B$1000)*1,ISNUMBER(SEARCH("DSL",[1]OUT_TransportEnergyCons!$C$3:$C$1000))*1,[1]OUT_TransportEnergyCons!K$3:K$1000)</f>
        <v>6.7498771301291666E-3</v>
      </c>
      <c r="N1202" s="1" cm="1">
        <f t="array" ref="N1202">SUMPRODUCT(("T-Plg-DSL-mix_S4"=[1]OUT_TransportEnergyCons!$A$3:$A$1000)*1,("Var_Fin"=[1]OUT_TransportEnergyCons!$B$3:$B$1000)*1,ISNUMBER(SEARCH("DSL",[1]OUT_TransportEnergyCons!$C$3:$C$1000))*1,[1]OUT_TransportEnergyCons!L$3:L$1000)</f>
        <v>0.30028501311820355</v>
      </c>
      <c r="O1202" s="1" cm="1">
        <f t="array" ref="O1202">SUMPRODUCT(("T-Plg-DSL-mix_S4"=[1]OUT_TransportEnergyCons!$A$3:$A$1000)*1,("Var_Fin"=[1]OUT_TransportEnergyCons!$B$3:$B$1000)*1,ISNUMBER(SEARCH("DSL",[1]OUT_TransportEnergyCons!$C$3:$C$1000))*1,[1]OUT_TransportEnergyCons!M$3:M$1000)</f>
        <v>0.93524723279481436</v>
      </c>
      <c r="P1202" s="1" cm="1">
        <f t="array" ref="P1202">SUMPRODUCT(("T-Plg-DSL-mix_S4"=[1]OUT_TransportEnergyCons!$A$3:$A$1000)*1,("Var_Fin"=[1]OUT_TransportEnergyCons!$B$3:$B$1000)*1,ISNUMBER(SEARCH("DSL",[1]OUT_TransportEnergyCons!$C$3:$C$1000))*1,[1]OUT_TransportEnergyCons!N$3:N$1000)</f>
        <v>0.85330821833375325</v>
      </c>
      <c r="Q1202" s="1" cm="1">
        <f t="array" ref="Q1202">SUMPRODUCT(("T-Plg-DSL-mix_S4"=[1]OUT_TransportEnergyCons!$A$3:$A$1000)*1,("Var_Fin"=[1]OUT_TransportEnergyCons!$B$3:$B$1000)*1,ISNUMBER(SEARCH("DSL",[1]OUT_TransportEnergyCons!$C$3:$C$1000))*1,[1]OUT_TransportEnergyCons!O$3:O$1000)</f>
        <v>0.72325726329219897</v>
      </c>
      <c r="S1202" s="3"/>
    </row>
    <row r="1203" spans="2:19" x14ac:dyDescent="0.5">
      <c r="B1203" s="5" t="str">
        <f t="shared" si="1358"/>
        <v>SPS1</v>
      </c>
      <c r="C1203" s="5" t="str">
        <f t="shared" si="1359"/>
        <v>CH</v>
      </c>
      <c r="D1203" t="s">
        <v>1303</v>
      </c>
      <c r="E1203" t="s">
        <v>8</v>
      </c>
      <c r="F1203" s="1">
        <f>SUM(F1208:F1212)</f>
        <v>0.11215588109803071</v>
      </c>
      <c r="G1203" s="1">
        <f t="shared" ref="G1203:K1203" si="1388">SUM(G1208:G1212)</f>
        <v>0.10721229491254318</v>
      </c>
      <c r="H1203" s="1">
        <f t="shared" si="1388"/>
        <v>0.10992232233477679</v>
      </c>
      <c r="I1203" s="1">
        <f t="shared" si="1388"/>
        <v>4.8062313797811809E-4</v>
      </c>
      <c r="J1203" s="1">
        <f t="shared" si="1388"/>
        <v>8.094004982623993E-5</v>
      </c>
      <c r="K1203" s="1">
        <f t="shared" si="1388"/>
        <v>0</v>
      </c>
      <c r="L1203" s="1">
        <f t="shared" ref="L1203:O1203" si="1389">SUM(L1208:L1212)</f>
        <v>0</v>
      </c>
      <c r="M1203" s="1">
        <f t="shared" si="1389"/>
        <v>0</v>
      </c>
      <c r="N1203" s="1">
        <f>SUM(N1208:N1212)</f>
        <v>0</v>
      </c>
      <c r="O1203" s="1">
        <f t="shared" si="1389"/>
        <v>0</v>
      </c>
      <c r="P1203" s="1">
        <f>SUM(P1208:P1212)</f>
        <v>0</v>
      </c>
      <c r="Q1203" s="1">
        <f>SUM(Q1208:Q1212)</f>
        <v>0</v>
      </c>
      <c r="S1203" s="3"/>
    </row>
    <row r="1204" spans="2:19" x14ac:dyDescent="0.5">
      <c r="B1204" s="5" t="str">
        <f t="shared" si="1358"/>
        <v>SPS1</v>
      </c>
      <c r="C1204" s="5" t="str">
        <f t="shared" si="1359"/>
        <v>CH</v>
      </c>
      <c r="D1204" t="s">
        <v>1335</v>
      </c>
      <c r="E1204" t="s">
        <v>8</v>
      </c>
      <c r="F1204" s="1">
        <f>IF(F1203-F1205&lt;0,0,F1203-F1205)</f>
        <v>0.10362795794186701</v>
      </c>
      <c r="G1204" s="1">
        <f t="shared" ref="G1204:K1204" si="1390">IF(G1203-G1205&lt;0,0,G1203-G1205)</f>
        <v>9.3874204643594555E-2</v>
      </c>
      <c r="H1204" s="1">
        <f t="shared" si="1390"/>
        <v>0.10859091627522477</v>
      </c>
      <c r="I1204" s="1">
        <f t="shared" si="1390"/>
        <v>4.7292805485937074E-4</v>
      </c>
      <c r="J1204" s="1">
        <f t="shared" si="1390"/>
        <v>0</v>
      </c>
      <c r="K1204" s="1">
        <f t="shared" si="1390"/>
        <v>0</v>
      </c>
      <c r="L1204" s="1">
        <f t="shared" ref="L1204:O1204" si="1391">IF(L1203-L1205&lt;0,0,L1203-L1205)</f>
        <v>0</v>
      </c>
      <c r="M1204" s="1">
        <f t="shared" si="1391"/>
        <v>0</v>
      </c>
      <c r="N1204" s="1">
        <f>IF(N1203-N1205&lt;0,0,N1203-N1205)</f>
        <v>0</v>
      </c>
      <c r="O1204" s="1">
        <f t="shared" si="1391"/>
        <v>0</v>
      </c>
      <c r="P1204" s="1">
        <f>IF(P1203-P1205&lt;0,0,P1203-P1205)</f>
        <v>0</v>
      </c>
      <c r="Q1204" s="1">
        <f>IF(Q1203-Q1205&lt;0,0,Q1203-Q1205)</f>
        <v>0</v>
      </c>
      <c r="S1204" s="3"/>
    </row>
    <row r="1205" spans="2:19" x14ac:dyDescent="0.5">
      <c r="B1205" s="5" t="str">
        <f t="shared" si="1358"/>
        <v>SPS1</v>
      </c>
      <c r="C1205" s="5" t="str">
        <f t="shared" si="1359"/>
        <v>CH</v>
      </c>
      <c r="D1205" t="s">
        <v>1336</v>
      </c>
      <c r="E1205" t="s">
        <v>8</v>
      </c>
      <c r="F1205" s="1">
        <f>SUM(F1206:F1207)</f>
        <v>8.5279231561636963E-3</v>
      </c>
      <c r="G1205" s="1">
        <f t="shared" ref="G1205" si="1392">SUM(G1206:G1207)</f>
        <v>1.3338090268948621E-2</v>
      </c>
      <c r="H1205" s="1">
        <f t="shared" ref="H1205" si="1393">SUM(H1206:H1207)</f>
        <v>1.3314060595520218E-3</v>
      </c>
      <c r="I1205" s="1">
        <f t="shared" ref="I1205" si="1394">SUM(I1206:I1207)</f>
        <v>7.695083118747345E-6</v>
      </c>
      <c r="J1205" s="1">
        <f t="shared" ref="J1205" si="1395">SUM(J1206:J1207)</f>
        <v>4.718665095849086E-2</v>
      </c>
      <c r="K1205" s="1">
        <f t="shared" ref="K1205" si="1396">SUM(K1206:K1207)</f>
        <v>0</v>
      </c>
      <c r="L1205" s="1">
        <f t="shared" ref="L1205:O1205" si="1397">SUM(L1206:L1207)</f>
        <v>0</v>
      </c>
      <c r="M1205" s="1">
        <f t="shared" si="1397"/>
        <v>0</v>
      </c>
      <c r="N1205" s="1">
        <f t="shared" si="1397"/>
        <v>0</v>
      </c>
      <c r="O1205" s="1">
        <f t="shared" si="1397"/>
        <v>0</v>
      </c>
      <c r="P1205" s="1">
        <f>SUM(P1206:P1207)</f>
        <v>0</v>
      </c>
      <c r="Q1205" s="1">
        <f>SUM(Q1206:Q1207)</f>
        <v>0</v>
      </c>
      <c r="S1205" s="3"/>
    </row>
    <row r="1206" spans="2:19" x14ac:dyDescent="0.5">
      <c r="B1206" s="5" t="str">
        <f t="shared" si="1358"/>
        <v>SPS1</v>
      </c>
      <c r="C1206" s="5" t="str">
        <f t="shared" si="1359"/>
        <v>CH</v>
      </c>
      <c r="D1206" t="s">
        <v>1337</v>
      </c>
      <c r="E1206" t="s">
        <v>8</v>
      </c>
      <c r="F1206" s="1">
        <f>IF(SUM([1]Transport!B$24,[1]Transport!B$27)=0,0,[1]Transport!B$27/SUM([1]Transport!B$24,[1]Transport!B$27)*F1203*(F$47+F$614)/(F$47+F$614+F$49))</f>
        <v>8.5279231561636963E-3</v>
      </c>
      <c r="G1206" s="1">
        <f>IF(SUM([1]Transport!C$24,[1]Transport!C$27)=0,0,[1]Transport!C$27/SUM([1]Transport!C$24,[1]Transport!C$27)*G1203*(G$47+G$614)/(G$47+G$614+G$49))</f>
        <v>1.3338090268948621E-2</v>
      </c>
      <c r="H1206" s="1">
        <f>IF(SUM([1]Transport!D$24,[1]Transport!D$27)=0,0,[1]Transport!D$27/SUM([1]Transport!D$24,[1]Transport!D$27)*H1203*(H$47+H$614)/(H$47+H$614+H$49))</f>
        <v>1.3314060595520218E-3</v>
      </c>
      <c r="I1206" s="1">
        <f>IF(SUM([1]Transport!E$24,[1]Transport!E$27)=0,0,[1]Transport!E$27/SUM([1]Transport!E$24,[1]Transport!E$27)*I1203*(I$47+I$614)/(I$47+I$614+I$49))</f>
        <v>7.695083118747345E-6</v>
      </c>
      <c r="J1206" s="1">
        <f>IF(SUM([1]Transport!F$24,[1]Transport!F$27)=0,0,[1]Transport!F$27/SUM([1]Transport!F$24,[1]Transport!F$27)*J1203*(J$47+J$614)/(J$47+J$614+J$49))</f>
        <v>2.8988113912754026E-6</v>
      </c>
      <c r="K1206" s="1">
        <f>IF(SUM([1]Transport!G$24,[1]Transport!G$27)=0,0,[1]Transport!G$27/SUM([1]Transport!G$24,[1]Transport!G$27)*K1203*(K$47+K$614)/(K$47+K$614+K$49))</f>
        <v>0</v>
      </c>
      <c r="L1206" s="1">
        <f>IF(SUM([1]Transport!H$24,[1]Transport!H$27)=0,0,[1]Transport!H$27/SUM([1]Transport!H$24,[1]Transport!H$27)*L1203*(L$47+L$614)/(L$47+L$614+L$49))</f>
        <v>0</v>
      </c>
      <c r="M1206" s="1">
        <f>IF(SUM([1]Transport!I$24,[1]Transport!I$27)=0,0,[1]Transport!I$27/SUM([1]Transport!I$24,[1]Transport!I$27)*M1203*(M$47+M$614)/(M$47+M$614+M$49))</f>
        <v>0</v>
      </c>
      <c r="N1206" s="1">
        <f>IF(SUM([1]Transport!J$24,[1]Transport!J$27)=0,0,[1]Transport!J$27/SUM([1]Transport!J$24,[1]Transport!J$27)*N1203*(N$47+N$614)/(N$47+N$614+N$49))</f>
        <v>0</v>
      </c>
      <c r="O1206" s="1">
        <f>IF(SUM([1]Transport!K$24,[1]Transport!K$27)=0,0,[1]Transport!K$27/SUM([1]Transport!K$24,[1]Transport!K$27)*O1203*(O$47+O$614)/(O$47+O$614+O$49))</f>
        <v>0</v>
      </c>
      <c r="P1206" s="1">
        <f>IF(SUM([1]Transport!L$24,[1]Transport!L$27)=0,0,[1]Transport!L$27/SUM([1]Transport!L$24,[1]Transport!L$27)*P1203*(P$47+P$614)/(P$47+P$614+P$49))</f>
        <v>0</v>
      </c>
      <c r="Q1206" s="1">
        <f>IF(SUM([1]Transport!M$24,[1]Transport!M$27)=0,0,[1]Transport!M$27/SUM([1]Transport!M$24,[1]Transport!M$27)*Q1203*(Q$47+Q$614)/(Q$47+Q$614+Q$49))</f>
        <v>0</v>
      </c>
      <c r="S1206" s="3"/>
    </row>
    <row r="1207" spans="2:19" x14ac:dyDescent="0.5">
      <c r="B1207" s="5" t="str">
        <f t="shared" si="1358"/>
        <v>SPS1</v>
      </c>
      <c r="C1207" s="5" t="str">
        <f t="shared" si="1359"/>
        <v>CH</v>
      </c>
      <c r="D1207" t="s">
        <v>1338</v>
      </c>
      <c r="E1207" t="s">
        <v>8</v>
      </c>
      <c r="F1207" s="1">
        <f>IF(([1]Transport!B$24+[1]Transport!B$27)=0,0,(F$49+F$716)/([1]Transport!B$24+[1]Transport!B$27)*F1203)</f>
        <v>0</v>
      </c>
      <c r="G1207" s="1">
        <f>IF(([1]Transport!C$24+[1]Transport!C$27)=0,0,(G$49+G$716)/([1]Transport!C$24+[1]Transport!C$27)*G1203)</f>
        <v>0</v>
      </c>
      <c r="H1207" s="1">
        <f>IF(([1]Transport!D$24+[1]Transport!D$27)=0,0,(H$49+H$716)/([1]Transport!D$24+[1]Transport!D$27)*H1203)</f>
        <v>0</v>
      </c>
      <c r="I1207" s="1">
        <f>IF(([1]Transport!E$24+[1]Transport!E$27)=0,0,(I$49+I$716)/([1]Transport!E$24+[1]Transport!E$27)*I1203)</f>
        <v>0</v>
      </c>
      <c r="J1207" s="1">
        <f>IF(([1]Transport!F$24+[1]Transport!F$27)=0,0,(J$49+J$716)/([1]Transport!F$24+[1]Transport!F$27)*J1203)</f>
        <v>4.7183752147099585E-2</v>
      </c>
      <c r="K1207" s="1">
        <f>IF(([1]Transport!G$24+[1]Transport!G$27)=0,0,(K$49+K$716)/([1]Transport!G$24+[1]Transport!G$27)*K1203)</f>
        <v>0</v>
      </c>
      <c r="L1207" s="1">
        <f>IF(([1]Transport!H$24+[1]Transport!H$27)=0,0,(L$49+L$716)/([1]Transport!H$24+[1]Transport!H$27)*L1203)</f>
        <v>0</v>
      </c>
      <c r="M1207" s="1">
        <f>IF(([1]Transport!I$24+[1]Transport!I$27)=0,0,(M$49+M$716)/([1]Transport!I$24+[1]Transport!I$27)*M1203)</f>
        <v>0</v>
      </c>
      <c r="N1207" s="1">
        <f>IF(([1]Transport!J$24+[1]Transport!J$27)=0,0,(N$49+N$716)/([1]Transport!J$24+[1]Transport!J$27)*N1203)</f>
        <v>0</v>
      </c>
      <c r="O1207" s="1">
        <f>IF(([1]Transport!K$24+[1]Transport!K$27)=0,0,(O$49+O$716)/([1]Transport!K$24+[1]Transport!K$27)*O1203)</f>
        <v>0</v>
      </c>
      <c r="P1207" s="1">
        <f>IF(([1]Transport!L$24+[1]Transport!L$27)=0,0,(P$49+P$716)/([1]Transport!L$24+[1]Transport!L$27)*P1203)</f>
        <v>0</v>
      </c>
      <c r="Q1207" s="1">
        <f>IF(([1]Transport!M$24+[1]Transport!M$27)=0,0,(Q$49+Q$716)/([1]Transport!M$24+[1]Transport!M$27)*Q1203)</f>
        <v>0</v>
      </c>
      <c r="S1207" s="3"/>
    </row>
    <row r="1208" spans="2:19" x14ac:dyDescent="0.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M1208" s="1" cm="1">
        <f t="array" ref="M1208">SUMPRODUCT(("T_C-ICENGAEXT"=[1]OUT_TransportEnergyCons!$A$3:$A$1000)*1,("Var_Fin"=[1]OUT_TransportEnergyCons!$B$3:$B$1000)*1,ISNUMBER(SEARCH("NGA",[1]OUT_TransportEnergyCons!$C$3:$C$1000))*1,[1]OUT_TransportEnergyCons!K$3:K$1000)</f>
        <v>0</v>
      </c>
      <c r="N1208" s="1" cm="1">
        <f t="array" ref="N1208">SUMPRODUCT(("T_C-ICENGAEXT"=[1]OUT_TransportEnergyCons!$A$3:$A$1000)*1,("Var_Fin"=[1]OUT_TransportEnergyCons!$B$3:$B$1000)*1,ISNUMBER(SEARCH("NGA",[1]OUT_TransportEnergyCons!$C$3:$C$1000))*1,[1]OUT_TransportEnergyCons!L$3:L$1000)</f>
        <v>0</v>
      </c>
      <c r="O1208" s="1" cm="1">
        <f t="array" ref="O1208">SUMPRODUCT(("T_C-ICENGAEXT"=[1]OUT_TransportEnergyCons!$A$3:$A$1000)*1,("Var_Fin"=[1]OUT_TransportEnergyCons!$B$3:$B$1000)*1,ISNUMBER(SEARCH("NGA",[1]OUT_TransportEnergyCons!$C$3:$C$1000))*1,[1]OUT_TransportEnergyCons!M$3:M$1000)</f>
        <v>0</v>
      </c>
      <c r="P1208" s="1" cm="1">
        <f t="array" ref="P1208">SUMPRODUCT(("T_C-ICENGAEXT"=[1]OUT_TransportEnergyCons!$A$3:$A$1000)*1,("Var_Fin"=[1]OUT_TransportEnergyCons!$B$3:$B$1000)*1,ISNUMBER(SEARCH("NGA",[1]OUT_TransportEnergyCons!$C$3:$C$1000))*1,[1]OUT_TransportEnergyCons!N$3:N$1000)</f>
        <v>0</v>
      </c>
      <c r="Q1208" s="1" cm="1">
        <f t="array" ref="Q1208">SUMPRODUCT(("T_C-ICENGAEXT"=[1]OUT_TransportEnergyCons!$A$3:$A$1000)*1,("Var_Fin"=[1]OUT_TransportEnergyCons!$B$3:$B$1000)*1,ISNUMBER(SEARCH("NGA",[1]OUT_TransportEnergyCons!$C$3:$C$1000))*1,[1]OUT_TransportEnergyCons!O$3:O$1000)</f>
        <v>0</v>
      </c>
      <c r="S1208" s="3"/>
    </row>
    <row r="1209" spans="2:19" x14ac:dyDescent="0.5">
      <c r="B1209" s="5" t="str">
        <f t="shared" si="1358"/>
        <v>SPS1</v>
      </c>
      <c r="C1209" s="5" t="str">
        <f t="shared" si="135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3.5928778055571843E-3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2.0535307987191755E-3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1.9680182283047507E-3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1.1353553882872929E-4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2.1583595042031039E-5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0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0</v>
      </c>
      <c r="M1209" s="1" cm="1">
        <f t="array" ref="M1209">SUMPRODUCT(("T_C-ICE-NGA-S1"=[1]OUT_TransportEnergyCons!$A$3:$A$1000)*1,("Var_Fin"=[1]OUT_TransportEnergyCons!$B$3:$B$1000)*1,ISNUMBER(SEARCH("NGA",[1]OUT_TransportEnergyCons!$C$3:$C$1000))*1,[1]OUT_TransportEnergyCons!K$3:K$1000)</f>
        <v>0</v>
      </c>
      <c r="N1209" s="1" cm="1">
        <f t="array" ref="N1209">SUMPRODUCT(("T_C-ICE-NGA-S1"=[1]OUT_TransportEnergyCons!$A$3:$A$1000)*1,("Var_Fin"=[1]OUT_TransportEnergyCons!$B$3:$B$1000)*1,ISNUMBER(SEARCH("NGA",[1]OUT_TransportEnergyCons!$C$3:$C$1000))*1,[1]OUT_TransportEnergyCons!L$3:L$1000)</f>
        <v>0</v>
      </c>
      <c r="O1209" s="1" cm="1">
        <f t="array" ref="O1209">SUMPRODUCT(("T_C-ICE-NGA-S1"=[1]OUT_TransportEnergyCons!$A$3:$A$1000)*1,("Var_Fin"=[1]OUT_TransportEnergyCons!$B$3:$B$1000)*1,ISNUMBER(SEARCH("NGA",[1]OUT_TransportEnergyCons!$C$3:$C$1000))*1,[1]OUT_TransportEnergyCons!M$3:M$1000)</f>
        <v>0</v>
      </c>
      <c r="P1209" s="1" cm="1">
        <f t="array" ref="P1209">SUMPRODUCT(("T_C-ICE-NGA-S1"=[1]OUT_TransportEnergyCons!$A$3:$A$1000)*1,("Var_Fin"=[1]OUT_TransportEnergyCons!$B$3:$B$1000)*1,ISNUMBER(SEARCH("NGA",[1]OUT_TransportEnergyCons!$C$3:$C$1000))*1,[1]OUT_TransportEnergyCons!N$3:N$1000)</f>
        <v>0</v>
      </c>
      <c r="Q1209" s="1" cm="1">
        <f t="array" ref="Q1209">SUMPRODUCT(("T_C-ICE-NGA-S1"=[1]OUT_TransportEnergyCons!$A$3:$A$1000)*1,("Var_Fin"=[1]OUT_TransportEnergyCons!$B$3:$B$1000)*1,ISNUMBER(SEARCH("NGA",[1]OUT_TransportEnergyCons!$C$3:$C$1000))*1,[1]OUT_TransportEnergyCons!O$3:O$1000)</f>
        <v>0</v>
      </c>
      <c r="S1209" s="3"/>
    </row>
    <row r="1210" spans="2:19" x14ac:dyDescent="0.5">
      <c r="B1210" s="5" t="str">
        <f t="shared" si="1358"/>
        <v>SPS1</v>
      </c>
      <c r="C1210" s="5" t="str">
        <f t="shared" si="135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5.5968509453187903E-2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5.3765729264727287E-2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5.9292336693778584E-2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0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0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0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0</v>
      </c>
      <c r="M1210" s="1" cm="1">
        <f t="array" ref="M1210">SUMPRODUCT(("T_C-ICE-NGA-S2"=[1]OUT_TransportEnergyCons!$A$3:$A$1000)*1,("Var_Fin"=[1]OUT_TransportEnergyCons!$B$3:$B$1000)*1,ISNUMBER(SEARCH("NGA",[1]OUT_TransportEnergyCons!$C$3:$C$1000))*1,[1]OUT_TransportEnergyCons!K$3:K$1000)</f>
        <v>0</v>
      </c>
      <c r="N1210" s="1" cm="1">
        <f t="array" ref="N1210">SUMPRODUCT(("T_C-ICE-NGA-S2"=[1]OUT_TransportEnergyCons!$A$3:$A$1000)*1,("Var_Fin"=[1]OUT_TransportEnergyCons!$B$3:$B$1000)*1,ISNUMBER(SEARCH("NGA",[1]OUT_TransportEnergyCons!$C$3:$C$1000))*1,[1]OUT_TransportEnergyCons!L$3:L$1000)</f>
        <v>0</v>
      </c>
      <c r="O1210" s="1" cm="1">
        <f t="array" ref="O1210">SUMPRODUCT(("T_C-ICE-NGA-S2"=[1]OUT_TransportEnergyCons!$A$3:$A$1000)*1,("Var_Fin"=[1]OUT_TransportEnergyCons!$B$3:$B$1000)*1,ISNUMBER(SEARCH("NGA",[1]OUT_TransportEnergyCons!$C$3:$C$1000))*1,[1]OUT_TransportEnergyCons!M$3:M$1000)</f>
        <v>0</v>
      </c>
      <c r="P1210" s="1" cm="1">
        <f t="array" ref="P1210">SUMPRODUCT(("T_C-ICE-NGA-S2"=[1]OUT_TransportEnergyCons!$A$3:$A$1000)*1,("Var_Fin"=[1]OUT_TransportEnergyCons!$B$3:$B$1000)*1,ISNUMBER(SEARCH("NGA",[1]OUT_TransportEnergyCons!$C$3:$C$1000))*1,[1]OUT_TransportEnergyCons!N$3:N$1000)</f>
        <v>0</v>
      </c>
      <c r="Q1210" s="1" cm="1">
        <f t="array" ref="Q1210">SUMPRODUCT(("T_C-ICE-NGA-S2"=[1]OUT_TransportEnergyCons!$A$3:$A$1000)*1,("Var_Fin"=[1]OUT_TransportEnergyCons!$B$3:$B$1000)*1,ISNUMBER(SEARCH("NGA",[1]OUT_TransportEnergyCons!$C$3:$C$1000))*1,[1]OUT_TransportEnergyCons!O$3:O$1000)</f>
        <v>0</v>
      </c>
      <c r="S1210" s="3"/>
    </row>
    <row r="1211" spans="2:19" x14ac:dyDescent="0.5">
      <c r="B1211" s="5" t="str">
        <f t="shared" si="1358"/>
        <v>SPS1</v>
      </c>
      <c r="C1211" s="5" t="str">
        <f t="shared" si="135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4.3004806353206144E-3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4.240262394867641E-3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4.7912905707589715E-3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3.6708759914938878E-4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5.9356454784208894E-5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0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0</v>
      </c>
      <c r="M1211" s="1" cm="1">
        <f t="array" ref="M1211">SUMPRODUCT(("T_C-ICE-NGA-S3"=[1]OUT_TransportEnergyCons!$A$3:$A$1000)*1,("Var_Fin"=[1]OUT_TransportEnergyCons!$B$3:$B$1000)*1,ISNUMBER(SEARCH("NGA",[1]OUT_TransportEnergyCons!$C$3:$C$1000))*1,[1]OUT_TransportEnergyCons!K$3:K$1000)</f>
        <v>0</v>
      </c>
      <c r="N1211" s="1" cm="1">
        <f t="array" ref="N1211">SUMPRODUCT(("T_C-ICE-NGA-S3"=[1]OUT_TransportEnergyCons!$A$3:$A$1000)*1,("Var_Fin"=[1]OUT_TransportEnergyCons!$B$3:$B$1000)*1,ISNUMBER(SEARCH("NGA",[1]OUT_TransportEnergyCons!$C$3:$C$1000))*1,[1]OUT_TransportEnergyCons!L$3:L$1000)</f>
        <v>0</v>
      </c>
      <c r="O1211" s="1" cm="1">
        <f t="array" ref="O1211">SUMPRODUCT(("T_C-ICE-NGA-S3"=[1]OUT_TransportEnergyCons!$A$3:$A$1000)*1,("Var_Fin"=[1]OUT_TransportEnergyCons!$B$3:$B$1000)*1,ISNUMBER(SEARCH("NGA",[1]OUT_TransportEnergyCons!$C$3:$C$1000))*1,[1]OUT_TransportEnergyCons!M$3:M$1000)</f>
        <v>0</v>
      </c>
      <c r="P1211" s="1" cm="1">
        <f t="array" ref="P1211">SUMPRODUCT(("T_C-ICE-NGA-S3"=[1]OUT_TransportEnergyCons!$A$3:$A$1000)*1,("Var_Fin"=[1]OUT_TransportEnergyCons!$B$3:$B$1000)*1,ISNUMBER(SEARCH("NGA",[1]OUT_TransportEnergyCons!$C$3:$C$1000))*1,[1]OUT_TransportEnergyCons!N$3:N$1000)</f>
        <v>0</v>
      </c>
      <c r="Q1211" s="1" cm="1">
        <f t="array" ref="Q1211">SUMPRODUCT(("T_C-ICE-NGA-S3"=[1]OUT_TransportEnergyCons!$A$3:$A$1000)*1,("Var_Fin"=[1]OUT_TransportEnergyCons!$B$3:$B$1000)*1,ISNUMBER(SEARCH("NGA",[1]OUT_TransportEnergyCons!$C$3:$C$1000))*1,[1]OUT_TransportEnergyCons!O$3:O$1000)</f>
        <v>0</v>
      </c>
      <c r="S1211" s="3"/>
    </row>
    <row r="1212" spans="2:19" x14ac:dyDescent="0.5">
      <c r="B1212" s="5" t="str">
        <f t="shared" si="1358"/>
        <v>SPS1</v>
      </c>
      <c r="C1212" s="5" t="str">
        <f t="shared" si="135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4.8294013203965001E-2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4.7152772454229074E-2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4.3870676841934478E-2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0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0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0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0</v>
      </c>
      <c r="M1212" s="1" cm="1">
        <f t="array" ref="M1212">SUMPRODUCT(("T_C-ICE-NGA-S4"=[1]OUT_TransportEnergyCons!$A$3:$A$1000)*1,("Var_Fin"=[1]OUT_TransportEnergyCons!$B$3:$B$1000)*1,ISNUMBER(SEARCH("NGA",[1]OUT_TransportEnergyCons!$C$3:$C$1000))*1,[1]OUT_TransportEnergyCons!K$3:K$1000)</f>
        <v>0</v>
      </c>
      <c r="N1212" s="1" cm="1">
        <f t="array" ref="N1212">SUMPRODUCT(("T_C-ICE-NGA-S4"=[1]OUT_TransportEnergyCons!$A$3:$A$1000)*1,("Var_Fin"=[1]OUT_TransportEnergyCons!$B$3:$B$1000)*1,ISNUMBER(SEARCH("NGA",[1]OUT_TransportEnergyCons!$C$3:$C$1000))*1,[1]OUT_TransportEnergyCons!L$3:L$1000)</f>
        <v>0</v>
      </c>
      <c r="O1212" s="1" cm="1">
        <f t="array" ref="O1212">SUMPRODUCT(("T_C-ICE-NGA-S4"=[1]OUT_TransportEnergyCons!$A$3:$A$1000)*1,("Var_Fin"=[1]OUT_TransportEnergyCons!$B$3:$B$1000)*1,ISNUMBER(SEARCH("NGA",[1]OUT_TransportEnergyCons!$C$3:$C$1000))*1,[1]OUT_TransportEnergyCons!M$3:M$1000)</f>
        <v>0</v>
      </c>
      <c r="P1212" s="1" cm="1">
        <f t="array" ref="P1212">SUMPRODUCT(("T_C-ICE-NGA-S4"=[1]OUT_TransportEnergyCons!$A$3:$A$1000)*1,("Var_Fin"=[1]OUT_TransportEnergyCons!$B$3:$B$1000)*1,ISNUMBER(SEARCH("NGA",[1]OUT_TransportEnergyCons!$C$3:$C$1000))*1,[1]OUT_TransportEnergyCons!N$3:N$1000)</f>
        <v>0</v>
      </c>
      <c r="Q1212" s="1" cm="1">
        <f t="array" ref="Q1212">SUMPRODUCT(("T_C-ICE-NGA-S4"=[1]OUT_TransportEnergyCons!$A$3:$A$1000)*1,("Var_Fin"=[1]OUT_TransportEnergyCons!$B$3:$B$1000)*1,ISNUMBER(SEARCH("NGA",[1]OUT_TransportEnergyCons!$C$3:$C$1000))*1,[1]OUT_TransportEnergyCons!O$3:O$1000)</f>
        <v>0</v>
      </c>
      <c r="S1212" s="3"/>
    </row>
    <row r="1213" spans="2:19" x14ac:dyDescent="0.5">
      <c r="B1213" s="5" t="str">
        <f t="shared" si="1358"/>
        <v>SPS1</v>
      </c>
      <c r="C1213" s="5" t="str">
        <f t="shared" si="1359"/>
        <v>CH</v>
      </c>
      <c r="D1213" s="2" t="s">
        <v>1132</v>
      </c>
      <c r="E1213" s="2" t="s">
        <v>1131</v>
      </c>
      <c r="F1213" s="3">
        <f>SUM(F1214:F1263)</f>
        <v>49.003166595007634</v>
      </c>
      <c r="G1213" s="3">
        <f t="shared" ref="G1213:K1213" si="1398">SUM(G1214:G1263)</f>
        <v>55.671145473523161</v>
      </c>
      <c r="H1213" s="3">
        <f t="shared" si="1398"/>
        <v>60.261250912395738</v>
      </c>
      <c r="I1213" s="3">
        <f t="shared" si="1398"/>
        <v>62.339274556213667</v>
      </c>
      <c r="J1213" s="3">
        <f t="shared" si="1398"/>
        <v>62.620504054751798</v>
      </c>
      <c r="K1213" s="3">
        <f t="shared" si="1398"/>
        <v>62.344571769776422</v>
      </c>
      <c r="L1213" s="3">
        <f t="shared" ref="L1213:O1213" si="1399">SUM(L1214:L1263)</f>
        <v>61.74756717981434</v>
      </c>
      <c r="M1213" s="3">
        <f t="shared" si="1399"/>
        <v>61.150556183976192</v>
      </c>
      <c r="N1213" s="3">
        <f t="shared" si="1399"/>
        <v>60.955441313463204</v>
      </c>
      <c r="O1213" s="3">
        <f t="shared" si="1399"/>
        <v>60.753150702022964</v>
      </c>
      <c r="P1213" s="3">
        <f>SUM(P1214:P1263)</f>
        <v>60.588923552853089</v>
      </c>
      <c r="Q1213" s="3">
        <f>SUM(Q1214:Q1263)</f>
        <v>60.552109834958202</v>
      </c>
      <c r="S1213" s="3"/>
    </row>
    <row r="1214" spans="2:19" x14ac:dyDescent="0.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0.41619369554556712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0.36066151430340565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0.27745431276524335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0.13873168638687658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M1214" s="1" cm="1">
        <f t="array" ref="M1214">SUMPRODUCT(("T_C-BATELCEXT"=[1]OUT_TransportEnergyCons!$A$3:$A$1000)*1,("var_fout"=[1]OUT_TransportEnergyCons!$B$3:$B$1000)*1,ISNUMBER(SEARCH("TPCAR",[1]OUT_TransportEnergyCons!$C$3:$C$1000))*1,[1]OUT_TransportEnergyCons!K$3:K$1000)</f>
        <v>0</v>
      </c>
      <c r="N1214" s="1" cm="1">
        <f t="array" ref="N1214">SUMPRODUCT(("T_C-BATELCEXT"=[1]OUT_TransportEnergyCons!$A$3:$A$1000)*1,("var_fout"=[1]OUT_TransportEnergyCons!$B$3:$B$1000)*1,ISNUMBER(SEARCH("TPCAR",[1]OUT_TransportEnergyCons!$C$3:$C$1000))*1,[1]OUT_TransportEnergyCons!L$3:L$1000)</f>
        <v>0</v>
      </c>
      <c r="O1214" s="1" cm="1">
        <f t="array" ref="O1214">SUMPRODUCT(("T_C-BATELCEXT"=[1]OUT_TransportEnergyCons!$A$3:$A$1000)*1,("var_fout"=[1]OUT_TransportEnergyCons!$B$3:$B$1000)*1,ISNUMBER(SEARCH("TPCAR",[1]OUT_TransportEnergyCons!$C$3:$C$1000))*1,[1]OUT_TransportEnergyCons!M$3:M$1000)</f>
        <v>0</v>
      </c>
      <c r="P1214" s="1" cm="1">
        <f t="array" ref="P1214">SUMPRODUCT(("T_C-BATELCEXT"=[1]OUT_TransportEnergyCons!$A$3:$A$1000)*1,("var_fout"=[1]OUT_TransportEnergyCons!$B$3:$B$1000)*1,ISNUMBER(SEARCH("TPCAR",[1]OUT_TransportEnergyCons!$C$3:$C$1000))*1,[1]OUT_TransportEnergyCons!N$3:N$1000)</f>
        <v>0</v>
      </c>
      <c r="Q1214" s="1" cm="1">
        <f t="array" ref="Q1214">SUMPRODUCT(("T_C-BATELCEXT"=[1]OUT_TransportEnergyCons!$A$3:$A$1000)*1,("var_fout"=[1]OUT_TransportEnergyCons!$B$3:$B$1000)*1,ISNUMBER(SEARCH("TPCAR",[1]OUT_TransportEnergyCons!$C$3:$C$1000))*1,[1]OUT_TransportEnergyCons!O$3:O$1000)</f>
        <v>0</v>
      </c>
      <c r="S1214" s="3"/>
    </row>
    <row r="1215" spans="2:19" x14ac:dyDescent="0.5">
      <c r="B1215" s="5" t="str">
        <f t="shared" si="1358"/>
        <v>SPS1</v>
      </c>
      <c r="C1215" s="5" t="str">
        <f t="shared" si="1359"/>
        <v>CH</v>
      </c>
      <c r="D1215" t="s">
        <v>1134</v>
      </c>
      <c r="E1215" t="str">
        <f t="shared" ref="E1215:E1263" si="140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1.3917119987185653E-2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2.626601104149557E-2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2.505620684528681E-2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0.95549850501250888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1.8853631977545564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2.3093729468220285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2.407802733288043</v>
      </c>
      <c r="M1215" s="1" cm="1">
        <f t="array" ref="M1215">SUMPRODUCT(("T_C-BAT-ELC-S1"=[1]OUT_TransportEnergyCons!$A$3:$A$1000)*1,("var_fout"=[1]OUT_TransportEnergyCons!$B$3:$B$1000)*1,ISNUMBER(SEARCH("TPCAR",[1]OUT_TransportEnergyCons!$C$3:$C$1000))*1,[1]OUT_TransportEnergyCons!K$3:K$1000)</f>
        <v>2.4463025251743069</v>
      </c>
      <c r="N1215" s="1" cm="1">
        <f t="array" ref="N1215">SUMPRODUCT(("T_C-BAT-ELC-S1"=[1]OUT_TransportEnergyCons!$A$3:$A$1000)*1,("var_fout"=[1]OUT_TransportEnergyCons!$B$3:$B$1000)*1,ISNUMBER(SEARCH("TPCAR",[1]OUT_TransportEnergyCons!$C$3:$C$1000))*1,[1]OUT_TransportEnergyCons!L$3:L$1000)</f>
        <v>2.4316974184229738</v>
      </c>
      <c r="O1215" s="1" cm="1">
        <f t="array" ref="O1215">SUMPRODUCT(("T_C-BAT-ELC-S1"=[1]OUT_TransportEnergyCons!$A$3:$A$1000)*1,("var_fout"=[1]OUT_TransportEnergyCons!$B$3:$B$1000)*1,ISNUMBER(SEARCH("TPCAR",[1]OUT_TransportEnergyCons!$C$3:$C$1000))*1,[1]OUT_TransportEnergyCons!M$3:M$1000)</f>
        <v>2.4284283544802743</v>
      </c>
      <c r="P1215" s="1" cm="1">
        <f t="array" ref="P1215">SUMPRODUCT(("T_C-BAT-ELC-S1"=[1]OUT_TransportEnergyCons!$A$3:$A$1000)*1,("var_fout"=[1]OUT_TransportEnergyCons!$B$3:$B$1000)*1,ISNUMBER(SEARCH("TPCAR",[1]OUT_TransportEnergyCons!$C$3:$C$1000))*1,[1]OUT_TransportEnergyCons!N$3:N$1000)</f>
        <v>2.4212949484327217</v>
      </c>
      <c r="Q1215" s="1" cm="1">
        <f t="array" ref="Q1215">SUMPRODUCT(("T_C-BAT-ELC-S1"=[1]OUT_TransportEnergyCons!$A$3:$A$1000)*1,("var_fout"=[1]OUT_TransportEnergyCons!$B$3:$B$1000)*1,ISNUMBER(SEARCH("TPCAR",[1]OUT_TransportEnergyCons!$C$3:$C$1000))*1,[1]OUT_TransportEnergyCons!O$3:O$1000)</f>
        <v>2.4188692285143945</v>
      </c>
      <c r="S1215" s="3"/>
    </row>
    <row r="1216" spans="2:19" x14ac:dyDescent="0.5">
      <c r="B1216" s="5" t="str">
        <f t="shared" si="1358"/>
        <v>SPS1</v>
      </c>
      <c r="C1216" s="5" t="str">
        <f t="shared" si="1359"/>
        <v>CH</v>
      </c>
      <c r="D1216" t="s">
        <v>1135</v>
      </c>
      <c r="E1216" t="str">
        <f t="shared" si="140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9.6913343876967067E-2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0.15107819001744499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1.5230151439202271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8.487080845248089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16.749261962294948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18.228975533192745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18.216786727679452</v>
      </c>
      <c r="M1216" s="1" cm="1">
        <f t="array" ref="M1216">SUMPRODUCT(("T_C-BAT-ELC-S2"=[1]OUT_TransportEnergyCons!$A$3:$A$1000)*1,("var_fout"=[1]OUT_TransportEnergyCons!$B$3:$B$1000)*1,ISNUMBER(SEARCH("TPCAR",[1]OUT_TransportEnergyCons!$C$3:$C$1000))*1,[1]OUT_TransportEnergyCons!K$3:K$1000)</f>
        <v>18.042244303854705</v>
      </c>
      <c r="N1216" s="1" cm="1">
        <f t="array" ref="N1216">SUMPRODUCT(("T_C-BAT-ELC-S2"=[1]OUT_TransportEnergyCons!$A$3:$A$1000)*1,("var_fout"=[1]OUT_TransportEnergyCons!$B$3:$B$1000)*1,ISNUMBER(SEARCH("TPCAR",[1]OUT_TransportEnergyCons!$C$3:$C$1000))*1,[1]OUT_TransportEnergyCons!L$3:L$1000)</f>
        <v>17.980196491197134</v>
      </c>
      <c r="O1216" s="1" cm="1">
        <f t="array" ref="O1216">SUMPRODUCT(("T_C-BAT-ELC-S2"=[1]OUT_TransportEnergyCons!$A$3:$A$1000)*1,("var_fout"=[1]OUT_TransportEnergyCons!$B$3:$B$1000)*1,ISNUMBER(SEARCH("TPCAR",[1]OUT_TransportEnergyCons!$C$3:$C$1000))*1,[1]OUT_TransportEnergyCons!M$3:M$1000)</f>
        <v>17.92321119404567</v>
      </c>
      <c r="P1216" s="1" cm="1">
        <f t="array" ref="P1216">SUMPRODUCT(("T_C-BAT-ELC-S2"=[1]OUT_TransportEnergyCons!$A$3:$A$1000)*1,("var_fout"=[1]OUT_TransportEnergyCons!$B$3:$B$1000)*1,ISNUMBER(SEARCH("TPCAR",[1]OUT_TransportEnergyCons!$C$3:$C$1000))*1,[1]OUT_TransportEnergyCons!N$3:N$1000)</f>
        <v>17.876088895778917</v>
      </c>
      <c r="Q1216" s="1" cm="1">
        <f t="array" ref="Q1216">SUMPRODUCT(("T_C-BAT-ELC-S2"=[1]OUT_TransportEnergyCons!$A$3:$A$1000)*1,("var_fout"=[1]OUT_TransportEnergyCons!$B$3:$B$1000)*1,ISNUMBER(SEARCH("TPCAR",[1]OUT_TransportEnergyCons!$C$3:$C$1000))*1,[1]OUT_TransportEnergyCons!O$3:O$1000)</f>
        <v>17.868454901864766</v>
      </c>
      <c r="S1216" s="3"/>
    </row>
    <row r="1217" spans="2:19" x14ac:dyDescent="0.5">
      <c r="B1217" s="5" t="str">
        <f t="shared" si="1358"/>
        <v>SPS1</v>
      </c>
      <c r="C1217" s="5" t="str">
        <f t="shared" si="1359"/>
        <v>CH</v>
      </c>
      <c r="D1217" t="s">
        <v>1136</v>
      </c>
      <c r="E1217" t="str">
        <f t="shared" si="140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6.1497093663991607E-2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0.12721812459205958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0.14294615730603846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0.12051359253592828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0.86592813968723081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5.9699991830914731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5.319440098209169</v>
      </c>
      <c r="M1217" s="1" cm="1">
        <f t="array" ref="M1217">SUMPRODUCT(("T_C-BAT-ELC-S3"=[1]OUT_TransportEnergyCons!$A$3:$A$1000)*1,("var_fout"=[1]OUT_TransportEnergyCons!$B$3:$B$1000)*1,ISNUMBER(SEARCH("TPCAR",[1]OUT_TransportEnergyCons!$C$3:$C$1000))*1,[1]OUT_TransportEnergyCons!K$3:K$1000)</f>
        <v>12.459374818266749</v>
      </c>
      <c r="N1217" s="1" cm="1">
        <f t="array" ref="N1217">SUMPRODUCT(("T_C-BAT-ELC-S3"=[1]OUT_TransportEnergyCons!$A$3:$A$1000)*1,("var_fout"=[1]OUT_TransportEnergyCons!$B$3:$B$1000)*1,ISNUMBER(SEARCH("TPCAR",[1]OUT_TransportEnergyCons!$C$3:$C$1000))*1,[1]OUT_TransportEnergyCons!L$3:L$1000)</f>
        <v>14.028692783012589</v>
      </c>
      <c r="O1217" s="1" cm="1">
        <f t="array" ref="O1217">SUMPRODUCT(("T_C-BAT-ELC-S3"=[1]OUT_TransportEnergyCons!$A$3:$A$1000)*1,("var_fout"=[1]OUT_TransportEnergyCons!$B$3:$B$1000)*1,ISNUMBER(SEARCH("TPCAR",[1]OUT_TransportEnergyCons!$C$3:$C$1000))*1,[1]OUT_TransportEnergyCons!M$3:M$1000)</f>
        <v>16.955569346651256</v>
      </c>
      <c r="P1217" s="1" cm="1">
        <f t="array" ref="P1217">SUMPRODUCT(("T_C-BAT-ELC-S3"=[1]OUT_TransportEnergyCons!$A$3:$A$1000)*1,("var_fout"=[1]OUT_TransportEnergyCons!$B$3:$B$1000)*1,ISNUMBER(SEARCH("TPCAR",[1]OUT_TransportEnergyCons!$C$3:$C$1000))*1,[1]OUT_TransportEnergyCons!N$3:N$1000)</f>
        <v>23.718087416085943</v>
      </c>
      <c r="Q1217" s="1" cm="1">
        <f t="array" ref="Q1217">SUMPRODUCT(("T_C-BAT-ELC-S3"=[1]OUT_TransportEnergyCons!$A$3:$A$1000)*1,("var_fout"=[1]OUT_TransportEnergyCons!$B$3:$B$1000)*1,ISNUMBER(SEARCH("TPCAR",[1]OUT_TransportEnergyCons!$C$3:$C$1000))*1,[1]OUT_TransportEnergyCons!O$3:O$1000)</f>
        <v>19.704308687922037</v>
      </c>
      <c r="S1217" s="3"/>
    </row>
    <row r="1218" spans="2:19" x14ac:dyDescent="0.5">
      <c r="B1218" s="5" t="str">
        <f t="shared" ref="B1218:B1264" si="1401">B1217</f>
        <v>SPS1</v>
      </c>
      <c r="C1218" s="5" t="str">
        <f t="shared" ref="C1218:C1264" si="1402">C1217</f>
        <v>CH</v>
      </c>
      <c r="D1218" t="s">
        <v>1137</v>
      </c>
      <c r="E1218" t="str">
        <f t="shared" si="140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0.19417888883832995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1.2651185055552452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3.3515037546799724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12.69444145493971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20.531302817437702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22.628615164652576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23.195813958387497</v>
      </c>
      <c r="M1218" s="1" cm="1">
        <f t="array" ref="M1218">SUMPRODUCT(("T_C-BAT-ELC-S4"=[1]OUT_TransportEnergyCons!$A$3:$A$1000)*1,("var_fout"=[1]OUT_TransportEnergyCons!$B$3:$B$1000)*1,ISNUMBER(SEARCH("TPCAR",[1]OUT_TransportEnergyCons!$C$3:$C$1000))*1,[1]OUT_TransportEnergyCons!K$3:K$1000)</f>
        <v>23.56630171596025</v>
      </c>
      <c r="N1218" s="1" cm="1">
        <f t="array" ref="N1218">SUMPRODUCT(("T_C-BAT-ELC-S4"=[1]OUT_TransportEnergyCons!$A$3:$A$1000)*1,("var_fout"=[1]OUT_TransportEnergyCons!$B$3:$B$1000)*1,ISNUMBER(SEARCH("TPCAR",[1]OUT_TransportEnergyCons!$C$3:$C$1000))*1,[1]OUT_TransportEnergyCons!L$3:L$1000)</f>
        <v>22.073637117779477</v>
      </c>
      <c r="O1218" s="1" cm="1">
        <f t="array" ref="O1218">SUMPRODUCT(("T_C-BAT-ELC-S4"=[1]OUT_TransportEnergyCons!$A$3:$A$1000)*1,("var_fout"=[1]OUT_TransportEnergyCons!$B$3:$B$1000)*1,ISNUMBER(SEARCH("TPCAR",[1]OUT_TransportEnergyCons!$C$3:$C$1000))*1,[1]OUT_TransportEnergyCons!M$3:M$1000)</f>
        <v>19.207015437311831</v>
      </c>
      <c r="P1218" s="1" cm="1">
        <f t="array" ref="P1218">SUMPRODUCT(("T_C-BAT-ELC-S4"=[1]OUT_TransportEnergyCons!$A$3:$A$1000)*1,("var_fout"=[1]OUT_TransportEnergyCons!$B$3:$B$1000)*1,ISNUMBER(SEARCH("TPCAR",[1]OUT_TransportEnergyCons!$C$3:$C$1000))*1,[1]OUT_TransportEnergyCons!N$3:N$1000)</f>
        <v>12.498754161706684</v>
      </c>
      <c r="Q1218" s="1" cm="1">
        <f t="array" ref="Q1218">SUMPRODUCT(("T_C-BAT-ELC-S4"=[1]OUT_TransportEnergyCons!$A$3:$A$1000)*1,("var_fout"=[1]OUT_TransportEnergyCons!$B$3:$B$1000)*1,ISNUMBER(SEARCH("TPCAR",[1]OUT_TransportEnergyCons!$C$3:$C$1000))*1,[1]OUT_TransportEnergyCons!O$3:O$1000)</f>
        <v>17.106780217094407</v>
      </c>
      <c r="S1218" s="3"/>
    </row>
    <row r="1219" spans="2:19" x14ac:dyDescent="0.5">
      <c r="B1219" s="5" t="str">
        <f t="shared" si="1401"/>
        <v>SPS1</v>
      </c>
      <c r="C1219" s="5" t="str">
        <f t="shared" si="1402"/>
        <v>CH</v>
      </c>
      <c r="D1219" t="s">
        <v>1138</v>
      </c>
      <c r="E1219" t="str">
        <f t="shared" si="140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2.1043714910121415E-4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5.7310155550568422E-4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7.2809004904356395E-4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8.5552322266917093E-4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8.0990527891613789E-4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4.5749599122955285E-4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4.4853786576897414E-4</v>
      </c>
      <c r="M1219" s="1" cm="1">
        <f t="array" ref="M1219">SUMPRODUCT(("T_C-PEV-GSL-S1"=[1]OUT_TransportEnergyCons!$A$3:$A$1000)*1,("var_fout"=[1]OUT_TransportEnergyCons!$B$3:$B$1000)*1,ISNUMBER(SEARCH("TPCAR",[1]OUT_TransportEnergyCons!$C$3:$C$1000))*1,[1]OUT_TransportEnergyCons!K$3:K$1000)</f>
        <v>2.2131900781843705E-4</v>
      </c>
      <c r="N1219" s="1" cm="1">
        <f t="array" ref="N1219">SUMPRODUCT(("T_C-PEV-GSL-S1"=[1]OUT_TransportEnergyCons!$A$3:$A$1000)*1,("var_fout"=[1]OUT_TransportEnergyCons!$B$3:$B$1000)*1,ISNUMBER(SEARCH("TPCAR",[1]OUT_TransportEnergyCons!$C$3:$C$1000))*1,[1]OUT_TransportEnergyCons!L$3:L$1000)</f>
        <v>1.7669843718762877E-3</v>
      </c>
      <c r="O1219" s="1" cm="1">
        <f t="array" ref="O1219">SUMPRODUCT(("T_C-PEV-GSL-S1"=[1]OUT_TransportEnergyCons!$A$3:$A$1000)*1,("var_fout"=[1]OUT_TransportEnergyCons!$B$3:$B$1000)*1,ISNUMBER(SEARCH("TPCAR",[1]OUT_TransportEnergyCons!$C$3:$C$1000))*1,[1]OUT_TransportEnergyCons!M$3:M$1000)</f>
        <v>3.0568811491099783E-3</v>
      </c>
      <c r="P1219" s="1" cm="1">
        <f t="array" ref="P1219">SUMPRODUCT(("T_C-PEV-GSL-S1"=[1]OUT_TransportEnergyCons!$A$3:$A$1000)*1,("var_fout"=[1]OUT_TransportEnergyCons!$B$3:$B$1000)*1,ISNUMBER(SEARCH("TPCAR",[1]OUT_TransportEnergyCons!$C$3:$C$1000))*1,[1]OUT_TransportEnergyCons!N$3:N$1000)</f>
        <v>3.7513816524939519E-3</v>
      </c>
      <c r="Q1219" s="1" cm="1">
        <f t="array" ref="Q1219">SUMPRODUCT(("T_C-PEV-GSL-S1"=[1]OUT_TransportEnergyCons!$A$3:$A$1000)*1,("var_fout"=[1]OUT_TransportEnergyCons!$B$3:$B$1000)*1,ISNUMBER(SEARCH("TPCAR",[1]OUT_TransportEnergyCons!$C$3:$C$1000))*1,[1]OUT_TransportEnergyCons!O$3:O$1000)</f>
        <v>4.7054002538652103E-3</v>
      </c>
      <c r="S1219" s="3"/>
    </row>
    <row r="1220" spans="2:19" x14ac:dyDescent="0.5">
      <c r="B1220" s="5" t="str">
        <f t="shared" si="1401"/>
        <v>SPS1</v>
      </c>
      <c r="C1220" s="5" t="str">
        <f t="shared" si="1402"/>
        <v>CH</v>
      </c>
      <c r="D1220" t="s">
        <v>1139</v>
      </c>
      <c r="E1220" t="str">
        <f t="shared" si="140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5.0567575828895456E-2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9.8728518938240792E-2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7.0867502153309489E-2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7.9649589640002405E-2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1.1317088965513651E-2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1.5017595884988856E-3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1.408414578395061E-3</v>
      </c>
      <c r="M1220" s="1" cm="1">
        <f t="array" ref="M1220">SUMPRODUCT(("T_C-PEV-GSL-S2"=[1]OUT_TransportEnergyCons!$A$3:$A$1000)*1,("var_fout"=[1]OUT_TransportEnergyCons!$B$3:$B$1000)*1,ISNUMBER(SEARCH("TPCAR",[1]OUT_TransportEnergyCons!$C$3:$C$1000))*1,[1]OUT_TransportEnergyCons!K$3:K$1000)</f>
        <v>1.0270461381233097E-3</v>
      </c>
      <c r="N1220" s="1" cm="1">
        <f t="array" ref="N1220">SUMPRODUCT(("T_C-PEV-GSL-S2"=[1]OUT_TransportEnergyCons!$A$3:$A$1000)*1,("var_fout"=[1]OUT_TransportEnergyCons!$B$3:$B$1000)*1,ISNUMBER(SEARCH("TPCAR",[1]OUT_TransportEnergyCons!$C$3:$C$1000))*1,[1]OUT_TransportEnergyCons!L$3:L$1000)</f>
        <v>6.8150423796784002E-3</v>
      </c>
      <c r="O1220" s="1" cm="1">
        <f t="array" ref="O1220">SUMPRODUCT(("T_C-PEV-GSL-S2"=[1]OUT_TransportEnergyCons!$A$3:$A$1000)*1,("var_fout"=[1]OUT_TransportEnergyCons!$B$3:$B$1000)*1,ISNUMBER(SEARCH("TPCAR",[1]OUT_TransportEnergyCons!$C$3:$C$1000))*1,[1]OUT_TransportEnergyCons!M$3:M$1000)</f>
        <v>7.2042372525711875E-3</v>
      </c>
      <c r="P1220" s="1" cm="1">
        <f t="array" ref="P1220">SUMPRODUCT(("T_C-PEV-GSL-S2"=[1]OUT_TransportEnergyCons!$A$3:$A$1000)*1,("var_fout"=[1]OUT_TransportEnergyCons!$B$3:$B$1000)*1,ISNUMBER(SEARCH("TPCAR",[1]OUT_TransportEnergyCons!$C$3:$C$1000))*1,[1]OUT_TransportEnergyCons!N$3:N$1000)</f>
        <v>5.9217411042315005E-3</v>
      </c>
      <c r="Q1220" s="1" cm="1">
        <f t="array" ref="Q1220">SUMPRODUCT(("T_C-PEV-GSL-S2"=[1]OUT_TransportEnergyCons!$A$3:$A$1000)*1,("var_fout"=[1]OUT_TransportEnergyCons!$B$3:$B$1000)*1,ISNUMBER(SEARCH("TPCAR",[1]OUT_TransportEnergyCons!$C$3:$C$1000))*1,[1]OUT_TransportEnergyCons!O$3:O$1000)</f>
        <v>2.8760781801333872E-3</v>
      </c>
      <c r="S1220" s="3"/>
    </row>
    <row r="1221" spans="2:19" x14ac:dyDescent="0.5">
      <c r="B1221" s="5" t="str">
        <f t="shared" si="1401"/>
        <v>SPS1</v>
      </c>
      <c r="C1221" s="5" t="str">
        <f t="shared" si="1402"/>
        <v>CH</v>
      </c>
      <c r="D1221" t="s">
        <v>1140</v>
      </c>
      <c r="E1221" t="str">
        <f t="shared" si="140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4.8975123720623265E-2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0.15755485662868313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1.2009191121632947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3.6064251503193172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9.5726793436973789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7.3764616781071339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7.4209849497228468</v>
      </c>
      <c r="M1221" s="1" cm="1">
        <f t="array" ref="M1221">SUMPRODUCT(("T_C-PEV-GSL-S3"=[1]OUT_TransportEnergyCons!$A$3:$A$1000)*1,("var_fout"=[1]OUT_TransportEnergyCons!$B$3:$B$1000)*1,ISNUMBER(SEARCH("TPCAR",[1]OUT_TransportEnergyCons!$C$3:$C$1000))*1,[1]OUT_TransportEnergyCons!K$3:K$1000)</f>
        <v>2.7279389665713509</v>
      </c>
      <c r="N1221" s="1" cm="1">
        <f t="array" ref="N1221">SUMPRODUCT(("T_C-PEV-GSL-S3"=[1]OUT_TransportEnergyCons!$A$3:$A$1000)*1,("var_fout"=[1]OUT_TransportEnergyCons!$B$3:$B$1000)*1,ISNUMBER(SEARCH("TPCAR",[1]OUT_TransportEnergyCons!$C$3:$C$1000))*1,[1]OUT_TransportEnergyCons!L$3:L$1000)</f>
        <v>1.7082560896824981</v>
      </c>
      <c r="O1221" s="1" cm="1">
        <f t="array" ref="O1221">SUMPRODUCT(("T_C-PEV-GSL-S3"=[1]OUT_TransportEnergyCons!$A$3:$A$1000)*1,("var_fout"=[1]OUT_TransportEnergyCons!$B$3:$B$1000)*1,ISNUMBER(SEARCH("TPCAR",[1]OUT_TransportEnergyCons!$C$3:$C$1000))*1,[1]OUT_TransportEnergyCons!M$3:M$1000)</f>
        <v>1.0834535287966875E-2</v>
      </c>
      <c r="P1221" s="1" cm="1">
        <f t="array" ref="P1221">SUMPRODUCT(("T_C-PEV-GSL-S3"=[1]OUT_TransportEnergyCons!$A$3:$A$1000)*1,("var_fout"=[1]OUT_TransportEnergyCons!$B$3:$B$1000)*1,ISNUMBER(SEARCH("TPCAR",[1]OUT_TransportEnergyCons!$C$3:$C$1000))*1,[1]OUT_TransportEnergyCons!N$3:N$1000)</f>
        <v>9.7995555863076098E-3</v>
      </c>
      <c r="Q1221" s="1" cm="1">
        <f t="array" ref="Q1221">SUMPRODUCT(("T_C-PEV-GSL-S3"=[1]OUT_TransportEnergyCons!$A$3:$A$1000)*1,("var_fout"=[1]OUT_TransportEnergyCons!$B$3:$B$1000)*1,ISNUMBER(SEARCH("TPCAR",[1]OUT_TransportEnergyCons!$C$3:$C$1000))*1,[1]OUT_TransportEnergyCons!O$3:O$1000)</f>
        <v>5.4396156781336439E-3</v>
      </c>
      <c r="S1221" s="3"/>
    </row>
    <row r="1222" spans="2:19" x14ac:dyDescent="0.5">
      <c r="B1222" s="5" t="str">
        <f t="shared" si="1401"/>
        <v>SPS1</v>
      </c>
      <c r="C1222" s="5" t="str">
        <f t="shared" si="1402"/>
        <v>CH</v>
      </c>
      <c r="D1222" t="s">
        <v>1141</v>
      </c>
      <c r="E1222" t="str">
        <f t="shared" si="140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8.9123882480993219E-2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0.15913574383295265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0.15320020743779805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0.12685602946459948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2.7823933287672173E-2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3.4836364682049557E-3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2.4950603776206157E-3</v>
      </c>
      <c r="M1222" s="1" cm="1">
        <f t="array" ref="M1222">SUMPRODUCT(("T_C-PEV-GSL-S4"=[1]OUT_TransportEnergyCons!$A$3:$A$1000)*1,("var_fout"=[1]OUT_TransportEnergyCons!$B$3:$B$1000)*1,ISNUMBER(SEARCH("TPCAR",[1]OUT_TransportEnergyCons!$C$3:$C$1000))*1,[1]OUT_TransportEnergyCons!K$3:K$1000)</f>
        <v>1.3858125504385382E-3</v>
      </c>
      <c r="N1222" s="1" cm="1">
        <f t="array" ref="N1222">SUMPRODUCT(("T_C-PEV-GSL-S4"=[1]OUT_TransportEnergyCons!$A$3:$A$1000)*1,("var_fout"=[1]OUT_TransportEnergyCons!$B$3:$B$1000)*1,ISNUMBER(SEARCH("TPCAR",[1]OUT_TransportEnergyCons!$C$3:$C$1000))*1,[1]OUT_TransportEnergyCons!L$3:L$1000)</f>
        <v>0.89882197344576309</v>
      </c>
      <c r="O1222" s="1" cm="1">
        <f t="array" ref="O1222">SUMPRODUCT(("T_C-PEV-GSL-S4"=[1]OUT_TransportEnergyCons!$A$3:$A$1000)*1,("var_fout"=[1]OUT_TransportEnergyCons!$B$3:$B$1000)*1,ISNUMBER(SEARCH("TPCAR",[1]OUT_TransportEnergyCons!$C$3:$C$1000))*1,[1]OUT_TransportEnergyCons!M$3:M$1000)</f>
        <v>2.4754244751689769</v>
      </c>
      <c r="P1222" s="1" cm="1">
        <f t="array" ref="P1222">SUMPRODUCT(("T_C-PEV-GSL-S4"=[1]OUT_TransportEnergyCons!$A$3:$A$1000)*1,("var_fout"=[1]OUT_TransportEnergyCons!$B$3:$B$1000)*1,ISNUMBER(SEARCH("TPCAR",[1]OUT_TransportEnergyCons!$C$3:$C$1000))*1,[1]OUT_TransportEnergyCons!N$3:N$1000)</f>
        <v>2.3803253533228341</v>
      </c>
      <c r="Q1222" s="1" cm="1">
        <f t="array" ref="Q1222">SUMPRODUCT(("T_C-PEV-GSL-S4"=[1]OUT_TransportEnergyCons!$A$3:$A$1000)*1,("var_fout"=[1]OUT_TransportEnergyCons!$B$3:$B$1000)*1,ISNUMBER(SEARCH("TPCAR",[1]OUT_TransportEnergyCons!$C$3:$C$1000))*1,[1]OUT_TransportEnergyCons!O$3:O$1000)</f>
        <v>2.0210307916058299</v>
      </c>
      <c r="S1222" s="3"/>
    </row>
    <row r="1223" spans="2:19" x14ac:dyDescent="0.5">
      <c r="B1223" s="5" t="str">
        <f t="shared" si="1401"/>
        <v>SPS1</v>
      </c>
      <c r="C1223" s="5" t="str">
        <f t="shared" si="1402"/>
        <v>CH</v>
      </c>
      <c r="D1223" t="s">
        <v>1142</v>
      </c>
      <c r="E1223" t="str">
        <f t="shared" si="140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1.2295037728045069E-5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4.2578774330292248E-4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6.1756538463181515E-4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9.1406125068476036E-4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9.2858880211570431E-4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5.1383981491077253E-4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1.6035160016349777E-3</v>
      </c>
      <c r="M1223" s="1" cm="1">
        <f t="array" ref="M1223">SUMPRODUCT(("T_C-PEV-DSL-S1"=[1]OUT_TransportEnergyCons!$A$3:$A$1000)*1,("var_fout"=[1]OUT_TransportEnergyCons!$B$3:$B$1000)*1,ISNUMBER(SEARCH("TPCAR",[1]OUT_TransportEnergyCons!$C$3:$C$1000))*1,[1]OUT_TransportEnergyCons!K$3:K$1000)</f>
        <v>1.2249169613563601E-3</v>
      </c>
      <c r="N1223" s="1" cm="1">
        <f t="array" ref="N1223">SUMPRODUCT(("T_C-PEV-DSL-S1"=[1]OUT_TransportEnergyCons!$A$3:$A$1000)*1,("var_fout"=[1]OUT_TransportEnergyCons!$B$3:$B$1000)*1,ISNUMBER(SEARCH("TPCAR",[1]OUT_TransportEnergyCons!$C$3:$C$1000))*1,[1]OUT_TransportEnergyCons!L$3:L$1000)</f>
        <v>6.4744927569979367E-3</v>
      </c>
      <c r="O1223" s="1" cm="1">
        <f t="array" ref="O1223">SUMPRODUCT(("T_C-PEV-DSL-S1"=[1]OUT_TransportEnergyCons!$A$3:$A$1000)*1,("var_fout"=[1]OUT_TransportEnergyCons!$B$3:$B$1000)*1,ISNUMBER(SEARCH("TPCAR",[1]OUT_TransportEnergyCons!$C$3:$C$1000))*1,[1]OUT_TransportEnergyCons!M$3:M$1000)</f>
        <v>3.565154180563208E-4</v>
      </c>
      <c r="P1223" s="1" cm="1">
        <f t="array" ref="P1223">SUMPRODUCT(("T_C-PEV-DSL-S1"=[1]OUT_TransportEnergyCons!$A$3:$A$1000)*1,("var_fout"=[1]OUT_TransportEnergyCons!$B$3:$B$1000)*1,ISNUMBER(SEARCH("TPCAR",[1]OUT_TransportEnergyCons!$C$3:$C$1000))*1,[1]OUT_TransportEnergyCons!N$3:N$1000)</f>
        <v>2.2210677803932694E-4</v>
      </c>
      <c r="Q1223" s="1" cm="1">
        <f t="array" ref="Q1223">SUMPRODUCT(("T_C-PEV-DSL-S1"=[1]OUT_TransportEnergyCons!$A$3:$A$1000)*1,("var_fout"=[1]OUT_TransportEnergyCons!$B$3:$B$1000)*1,ISNUMBER(SEARCH("TPCAR",[1]OUT_TransportEnergyCons!$C$3:$C$1000))*1,[1]OUT_TransportEnergyCons!O$3:O$1000)</f>
        <v>2.1778539914643364E-4</v>
      </c>
      <c r="S1223" s="3"/>
    </row>
    <row r="1224" spans="2:19" x14ac:dyDescent="0.5">
      <c r="B1224" s="5" t="str">
        <f t="shared" si="1401"/>
        <v>SPS1</v>
      </c>
      <c r="C1224" s="5" t="str">
        <f t="shared" si="1402"/>
        <v>CH</v>
      </c>
      <c r="D1224" t="s">
        <v>1143</v>
      </c>
      <c r="E1224" t="str">
        <f t="shared" si="140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2.7723802537567204E-6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4.2297849975929212E-4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1.4781939192978814E-3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3.9130093376750124E-3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3.6550696386289175E-3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2.0777255478238287E-3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6.3117580877189855E-3</v>
      </c>
      <c r="M1224" s="1" cm="1">
        <f t="array" ref="M1224">SUMPRODUCT(("T_C-PEV-DSL-S2"=[1]OUT_TransportEnergyCons!$A$3:$A$1000)*1,("var_fout"=[1]OUT_TransportEnergyCons!$B$3:$B$1000)*1,ISNUMBER(SEARCH("TPCAR",[1]OUT_TransportEnergyCons!$C$3:$C$1000))*1,[1]OUT_TransportEnergyCons!K$3:K$1000)</f>
        <v>5.0306368089294519E-3</v>
      </c>
      <c r="N1224" s="1" cm="1">
        <f t="array" ref="N1224">SUMPRODUCT(("T_C-PEV-DSL-S2"=[1]OUT_TransportEnergyCons!$A$3:$A$1000)*1,("var_fout"=[1]OUT_TransportEnergyCons!$B$3:$B$1000)*1,ISNUMBER(SEARCH("TPCAR",[1]OUT_TransportEnergyCons!$C$3:$C$1000))*1,[1]OUT_TransportEnergyCons!L$3:L$1000)</f>
        <v>3.7032469892354135E-3</v>
      </c>
      <c r="O1224" s="1" cm="1">
        <f t="array" ref="O1224">SUMPRODUCT(("T_C-PEV-DSL-S2"=[1]OUT_TransportEnergyCons!$A$3:$A$1000)*1,("var_fout"=[1]OUT_TransportEnergyCons!$B$3:$B$1000)*1,ISNUMBER(SEARCH("TPCAR",[1]OUT_TransportEnergyCons!$C$3:$C$1000))*1,[1]OUT_TransportEnergyCons!M$3:M$1000)</f>
        <v>5.9356590085889334E-4</v>
      </c>
      <c r="P1224" s="1" cm="1">
        <f t="array" ref="P1224">SUMPRODUCT(("T_C-PEV-DSL-S2"=[1]OUT_TransportEnergyCons!$A$3:$A$1000)*1,("var_fout"=[1]OUT_TransportEnergyCons!$B$3:$B$1000)*1,ISNUMBER(SEARCH("TPCAR",[1]OUT_TransportEnergyCons!$C$3:$C$1000))*1,[1]OUT_TransportEnergyCons!N$3:N$1000)</f>
        <v>5.2784773487432916E-4</v>
      </c>
      <c r="Q1224" s="1" cm="1">
        <f t="array" ref="Q1224">SUMPRODUCT(("T_C-PEV-DSL-S2"=[1]OUT_TransportEnergyCons!$A$3:$A$1000)*1,("var_fout"=[1]OUT_TransportEnergyCons!$B$3:$B$1000)*1,ISNUMBER(SEARCH("TPCAR",[1]OUT_TransportEnergyCons!$C$3:$C$1000))*1,[1]OUT_TransportEnergyCons!O$3:O$1000)</f>
        <v>3.3888829848334999E-4</v>
      </c>
      <c r="S1224" s="3"/>
    </row>
    <row r="1225" spans="2:19" x14ac:dyDescent="0.5">
      <c r="B1225" s="5" t="str">
        <f t="shared" si="1401"/>
        <v>SPS1</v>
      </c>
      <c r="C1225" s="5" t="str">
        <f t="shared" si="1402"/>
        <v>CH</v>
      </c>
      <c r="D1225" t="s">
        <v>1144</v>
      </c>
      <c r="E1225" t="str">
        <f t="shared" si="140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5.2110582653847452E-5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0.47049334624770078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0.98176401483090914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5.4803263008696996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7.6678367683490771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5.3209501829039327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5.1614424993132726</v>
      </c>
      <c r="M1225" s="1" cm="1">
        <f t="array" ref="M1225">SUMPRODUCT(("T_C-PEV-DSL-S3"=[1]OUT_TransportEnergyCons!$A$3:$A$1000)*1,("var_fout"=[1]OUT_TransportEnergyCons!$B$3:$B$1000)*1,ISNUMBER(SEARCH("TPCAR",[1]OUT_TransportEnergyCons!$C$3:$C$1000))*1,[1]OUT_TransportEnergyCons!K$3:K$1000)</f>
        <v>1.8908665344061515</v>
      </c>
      <c r="N1225" s="1" cm="1">
        <f t="array" ref="N1225">SUMPRODUCT(("T_C-PEV-DSL-S3"=[1]OUT_TransportEnergyCons!$A$3:$A$1000)*1,("var_fout"=[1]OUT_TransportEnergyCons!$B$3:$B$1000)*1,ISNUMBER(SEARCH("TPCAR",[1]OUT_TransportEnergyCons!$C$3:$C$1000))*1,[1]OUT_TransportEnergyCons!L$3:L$1000)</f>
        <v>1.2867390281724744</v>
      </c>
      <c r="O1225" s="1" cm="1">
        <f t="array" ref="O1225">SUMPRODUCT(("T_C-PEV-DSL-S3"=[1]OUT_TransportEnergyCons!$A$3:$A$1000)*1,("var_fout"=[1]OUT_TransportEnergyCons!$B$3:$B$1000)*1,ISNUMBER(SEARCH("TPCAR",[1]OUT_TransportEnergyCons!$C$3:$C$1000))*1,[1]OUT_TransportEnergyCons!M$3:M$1000)</f>
        <v>8.6564678681047514E-4</v>
      </c>
      <c r="P1225" s="1" cm="1">
        <f t="array" ref="P1225">SUMPRODUCT(("T_C-PEV-DSL-S3"=[1]OUT_TransportEnergyCons!$A$3:$A$1000)*1,("var_fout"=[1]OUT_TransportEnergyCons!$B$3:$B$1000)*1,ISNUMBER(SEARCH("TPCAR",[1]OUT_TransportEnergyCons!$C$3:$C$1000))*1,[1]OUT_TransportEnergyCons!N$3:N$1000)</f>
        <v>7.4934561977514733E-4</v>
      </c>
      <c r="Q1225" s="1" cm="1">
        <f t="array" ref="Q1225">SUMPRODUCT(("T_C-PEV-DSL-S3"=[1]OUT_TransportEnergyCons!$A$3:$A$1000)*1,("var_fout"=[1]OUT_TransportEnergyCons!$B$3:$B$1000)*1,ISNUMBER(SEARCH("TPCAR",[1]OUT_TransportEnergyCons!$C$3:$C$1000))*1,[1]OUT_TransportEnergyCons!O$3:O$1000)</f>
        <v>4.1524875548487508E-4</v>
      </c>
      <c r="S1225" s="3"/>
    </row>
    <row r="1226" spans="2:19" x14ac:dyDescent="0.5">
      <c r="B1226" s="5" t="str">
        <f t="shared" si="1401"/>
        <v>SPS1</v>
      </c>
      <c r="C1226" s="5" t="str">
        <f t="shared" si="1402"/>
        <v>CH</v>
      </c>
      <c r="D1226" t="s">
        <v>1145</v>
      </c>
      <c r="E1226" t="str">
        <f t="shared" si="140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2.9944467085967871E-3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1.025526475360884E-2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1.1195063666219069E-2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3.4160179026395406E-2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2.4693986221966967E-2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1.3011553697499002E-2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1.3024535370780065E-2</v>
      </c>
      <c r="M1226" s="1" cm="1">
        <f t="array" ref="M1226">SUMPRODUCT(("T_C-PEV-DSL-S4"=[1]OUT_TransportEnergyCons!$A$3:$A$1000)*1,("var_fout"=[1]OUT_TransportEnergyCons!$B$3:$B$1000)*1,ISNUMBER(SEARCH("TPCAR",[1]OUT_TransportEnergyCons!$C$3:$C$1000))*1,[1]OUT_TransportEnergyCons!K$3:K$1000)</f>
        <v>8.6332549102240731E-3</v>
      </c>
      <c r="N1226" s="1" cm="1">
        <f t="array" ref="N1226">SUMPRODUCT(("T_C-PEV-DSL-S4"=[1]OUT_TransportEnergyCons!$A$3:$A$1000)*1,("var_fout"=[1]OUT_TransportEnergyCons!$B$3:$B$1000)*1,ISNUMBER(SEARCH("TPCAR",[1]OUT_TransportEnergyCons!$C$3:$C$1000))*1,[1]OUT_TransportEnergyCons!L$3:L$1000)</f>
        <v>0.52863683752734758</v>
      </c>
      <c r="O1226" s="1" cm="1">
        <f t="array" ref="O1226">SUMPRODUCT(("T_C-PEV-DSL-S4"=[1]OUT_TransportEnergyCons!$A$3:$A$1000)*1,("var_fout"=[1]OUT_TransportEnergyCons!$B$3:$B$1000)*1,ISNUMBER(SEARCH("TPCAR",[1]OUT_TransportEnergyCons!$C$3:$C$1000))*1,[1]OUT_TransportEnergyCons!M$3:M$1000)</f>
        <v>1.7405860010505025</v>
      </c>
      <c r="P1226" s="1" cm="1">
        <f t="array" ref="P1226">SUMPRODUCT(("T_C-PEV-DSL-S4"=[1]OUT_TransportEnergyCons!$A$3:$A$1000)*1,("var_fout"=[1]OUT_TransportEnergyCons!$B$3:$B$1000)*1,ISNUMBER(SEARCH("TPCAR",[1]OUT_TransportEnergyCons!$C$3:$C$1000))*1,[1]OUT_TransportEnergyCons!N$3:N$1000)</f>
        <v>1.6733964279185218</v>
      </c>
      <c r="Q1226" s="1" cm="1">
        <f t="array" ref="Q1226">SUMPRODUCT(("T_C-PEV-DSL-S4"=[1]OUT_TransportEnergyCons!$A$3:$A$1000)*1,("var_fout"=[1]OUT_TransportEnergyCons!$B$3:$B$1000)*1,ISNUMBER(SEARCH("TPCAR",[1]OUT_TransportEnergyCons!$C$3:$C$1000))*1,[1]OUT_TransportEnergyCons!O$3:O$1000)</f>
        <v>1.4186582410630999</v>
      </c>
      <c r="S1226" s="3"/>
    </row>
    <row r="1227" spans="2:19" x14ac:dyDescent="0.5">
      <c r="B1227" s="5" t="str">
        <f t="shared" si="1401"/>
        <v>SPS1</v>
      </c>
      <c r="C1227" s="5" t="str">
        <f t="shared" si="1402"/>
        <v>CH</v>
      </c>
      <c r="D1227" t="s">
        <v>1146</v>
      </c>
      <c r="E1227" t="str">
        <f t="shared" si="140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2.2775757849892533E-5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3.00698458642085E-5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2.4232735658416794E-7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4.4317876994384056E-7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9.207737390016935E-7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7.3918824827617984E-7</v>
      </c>
      <c r="M1227" s="1" cm="1">
        <f t="array" ref="M1227">SUMPRODUCT(("T_C-FC-H2O-S1"=[1]OUT_TransportEnergyCons!$A$3:$A$1000)*1,("var_fout"=[1]OUT_TransportEnergyCons!$B$3:$B$1000)*1,ISNUMBER(SEARCH("TPCAR",[1]OUT_TransportEnergyCons!$C$3:$C$1000))*1,[1]OUT_TransportEnergyCons!K$3:K$1000)</f>
        <v>5.5320100651599468E-7</v>
      </c>
      <c r="N1227" s="1" cm="1">
        <f t="array" ref="N1227">SUMPRODUCT(("T_C-FC-H2O-S1"=[1]OUT_TransportEnergyCons!$A$3:$A$1000)*1,("var_fout"=[1]OUT_TransportEnergyCons!$B$3:$B$1000)*1,ISNUMBER(SEARCH("TPCAR",[1]OUT_TransportEnergyCons!$C$3:$C$1000))*1,[1]OUT_TransportEnergyCons!L$3:L$1000)</f>
        <v>2.6955523214433849E-7</v>
      </c>
      <c r="O1227" s="1" cm="1">
        <f t="array" ref="O1227">SUMPRODUCT(("T_C-FC-H2O-S1"=[1]OUT_TransportEnergyCons!$A$3:$A$1000)*1,("var_fout"=[1]OUT_TransportEnergyCons!$B$3:$B$1000)*1,ISNUMBER(SEARCH("TPCAR",[1]OUT_TransportEnergyCons!$C$3:$C$1000))*1,[1]OUT_TransportEnergyCons!M$3:M$1000)</f>
        <v>1.5993068213995133E-7</v>
      </c>
      <c r="P1227" s="1" cm="1">
        <f t="array" ref="P1227">SUMPRODUCT(("T_C-FC-H2O-S1"=[1]OUT_TransportEnergyCons!$A$3:$A$1000)*1,("var_fout"=[1]OUT_TransportEnergyCons!$B$3:$B$1000)*1,ISNUMBER(SEARCH("TPCAR",[1]OUT_TransportEnergyCons!$C$3:$C$1000))*1,[1]OUT_TransportEnergyCons!N$3:N$1000)</f>
        <v>0</v>
      </c>
      <c r="Q1227" s="1" cm="1">
        <f t="array" ref="Q1227">SUMPRODUCT(("T_C-FC-H2O-S1"=[1]OUT_TransportEnergyCons!$A$3:$A$1000)*1,("var_fout"=[1]OUT_TransportEnergyCons!$B$3:$B$1000)*1,ISNUMBER(SEARCH("TPCAR",[1]OUT_TransportEnergyCons!$C$3:$C$1000))*1,[1]OUT_TransportEnergyCons!O$3:O$1000)</f>
        <v>1.7367725403038309E-6</v>
      </c>
      <c r="S1227" s="3"/>
    </row>
    <row r="1228" spans="2:19" x14ac:dyDescent="0.5">
      <c r="B1228" s="5" t="str">
        <f t="shared" si="1401"/>
        <v>SPS1</v>
      </c>
      <c r="C1228" s="5" t="str">
        <f t="shared" si="1402"/>
        <v>CH</v>
      </c>
      <c r="D1228" t="s">
        <v>1147</v>
      </c>
      <c r="E1228" t="str">
        <f t="shared" si="140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7.2616538828858116E-5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9.5177260382150588E-5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9.856672505192493E-5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1.3896194290101018E-6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1.4371837334309491E-6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1.1831854923634418E-6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1.2618426214861265E-6</v>
      </c>
      <c r="M1228" s="1" cm="1">
        <f t="array" ref="M1228">SUMPRODUCT(("T_C-FC-H2O-S2"=[1]OUT_TransportEnergyCons!$A$3:$A$1000)*1,("var_fout"=[1]OUT_TransportEnergyCons!$B$3:$B$1000)*1,ISNUMBER(SEARCH("TPCAR",[1]OUT_TransportEnergyCons!$C$3:$C$1000))*1,[1]OUT_TransportEnergyCons!K$3:K$1000)</f>
        <v>1.3222043650725612E-6</v>
      </c>
      <c r="N1228" s="1" cm="1">
        <f t="array" ref="N1228">SUMPRODUCT(("T_C-FC-H2O-S2"=[1]OUT_TransportEnergyCons!$A$3:$A$1000)*1,("var_fout"=[1]OUT_TransportEnergyCons!$B$3:$B$1000)*1,ISNUMBER(SEARCH("TPCAR",[1]OUT_TransportEnergyCons!$C$3:$C$1000))*1,[1]OUT_TransportEnergyCons!L$3:L$1000)</f>
        <v>1.1694288016788613E-6</v>
      </c>
      <c r="O1228" s="1" cm="1">
        <f t="array" ref="O1228">SUMPRODUCT(("T_C-FC-H2O-S2"=[1]OUT_TransportEnergyCons!$A$3:$A$1000)*1,("var_fout"=[1]OUT_TransportEnergyCons!$B$3:$B$1000)*1,ISNUMBER(SEARCH("TPCAR",[1]OUT_TransportEnergyCons!$C$3:$C$1000))*1,[1]OUT_TransportEnergyCons!M$3:M$1000)</f>
        <v>1.4370233172930634E-6</v>
      </c>
      <c r="P1228" s="1" cm="1">
        <f t="array" ref="P1228">SUMPRODUCT(("T_C-FC-H2O-S2"=[1]OUT_TransportEnergyCons!$A$3:$A$1000)*1,("var_fout"=[1]OUT_TransportEnergyCons!$B$3:$B$1000)*1,ISNUMBER(SEARCH("TPCAR",[1]OUT_TransportEnergyCons!$C$3:$C$1000))*1,[1]OUT_TransportEnergyCons!N$3:N$1000)</f>
        <v>1.2465092759020561E-6</v>
      </c>
      <c r="Q1228" s="1" cm="1">
        <f t="array" ref="Q1228">SUMPRODUCT(("T_C-FC-H2O-S2"=[1]OUT_TransportEnergyCons!$A$3:$A$1000)*1,("var_fout"=[1]OUT_TransportEnergyCons!$B$3:$B$1000)*1,ISNUMBER(SEARCH("TPCAR",[1]OUT_TransportEnergyCons!$C$3:$C$1000))*1,[1]OUT_TransportEnergyCons!O$3:O$1000)</f>
        <v>4.2249497660419174E-6</v>
      </c>
      <c r="S1228" s="3"/>
    </row>
    <row r="1229" spans="2:19" x14ac:dyDescent="0.5">
      <c r="B1229" s="5" t="str">
        <f t="shared" si="1401"/>
        <v>SPS1</v>
      </c>
      <c r="C1229" s="5" t="str">
        <f t="shared" si="1402"/>
        <v>CH</v>
      </c>
      <c r="D1229" t="s">
        <v>1148</v>
      </c>
      <c r="E1229" t="str">
        <f t="shared" si="140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6.3445540536068851E-4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1.5505221338286792E-3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1.4651165306063911E-3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1.9197266184089642E-6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1.3931737652638544E-6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9.3750436174043995E-7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1.2278285408449383E-6</v>
      </c>
      <c r="M1229" s="1" cm="1">
        <f t="array" ref="M1229">SUMPRODUCT(("T_C-FC-H2O-S3"=[1]OUT_TransportEnergyCons!$A$3:$A$1000)*1,("var_fout"=[1]OUT_TransportEnergyCons!$B$3:$B$1000)*1,ISNUMBER(SEARCH("TPCAR",[1]OUT_TransportEnergyCons!$C$3:$C$1000))*1,[1]OUT_TransportEnergyCons!K$3:K$1000)</f>
        <v>1.3960568347628654E-6</v>
      </c>
      <c r="N1229" s="1" cm="1">
        <f t="array" ref="N1229">SUMPRODUCT(("T_C-FC-H2O-S3"=[1]OUT_TransportEnergyCons!$A$3:$A$1000)*1,("var_fout"=[1]OUT_TransportEnergyCons!$B$3:$B$1000)*1,ISNUMBER(SEARCH("TPCAR",[1]OUT_TransportEnergyCons!$C$3:$C$1000))*1,[1]OUT_TransportEnergyCons!L$3:L$1000)</f>
        <v>1.4522006286564734E-6</v>
      </c>
      <c r="O1229" s="1" cm="1">
        <f t="array" ref="O1229">SUMPRODUCT(("T_C-FC-H2O-S3"=[1]OUT_TransportEnergyCons!$A$3:$A$1000)*1,("var_fout"=[1]OUT_TransportEnergyCons!$B$3:$B$1000)*1,ISNUMBER(SEARCH("TPCAR",[1]OUT_TransportEnergyCons!$C$3:$C$1000))*1,[1]OUT_TransportEnergyCons!M$3:M$1000)</f>
        <v>1.7511434624508904E-6</v>
      </c>
      <c r="P1229" s="1" cm="1">
        <f t="array" ref="P1229">SUMPRODUCT(("T_C-FC-H2O-S3"=[1]OUT_TransportEnergyCons!$A$3:$A$1000)*1,("var_fout"=[1]OUT_TransportEnergyCons!$B$3:$B$1000)*1,ISNUMBER(SEARCH("TPCAR",[1]OUT_TransportEnergyCons!$C$3:$C$1000))*1,[1]OUT_TransportEnergyCons!N$3:N$1000)</f>
        <v>2.393724126157032E-6</v>
      </c>
      <c r="Q1229" s="1" cm="1">
        <f t="array" ref="Q1229">SUMPRODUCT(("T_C-FC-H2O-S3"=[1]OUT_TransportEnergyCons!$A$3:$A$1000)*1,("var_fout"=[1]OUT_TransportEnergyCons!$B$3:$B$1000)*1,ISNUMBER(SEARCH("TPCAR",[1]OUT_TransportEnergyCons!$C$3:$C$1000))*1,[1]OUT_TransportEnergyCons!O$3:O$1000)</f>
        <v>5.0911776942584537E-6</v>
      </c>
      <c r="S1229" s="3"/>
    </row>
    <row r="1230" spans="2:19" x14ac:dyDescent="0.5">
      <c r="B1230" s="5" t="str">
        <f t="shared" si="1401"/>
        <v>SPS1</v>
      </c>
      <c r="C1230" s="5" t="str">
        <f t="shared" si="1402"/>
        <v>CH</v>
      </c>
      <c r="D1230" t="s">
        <v>1149</v>
      </c>
      <c r="E1230" t="str">
        <f t="shared" si="140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1.7484043350865538E-5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2.3238171260273331E-5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1.162637328326855E-6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1.1924410461184231E-6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1.0897119313104254E-6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1.1620727360101903E-6</v>
      </c>
      <c r="M1230" s="1" cm="1">
        <f t="array" ref="M1230">SUMPRODUCT(("T_C-FC-H2O-S4"=[1]OUT_TransportEnergyCons!$A$3:$A$1000)*1,("var_fout"=[1]OUT_TransportEnergyCons!$B$3:$B$1000)*1,ISNUMBER(SEARCH("TPCAR",[1]OUT_TransportEnergyCons!$C$3:$C$1000))*1,[1]OUT_TransportEnergyCons!K$3:K$1000)</f>
        <v>1.0619035802708924E-6</v>
      </c>
      <c r="N1230" s="1" cm="1">
        <f t="array" ref="N1230">SUMPRODUCT(("T_C-FC-H2O-S4"=[1]OUT_TransportEnergyCons!$A$3:$A$1000)*1,("var_fout"=[1]OUT_TransportEnergyCons!$B$3:$B$1000)*1,ISNUMBER(SEARCH("TPCAR",[1]OUT_TransportEnergyCons!$C$3:$C$1000))*1,[1]OUT_TransportEnergyCons!L$3:L$1000)</f>
        <v>9.1654050341191763E-7</v>
      </c>
      <c r="O1230" s="1" cm="1">
        <f t="array" ref="O1230">SUMPRODUCT(("T_C-FC-H2O-S4"=[1]OUT_TransportEnergyCons!$A$3:$A$1000)*1,("var_fout"=[1]OUT_TransportEnergyCons!$B$3:$B$1000)*1,ISNUMBER(SEARCH("TPCAR",[1]OUT_TransportEnergyCons!$C$3:$C$1000))*1,[1]OUT_TransportEnergyCons!M$3:M$1000)</f>
        <v>1.1634216169629998E-6</v>
      </c>
      <c r="P1230" s="1" cm="1">
        <f t="array" ref="P1230">SUMPRODUCT(("T_C-FC-H2O-S4"=[1]OUT_TransportEnergyCons!$A$3:$A$1000)*1,("var_fout"=[1]OUT_TransportEnergyCons!$B$3:$B$1000)*1,ISNUMBER(SEARCH("TPCAR",[1]OUT_TransportEnergyCons!$C$3:$C$1000))*1,[1]OUT_TransportEnergyCons!N$3:N$1000)</f>
        <v>7.3089835748561122E-7</v>
      </c>
      <c r="Q1230" s="1" cm="1">
        <f t="array" ref="Q1230">SUMPRODUCT(("T_C-FC-H2O-S4"=[1]OUT_TransportEnergyCons!$A$3:$A$1000)*1,("var_fout"=[1]OUT_TransportEnergyCons!$B$3:$B$1000)*1,ISNUMBER(SEARCH("TPCAR",[1]OUT_TransportEnergyCons!$C$3:$C$1000))*1,[1]OUT_TransportEnergyCons!O$3:O$1000)</f>
        <v>3.6974284028805651E-6</v>
      </c>
      <c r="S1230" s="3"/>
    </row>
    <row r="1231" spans="2:19" x14ac:dyDescent="0.5">
      <c r="B1231" s="5" t="str">
        <f t="shared" si="1401"/>
        <v>SPS1</v>
      </c>
      <c r="C1231" s="5" t="str">
        <f t="shared" si="1402"/>
        <v>CH</v>
      </c>
      <c r="D1231" t="s">
        <v>1233</v>
      </c>
      <c r="E1231" t="str">
        <f t="shared" si="140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0.61925234515448069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0.62769397670226823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0.48283967549401535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0.24141987884788407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M1231" s="1" cm="1">
        <f t="array" ref="M1231">SUMPRODUCT(("T_C-HYBGSLEXT"=[1]OUT_TransportEnergyCons!$A$3:$A$1000)*1,("var_fout"=[1]OUT_TransportEnergyCons!$B$3:$B$1000)*1,ISNUMBER(SEARCH("TPCAR",[1]OUT_TransportEnergyCons!$C$3:$C$1000))*1,[1]OUT_TransportEnergyCons!K$3:K$1000)</f>
        <v>0</v>
      </c>
      <c r="N1231" s="1" cm="1">
        <f t="array" ref="N1231">SUMPRODUCT(("T_C-HYBGSLEXT"=[1]OUT_TransportEnergyCons!$A$3:$A$1000)*1,("var_fout"=[1]OUT_TransportEnergyCons!$B$3:$B$1000)*1,ISNUMBER(SEARCH("TPCAR",[1]OUT_TransportEnergyCons!$C$3:$C$1000))*1,[1]OUT_TransportEnergyCons!L$3:L$1000)</f>
        <v>0</v>
      </c>
      <c r="O1231" s="1" cm="1">
        <f t="array" ref="O1231">SUMPRODUCT(("T_C-HYBGSLEXT"=[1]OUT_TransportEnergyCons!$A$3:$A$1000)*1,("var_fout"=[1]OUT_TransportEnergyCons!$B$3:$B$1000)*1,ISNUMBER(SEARCH("TPCAR",[1]OUT_TransportEnergyCons!$C$3:$C$1000))*1,[1]OUT_TransportEnergyCons!M$3:M$1000)</f>
        <v>0</v>
      </c>
      <c r="P1231" s="1" cm="1">
        <f t="array" ref="P1231">SUMPRODUCT(("T_C-HYBGSLEXT"=[1]OUT_TransportEnergyCons!$A$3:$A$1000)*1,("var_fout"=[1]OUT_TransportEnergyCons!$B$3:$B$1000)*1,ISNUMBER(SEARCH("TPCAR",[1]OUT_TransportEnergyCons!$C$3:$C$1000))*1,[1]OUT_TransportEnergyCons!N$3:N$1000)</f>
        <v>0</v>
      </c>
      <c r="Q1231" s="1" cm="1">
        <f t="array" ref="Q1231">SUMPRODUCT(("T_C-HYBGSLEXT"=[1]OUT_TransportEnergyCons!$A$3:$A$1000)*1,("var_fout"=[1]OUT_TransportEnergyCons!$B$3:$B$1000)*1,ISNUMBER(SEARCH("TPCAR",[1]OUT_TransportEnergyCons!$C$3:$C$1000))*1,[1]OUT_TransportEnergyCons!O$3:O$1000)</f>
        <v>0</v>
      </c>
      <c r="S1231" s="3"/>
    </row>
    <row r="1232" spans="2:19" x14ac:dyDescent="0.5">
      <c r="B1232" s="5" t="str">
        <f t="shared" si="1401"/>
        <v>SPS1</v>
      </c>
      <c r="C1232" s="5" t="str">
        <f t="shared" si="1402"/>
        <v>CH</v>
      </c>
      <c r="D1232" t="s">
        <v>1150</v>
      </c>
      <c r="E1232" t="str">
        <f t="shared" si="140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5.1953519609993337E-2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6.2553964567281781E-2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4.4876717043620708E-2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3.6138112838994547E-2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3.7098900064480608E-3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3.2422033578253064E-4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</v>
      </c>
      <c r="M1232" s="1" cm="1">
        <f t="array" ref="M1232">SUMPRODUCT(("T_C-HY-GSL-S1"=[1]OUT_TransportEnergyCons!$A$3:$A$1000)*1,("var_fout"=[1]OUT_TransportEnergyCons!$B$3:$B$1000)*1,ISNUMBER(SEARCH("TPCAR",[1]OUT_TransportEnergyCons!$C$3:$C$1000))*1,[1]OUT_TransportEnergyCons!K$3:K$1000)</f>
        <v>0</v>
      </c>
      <c r="N1232" s="1" cm="1">
        <f t="array" ref="N1232">SUMPRODUCT(("T_C-HY-GSL-S1"=[1]OUT_TransportEnergyCons!$A$3:$A$1000)*1,("var_fout"=[1]OUT_TransportEnergyCons!$B$3:$B$1000)*1,ISNUMBER(SEARCH("TPCAR",[1]OUT_TransportEnergyCons!$C$3:$C$1000))*1,[1]OUT_TransportEnergyCons!L$3:L$1000)</f>
        <v>0</v>
      </c>
      <c r="O1232" s="1" cm="1">
        <f t="array" ref="O1232">SUMPRODUCT(("T_C-HY-GSL-S1"=[1]OUT_TransportEnergyCons!$A$3:$A$1000)*1,("var_fout"=[1]OUT_TransportEnergyCons!$B$3:$B$1000)*1,ISNUMBER(SEARCH("TPCAR",[1]OUT_TransportEnergyCons!$C$3:$C$1000))*1,[1]OUT_TransportEnergyCons!M$3:M$1000)</f>
        <v>0</v>
      </c>
      <c r="P1232" s="1" cm="1">
        <f t="array" ref="P1232">SUMPRODUCT(("T_C-HY-GSL-S1"=[1]OUT_TransportEnergyCons!$A$3:$A$1000)*1,("var_fout"=[1]OUT_TransportEnergyCons!$B$3:$B$1000)*1,ISNUMBER(SEARCH("TPCAR",[1]OUT_TransportEnergyCons!$C$3:$C$1000))*1,[1]OUT_TransportEnergyCons!N$3:N$1000)</f>
        <v>0</v>
      </c>
      <c r="Q1232" s="1" cm="1">
        <f t="array" ref="Q1232">SUMPRODUCT(("T_C-HY-GSL-S1"=[1]OUT_TransportEnergyCons!$A$3:$A$1000)*1,("var_fout"=[1]OUT_TransportEnergyCons!$B$3:$B$1000)*1,ISNUMBER(SEARCH("TPCAR",[1]OUT_TransportEnergyCons!$C$3:$C$1000))*1,[1]OUT_TransportEnergyCons!O$3:O$1000)</f>
        <v>0</v>
      </c>
      <c r="S1232" s="3"/>
    </row>
    <row r="1233" spans="2:19" x14ac:dyDescent="0.5">
      <c r="B1233" s="5" t="str">
        <f t="shared" si="1401"/>
        <v>SPS1</v>
      </c>
      <c r="C1233" s="5" t="str">
        <f t="shared" si="1402"/>
        <v>CH</v>
      </c>
      <c r="D1233" t="s">
        <v>1151</v>
      </c>
      <c r="E1233" t="str">
        <f t="shared" si="140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0.22174560683693836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0.45097153673256252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1.4718948182694083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1.2675602531579164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0.54488890107609422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7.6575417168876572E-2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</v>
      </c>
      <c r="M1233" s="1" cm="1">
        <f t="array" ref="M1233">SUMPRODUCT(("T_C-HY-GSL-S2"=[1]OUT_TransportEnergyCons!$A$3:$A$1000)*1,("var_fout"=[1]OUT_TransportEnergyCons!$B$3:$B$1000)*1,ISNUMBER(SEARCH("TPCAR",[1]OUT_TransportEnergyCons!$C$3:$C$1000))*1,[1]OUT_TransportEnergyCons!K$3:K$1000)</f>
        <v>0</v>
      </c>
      <c r="N1233" s="1" cm="1">
        <f t="array" ref="N1233">SUMPRODUCT(("T_C-HY-GSL-S2"=[1]OUT_TransportEnergyCons!$A$3:$A$1000)*1,("var_fout"=[1]OUT_TransportEnergyCons!$B$3:$B$1000)*1,ISNUMBER(SEARCH("TPCAR",[1]OUT_TransportEnergyCons!$C$3:$C$1000))*1,[1]OUT_TransportEnergyCons!L$3:L$1000)</f>
        <v>0</v>
      </c>
      <c r="O1233" s="1" cm="1">
        <f t="array" ref="O1233">SUMPRODUCT(("T_C-HY-GSL-S2"=[1]OUT_TransportEnergyCons!$A$3:$A$1000)*1,("var_fout"=[1]OUT_TransportEnergyCons!$B$3:$B$1000)*1,ISNUMBER(SEARCH("TPCAR",[1]OUT_TransportEnergyCons!$C$3:$C$1000))*1,[1]OUT_TransportEnergyCons!M$3:M$1000)</f>
        <v>0</v>
      </c>
      <c r="P1233" s="1" cm="1">
        <f t="array" ref="P1233">SUMPRODUCT(("T_C-HY-GSL-S2"=[1]OUT_TransportEnergyCons!$A$3:$A$1000)*1,("var_fout"=[1]OUT_TransportEnergyCons!$B$3:$B$1000)*1,ISNUMBER(SEARCH("TPCAR",[1]OUT_TransportEnergyCons!$C$3:$C$1000))*1,[1]OUT_TransportEnergyCons!N$3:N$1000)</f>
        <v>0</v>
      </c>
      <c r="Q1233" s="1" cm="1">
        <f t="array" ref="Q1233">SUMPRODUCT(("T_C-HY-GSL-S2"=[1]OUT_TransportEnergyCons!$A$3:$A$1000)*1,("var_fout"=[1]OUT_TransportEnergyCons!$B$3:$B$1000)*1,ISNUMBER(SEARCH("TPCAR",[1]OUT_TransportEnergyCons!$C$3:$C$1000))*1,[1]OUT_TransportEnergyCons!O$3:O$1000)</f>
        <v>0</v>
      </c>
      <c r="S1233" s="3"/>
    </row>
    <row r="1234" spans="2:19" x14ac:dyDescent="0.5">
      <c r="B1234" s="5" t="str">
        <f t="shared" si="1401"/>
        <v>SPS1</v>
      </c>
      <c r="C1234" s="5" t="str">
        <f t="shared" si="1402"/>
        <v>CH</v>
      </c>
      <c r="D1234" t="s">
        <v>1152</v>
      </c>
      <c r="E1234" t="str">
        <f t="shared" si="140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0.20262436320031202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2.7899128612869237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2.6363496038923837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2.1230172797270463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0.68348156608762578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1.0905762454013019E-4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0</v>
      </c>
      <c r="M1234" s="1" cm="1">
        <f t="array" ref="M1234">SUMPRODUCT(("T_C-HY-GSL-S3"=[1]OUT_TransportEnergyCons!$A$3:$A$1000)*1,("var_fout"=[1]OUT_TransportEnergyCons!$B$3:$B$1000)*1,ISNUMBER(SEARCH("TPCAR",[1]OUT_TransportEnergyCons!$C$3:$C$1000))*1,[1]OUT_TransportEnergyCons!K$3:K$1000)</f>
        <v>0</v>
      </c>
      <c r="N1234" s="1" cm="1">
        <f t="array" ref="N1234">SUMPRODUCT(("T_C-HY-GSL-S3"=[1]OUT_TransportEnergyCons!$A$3:$A$1000)*1,("var_fout"=[1]OUT_TransportEnergyCons!$B$3:$B$1000)*1,ISNUMBER(SEARCH("TPCAR",[1]OUT_TransportEnergyCons!$C$3:$C$1000))*1,[1]OUT_TransportEnergyCons!L$3:L$1000)</f>
        <v>0</v>
      </c>
      <c r="O1234" s="1" cm="1">
        <f t="array" ref="O1234">SUMPRODUCT(("T_C-HY-GSL-S3"=[1]OUT_TransportEnergyCons!$A$3:$A$1000)*1,("var_fout"=[1]OUT_TransportEnergyCons!$B$3:$B$1000)*1,ISNUMBER(SEARCH("TPCAR",[1]OUT_TransportEnergyCons!$C$3:$C$1000))*1,[1]OUT_TransportEnergyCons!M$3:M$1000)</f>
        <v>0</v>
      </c>
      <c r="P1234" s="1" cm="1">
        <f t="array" ref="P1234">SUMPRODUCT(("T_C-HY-GSL-S3"=[1]OUT_TransportEnergyCons!$A$3:$A$1000)*1,("var_fout"=[1]OUT_TransportEnergyCons!$B$3:$B$1000)*1,ISNUMBER(SEARCH("TPCAR",[1]OUT_TransportEnergyCons!$C$3:$C$1000))*1,[1]OUT_TransportEnergyCons!N$3:N$1000)</f>
        <v>0</v>
      </c>
      <c r="Q1234" s="1" cm="1">
        <f t="array" ref="Q1234">SUMPRODUCT(("T_C-HY-GSL-S3"=[1]OUT_TransportEnergyCons!$A$3:$A$1000)*1,("var_fout"=[1]OUT_TransportEnergyCons!$B$3:$B$1000)*1,ISNUMBER(SEARCH("TPCAR",[1]OUT_TransportEnergyCons!$C$3:$C$1000))*1,[1]OUT_TransportEnergyCons!O$3:O$1000)</f>
        <v>0</v>
      </c>
      <c r="S1234" s="3"/>
    </row>
    <row r="1235" spans="2:19" x14ac:dyDescent="0.5">
      <c r="B1235" s="5" t="str">
        <f t="shared" si="1401"/>
        <v>SPS1</v>
      </c>
      <c r="C1235" s="5" t="str">
        <f t="shared" si="1402"/>
        <v>CH</v>
      </c>
      <c r="D1235" t="s">
        <v>1153</v>
      </c>
      <c r="E1235" t="str">
        <f t="shared" si="140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0.10402302359104226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0.17960569501136858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0.17136036315374584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0.14432181055126858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2.5318783230347877E-2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1.0890043207072463E-4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0</v>
      </c>
      <c r="M1235" s="1" cm="1">
        <f t="array" ref="M1235">SUMPRODUCT(("T_C-HY-GSL-S4"=[1]OUT_TransportEnergyCons!$A$3:$A$1000)*1,("var_fout"=[1]OUT_TransportEnergyCons!$B$3:$B$1000)*1,ISNUMBER(SEARCH("TPCAR",[1]OUT_TransportEnergyCons!$C$3:$C$1000))*1,[1]OUT_TransportEnergyCons!K$3:K$1000)</f>
        <v>0</v>
      </c>
      <c r="N1235" s="1" cm="1">
        <f t="array" ref="N1235">SUMPRODUCT(("T_C-HY-GSL-S4"=[1]OUT_TransportEnergyCons!$A$3:$A$1000)*1,("var_fout"=[1]OUT_TransportEnergyCons!$B$3:$B$1000)*1,ISNUMBER(SEARCH("TPCAR",[1]OUT_TransportEnergyCons!$C$3:$C$1000))*1,[1]OUT_TransportEnergyCons!L$3:L$1000)</f>
        <v>0</v>
      </c>
      <c r="O1235" s="1" cm="1">
        <f t="array" ref="O1235">SUMPRODUCT(("T_C-HY-GSL-S4"=[1]OUT_TransportEnergyCons!$A$3:$A$1000)*1,("var_fout"=[1]OUT_TransportEnergyCons!$B$3:$B$1000)*1,ISNUMBER(SEARCH("TPCAR",[1]OUT_TransportEnergyCons!$C$3:$C$1000))*1,[1]OUT_TransportEnergyCons!M$3:M$1000)</f>
        <v>0</v>
      </c>
      <c r="P1235" s="1" cm="1">
        <f t="array" ref="P1235">SUMPRODUCT(("T_C-HY-GSL-S4"=[1]OUT_TransportEnergyCons!$A$3:$A$1000)*1,("var_fout"=[1]OUT_TransportEnergyCons!$B$3:$B$1000)*1,ISNUMBER(SEARCH("TPCAR",[1]OUT_TransportEnergyCons!$C$3:$C$1000))*1,[1]OUT_TransportEnergyCons!N$3:N$1000)</f>
        <v>0</v>
      </c>
      <c r="Q1235" s="1" cm="1">
        <f t="array" ref="Q1235">SUMPRODUCT(("T_C-HY-GSL-S4"=[1]OUT_TransportEnergyCons!$A$3:$A$1000)*1,("var_fout"=[1]OUT_TransportEnergyCons!$B$3:$B$1000)*1,ISNUMBER(SEARCH("TPCAR",[1]OUT_TransportEnergyCons!$C$3:$C$1000))*1,[1]OUT_TransportEnergyCons!O$3:O$1000)</f>
        <v>0</v>
      </c>
      <c r="S1235" s="3"/>
    </row>
    <row r="1236" spans="2:19" x14ac:dyDescent="0.5">
      <c r="B1236" s="5" t="str">
        <f t="shared" si="1401"/>
        <v>SPS1</v>
      </c>
      <c r="C1236" s="5" t="str">
        <f t="shared" si="1402"/>
        <v>CH</v>
      </c>
      <c r="D1236" t="s">
        <v>1154</v>
      </c>
      <c r="E1236" t="str">
        <f t="shared" si="140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18.30298898184126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15.891994966864704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14.760770327429176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5.621241156906553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M1236" s="1" cm="1">
        <f t="array" ref="M1236">SUMPRODUCT(("T_C-ICEGSLEXT"=[1]OUT_TransportEnergyCons!$A$3:$A$1000)*1,("var_fout"=[1]OUT_TransportEnergyCons!$B$3:$B$1000)*1,ISNUMBER(SEARCH("TPCAR",[1]OUT_TransportEnergyCons!$C$3:$C$1000))*1,[1]OUT_TransportEnergyCons!K$3:K$1000)</f>
        <v>0</v>
      </c>
      <c r="N1236" s="1" cm="1">
        <f t="array" ref="N1236">SUMPRODUCT(("T_C-ICEGSLEXT"=[1]OUT_TransportEnergyCons!$A$3:$A$1000)*1,("var_fout"=[1]OUT_TransportEnergyCons!$B$3:$B$1000)*1,ISNUMBER(SEARCH("TPCAR",[1]OUT_TransportEnergyCons!$C$3:$C$1000))*1,[1]OUT_TransportEnergyCons!L$3:L$1000)</f>
        <v>0</v>
      </c>
      <c r="O1236" s="1" cm="1">
        <f t="array" ref="O1236">SUMPRODUCT(("T_C-ICEGSLEXT"=[1]OUT_TransportEnergyCons!$A$3:$A$1000)*1,("var_fout"=[1]OUT_TransportEnergyCons!$B$3:$B$1000)*1,ISNUMBER(SEARCH("TPCAR",[1]OUT_TransportEnergyCons!$C$3:$C$1000))*1,[1]OUT_TransportEnergyCons!M$3:M$1000)</f>
        <v>0</v>
      </c>
      <c r="P1236" s="1" cm="1">
        <f t="array" ref="P1236">SUMPRODUCT(("T_C-ICEGSLEXT"=[1]OUT_TransportEnergyCons!$A$3:$A$1000)*1,("var_fout"=[1]OUT_TransportEnergyCons!$B$3:$B$1000)*1,ISNUMBER(SEARCH("TPCAR",[1]OUT_TransportEnergyCons!$C$3:$C$1000))*1,[1]OUT_TransportEnergyCons!N$3:N$1000)</f>
        <v>0</v>
      </c>
      <c r="Q1236" s="1" cm="1">
        <f t="array" ref="Q1236">SUMPRODUCT(("T_C-ICEGSLEXT"=[1]OUT_TransportEnergyCons!$A$3:$A$1000)*1,("var_fout"=[1]OUT_TransportEnergyCons!$B$3:$B$1000)*1,ISNUMBER(SEARCH("TPCAR",[1]OUT_TransportEnergyCons!$C$3:$C$1000))*1,[1]OUT_TransportEnergyCons!O$3:O$1000)</f>
        <v>0</v>
      </c>
      <c r="S1236" s="3"/>
    </row>
    <row r="1237" spans="2:19" x14ac:dyDescent="0.5">
      <c r="B1237" s="5" t="str">
        <f t="shared" si="1401"/>
        <v>SPS1</v>
      </c>
      <c r="C1237" s="5" t="str">
        <f t="shared" si="1402"/>
        <v>CH</v>
      </c>
      <c r="D1237" t="s">
        <v>1155</v>
      </c>
      <c r="E1237" t="str">
        <f t="shared" si="140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0.33910774094914653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0.37243130080670245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0.83961170400663387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0.70936774802761982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0.373343090207571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5.8556182746500277E-2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0</v>
      </c>
      <c r="M1237" s="1" cm="1">
        <f t="array" ref="M1237">SUMPRODUCT(("T_C-ICE-GSL-S1"=[1]OUT_TransportEnergyCons!$A$3:$A$1000)*1,("var_fout"=[1]OUT_TransportEnergyCons!$B$3:$B$1000)*1,ISNUMBER(SEARCH("TPCAR",[1]OUT_TransportEnergyCons!$C$3:$C$1000))*1,[1]OUT_TransportEnergyCons!K$3:K$1000)</f>
        <v>0</v>
      </c>
      <c r="N1237" s="1" cm="1">
        <f t="array" ref="N1237">SUMPRODUCT(("T_C-ICE-GSL-S1"=[1]OUT_TransportEnergyCons!$A$3:$A$1000)*1,("var_fout"=[1]OUT_TransportEnergyCons!$B$3:$B$1000)*1,ISNUMBER(SEARCH("TPCAR",[1]OUT_TransportEnergyCons!$C$3:$C$1000))*1,[1]OUT_TransportEnergyCons!L$3:L$1000)</f>
        <v>0</v>
      </c>
      <c r="O1237" s="1" cm="1">
        <f t="array" ref="O1237">SUMPRODUCT(("T_C-ICE-GSL-S1"=[1]OUT_TransportEnergyCons!$A$3:$A$1000)*1,("var_fout"=[1]OUT_TransportEnergyCons!$B$3:$B$1000)*1,ISNUMBER(SEARCH("TPCAR",[1]OUT_TransportEnergyCons!$C$3:$C$1000))*1,[1]OUT_TransportEnergyCons!M$3:M$1000)</f>
        <v>0</v>
      </c>
      <c r="P1237" s="1" cm="1">
        <f t="array" ref="P1237">SUMPRODUCT(("T_C-ICE-GSL-S1"=[1]OUT_TransportEnergyCons!$A$3:$A$1000)*1,("var_fout"=[1]OUT_TransportEnergyCons!$B$3:$B$1000)*1,ISNUMBER(SEARCH("TPCAR",[1]OUT_TransportEnergyCons!$C$3:$C$1000))*1,[1]OUT_TransportEnergyCons!N$3:N$1000)</f>
        <v>0</v>
      </c>
      <c r="Q1237" s="1" cm="1">
        <f t="array" ref="Q1237">SUMPRODUCT(("T_C-ICE-GSL-S1"=[1]OUT_TransportEnergyCons!$A$3:$A$1000)*1,("var_fout"=[1]OUT_TransportEnergyCons!$B$3:$B$1000)*1,ISNUMBER(SEARCH("TPCAR",[1]OUT_TransportEnergyCons!$C$3:$C$1000))*1,[1]OUT_TransportEnergyCons!O$3:O$1000)</f>
        <v>0</v>
      </c>
      <c r="S1237" s="3"/>
    </row>
    <row r="1238" spans="2:19" x14ac:dyDescent="0.5">
      <c r="B1238" s="5" t="str">
        <f t="shared" si="1401"/>
        <v>SPS1</v>
      </c>
      <c r="C1238" s="5" t="str">
        <f t="shared" si="1402"/>
        <v>CH</v>
      </c>
      <c r="D1238" t="s">
        <v>1156</v>
      </c>
      <c r="E1238" t="str">
        <f t="shared" si="140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2.2802812744115761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3.2079513696584403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2.7016746604794664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2.5074863805352599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0.10224239153910243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9.4209635448950862E-4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0</v>
      </c>
      <c r="M1238" s="1" cm="1">
        <f t="array" ref="M1238">SUMPRODUCT(("T_C-ICE-GSL-S2"=[1]OUT_TransportEnergyCons!$A$3:$A$1000)*1,("var_fout"=[1]OUT_TransportEnergyCons!$B$3:$B$1000)*1,ISNUMBER(SEARCH("TPCAR",[1]OUT_TransportEnergyCons!$C$3:$C$1000))*1,[1]OUT_TransportEnergyCons!K$3:K$1000)</f>
        <v>0</v>
      </c>
      <c r="N1238" s="1" cm="1">
        <f t="array" ref="N1238">SUMPRODUCT(("T_C-ICE-GSL-S2"=[1]OUT_TransportEnergyCons!$A$3:$A$1000)*1,("var_fout"=[1]OUT_TransportEnergyCons!$B$3:$B$1000)*1,ISNUMBER(SEARCH("TPCAR",[1]OUT_TransportEnergyCons!$C$3:$C$1000))*1,[1]OUT_TransportEnergyCons!L$3:L$1000)</f>
        <v>0</v>
      </c>
      <c r="O1238" s="1" cm="1">
        <f t="array" ref="O1238">SUMPRODUCT(("T_C-ICE-GSL-S2"=[1]OUT_TransportEnergyCons!$A$3:$A$1000)*1,("var_fout"=[1]OUT_TransportEnergyCons!$B$3:$B$1000)*1,ISNUMBER(SEARCH("TPCAR",[1]OUT_TransportEnergyCons!$C$3:$C$1000))*1,[1]OUT_TransportEnergyCons!M$3:M$1000)</f>
        <v>0</v>
      </c>
      <c r="P1238" s="1" cm="1">
        <f t="array" ref="P1238">SUMPRODUCT(("T_C-ICE-GSL-S2"=[1]OUT_TransportEnergyCons!$A$3:$A$1000)*1,("var_fout"=[1]OUT_TransportEnergyCons!$B$3:$B$1000)*1,ISNUMBER(SEARCH("TPCAR",[1]OUT_TransportEnergyCons!$C$3:$C$1000))*1,[1]OUT_TransportEnergyCons!N$3:N$1000)</f>
        <v>0</v>
      </c>
      <c r="Q1238" s="1" cm="1">
        <f t="array" ref="Q1238">SUMPRODUCT(("T_C-ICE-GSL-S2"=[1]OUT_TransportEnergyCons!$A$3:$A$1000)*1,("var_fout"=[1]OUT_TransportEnergyCons!$B$3:$B$1000)*1,ISNUMBER(SEARCH("TPCAR",[1]OUT_TransportEnergyCons!$C$3:$C$1000))*1,[1]OUT_TransportEnergyCons!O$3:O$1000)</f>
        <v>0</v>
      </c>
      <c r="S1238" s="3"/>
    </row>
    <row r="1239" spans="2:19" x14ac:dyDescent="0.5">
      <c r="B1239" s="5" t="str">
        <f t="shared" si="1401"/>
        <v>SPS1</v>
      </c>
      <c r="C1239" s="5" t="str">
        <f t="shared" si="1402"/>
        <v>CH</v>
      </c>
      <c r="D1239" t="s">
        <v>1157</v>
      </c>
      <c r="E1239" t="str">
        <f t="shared" si="140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1.9476974299355407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2.9625199694740165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3.6159163507974168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2.9835045257699755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0.57195781893201181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7.0225682638798373E-2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</v>
      </c>
      <c r="M1239" s="1" cm="1">
        <f t="array" ref="M1239">SUMPRODUCT(("T_C-ICE-GSL-S3"=[1]OUT_TransportEnergyCons!$A$3:$A$1000)*1,("var_fout"=[1]OUT_TransportEnergyCons!$B$3:$B$1000)*1,ISNUMBER(SEARCH("TPCAR",[1]OUT_TransportEnergyCons!$C$3:$C$1000))*1,[1]OUT_TransportEnergyCons!K$3:K$1000)</f>
        <v>0</v>
      </c>
      <c r="N1239" s="1" cm="1">
        <f t="array" ref="N1239">SUMPRODUCT(("T_C-ICE-GSL-S3"=[1]OUT_TransportEnergyCons!$A$3:$A$1000)*1,("var_fout"=[1]OUT_TransportEnergyCons!$B$3:$B$1000)*1,ISNUMBER(SEARCH("TPCAR",[1]OUT_TransportEnergyCons!$C$3:$C$1000))*1,[1]OUT_TransportEnergyCons!L$3:L$1000)</f>
        <v>0</v>
      </c>
      <c r="O1239" s="1" cm="1">
        <f t="array" ref="O1239">SUMPRODUCT(("T_C-ICE-GSL-S3"=[1]OUT_TransportEnergyCons!$A$3:$A$1000)*1,("var_fout"=[1]OUT_TransportEnergyCons!$B$3:$B$1000)*1,ISNUMBER(SEARCH("TPCAR",[1]OUT_TransportEnergyCons!$C$3:$C$1000))*1,[1]OUT_TransportEnergyCons!M$3:M$1000)</f>
        <v>0</v>
      </c>
      <c r="P1239" s="1" cm="1">
        <f t="array" ref="P1239">SUMPRODUCT(("T_C-ICE-GSL-S3"=[1]OUT_TransportEnergyCons!$A$3:$A$1000)*1,("var_fout"=[1]OUT_TransportEnergyCons!$B$3:$B$1000)*1,ISNUMBER(SEARCH("TPCAR",[1]OUT_TransportEnergyCons!$C$3:$C$1000))*1,[1]OUT_TransportEnergyCons!N$3:N$1000)</f>
        <v>0</v>
      </c>
      <c r="Q1239" s="1" cm="1">
        <f t="array" ref="Q1239">SUMPRODUCT(("T_C-ICE-GSL-S3"=[1]OUT_TransportEnergyCons!$A$3:$A$1000)*1,("var_fout"=[1]OUT_TransportEnergyCons!$B$3:$B$1000)*1,ISNUMBER(SEARCH("TPCAR",[1]OUT_TransportEnergyCons!$C$3:$C$1000))*1,[1]OUT_TransportEnergyCons!O$3:O$1000)</f>
        <v>0</v>
      </c>
      <c r="S1239" s="3"/>
    </row>
    <row r="1240" spans="2:19" x14ac:dyDescent="0.5">
      <c r="B1240" s="5" t="str">
        <f t="shared" si="1401"/>
        <v>SPS1</v>
      </c>
      <c r="C1240" s="5" t="str">
        <f t="shared" si="1402"/>
        <v>CH</v>
      </c>
      <c r="D1240" t="s">
        <v>1158</v>
      </c>
      <c r="E1240" t="str">
        <f t="shared" si="140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1.7151133727891728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2.2769440565508061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4.8219502576954012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4.0730163028281394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1.6993061522984438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0.18910025160363275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0</v>
      </c>
      <c r="M1240" s="1" cm="1">
        <f t="array" ref="M1240">SUMPRODUCT(("T_C-ICE-GSL-S4"=[1]OUT_TransportEnergyCons!$A$3:$A$1000)*1,("var_fout"=[1]OUT_TransportEnergyCons!$B$3:$B$1000)*1,ISNUMBER(SEARCH("TPCAR",[1]OUT_TransportEnergyCons!$C$3:$C$1000))*1,[1]OUT_TransportEnergyCons!K$3:K$1000)</f>
        <v>0</v>
      </c>
      <c r="N1240" s="1" cm="1">
        <f t="array" ref="N1240">SUMPRODUCT(("T_C-ICE-GSL-S4"=[1]OUT_TransportEnergyCons!$A$3:$A$1000)*1,("var_fout"=[1]OUT_TransportEnergyCons!$B$3:$B$1000)*1,ISNUMBER(SEARCH("TPCAR",[1]OUT_TransportEnergyCons!$C$3:$C$1000))*1,[1]OUT_TransportEnergyCons!L$3:L$1000)</f>
        <v>0</v>
      </c>
      <c r="O1240" s="1" cm="1">
        <f t="array" ref="O1240">SUMPRODUCT(("T_C-ICE-GSL-S4"=[1]OUT_TransportEnergyCons!$A$3:$A$1000)*1,("var_fout"=[1]OUT_TransportEnergyCons!$B$3:$B$1000)*1,ISNUMBER(SEARCH("TPCAR",[1]OUT_TransportEnergyCons!$C$3:$C$1000))*1,[1]OUT_TransportEnergyCons!M$3:M$1000)</f>
        <v>0</v>
      </c>
      <c r="P1240" s="1" cm="1">
        <f t="array" ref="P1240">SUMPRODUCT(("T_C-ICE-GSL-S4"=[1]OUT_TransportEnergyCons!$A$3:$A$1000)*1,("var_fout"=[1]OUT_TransportEnergyCons!$B$3:$B$1000)*1,ISNUMBER(SEARCH("TPCAR",[1]OUT_TransportEnergyCons!$C$3:$C$1000))*1,[1]OUT_TransportEnergyCons!N$3:N$1000)</f>
        <v>0</v>
      </c>
      <c r="Q1240" s="1" cm="1">
        <f t="array" ref="Q1240">SUMPRODUCT(("T_C-ICE-GSL-S4"=[1]OUT_TransportEnergyCons!$A$3:$A$1000)*1,("var_fout"=[1]OUT_TransportEnergyCons!$B$3:$B$1000)*1,ISNUMBER(SEARCH("TPCAR",[1]OUT_TransportEnergyCons!$C$3:$C$1000))*1,[1]OUT_TransportEnergyCons!O$3:O$1000)</f>
        <v>0</v>
      </c>
      <c r="S1240" s="3"/>
    </row>
    <row r="1241" spans="2:19" x14ac:dyDescent="0.5">
      <c r="B1241" s="5" t="str">
        <f t="shared" si="1401"/>
        <v>SPS1</v>
      </c>
      <c r="C1241" s="5" t="str">
        <f t="shared" si="1402"/>
        <v>CH</v>
      </c>
      <c r="D1241" t="s">
        <v>1159</v>
      </c>
      <c r="E1241" t="str">
        <f t="shared" si="140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1.6520868133560761E-4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6.4730433078248053E-4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8.3207782678729495E-4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5.9333699678116539E-4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1.9248346411279496E-4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0</v>
      </c>
      <c r="M1241" s="1" cm="1">
        <f t="array" ref="M1241">SUMPRODUCT(("T_C-MHY-GSL-S1"=[1]OUT_TransportEnergyCons!$A$3:$A$1000)*1,("var_fout"=[1]OUT_TransportEnergyCons!$B$3:$B$1000)*1,ISNUMBER(SEARCH("TPCAR",[1]OUT_TransportEnergyCons!$C$3:$C$1000))*1,[1]OUT_TransportEnergyCons!K$3:K$1000)</f>
        <v>0</v>
      </c>
      <c r="N1241" s="1" cm="1">
        <f t="array" ref="N1241">SUMPRODUCT(("T_C-MHY-GSL-S1"=[1]OUT_TransportEnergyCons!$A$3:$A$1000)*1,("var_fout"=[1]OUT_TransportEnergyCons!$B$3:$B$1000)*1,ISNUMBER(SEARCH("TPCAR",[1]OUT_TransportEnergyCons!$C$3:$C$1000))*1,[1]OUT_TransportEnergyCons!L$3:L$1000)</f>
        <v>0</v>
      </c>
      <c r="O1241" s="1" cm="1">
        <f t="array" ref="O1241">SUMPRODUCT(("T_C-MHY-GSL-S1"=[1]OUT_TransportEnergyCons!$A$3:$A$1000)*1,("var_fout"=[1]OUT_TransportEnergyCons!$B$3:$B$1000)*1,ISNUMBER(SEARCH("TPCAR",[1]OUT_TransportEnergyCons!$C$3:$C$1000))*1,[1]OUT_TransportEnergyCons!M$3:M$1000)</f>
        <v>0</v>
      </c>
      <c r="P1241" s="1" cm="1">
        <f t="array" ref="P1241">SUMPRODUCT(("T_C-MHY-GSL-S1"=[1]OUT_TransportEnergyCons!$A$3:$A$1000)*1,("var_fout"=[1]OUT_TransportEnergyCons!$B$3:$B$1000)*1,ISNUMBER(SEARCH("TPCAR",[1]OUT_TransportEnergyCons!$C$3:$C$1000))*1,[1]OUT_TransportEnergyCons!N$3:N$1000)</f>
        <v>0</v>
      </c>
      <c r="Q1241" s="1" cm="1">
        <f t="array" ref="Q1241">SUMPRODUCT(("T_C-MHY-GSL-S1"=[1]OUT_TransportEnergyCons!$A$3:$A$1000)*1,("var_fout"=[1]OUT_TransportEnergyCons!$B$3:$B$1000)*1,ISNUMBER(SEARCH("TPCAR",[1]OUT_TransportEnergyCons!$C$3:$C$1000))*1,[1]OUT_TransportEnergyCons!O$3:O$1000)</f>
        <v>0</v>
      </c>
      <c r="S1241" s="3"/>
    </row>
    <row r="1242" spans="2:19" x14ac:dyDescent="0.5">
      <c r="B1242" s="5" t="str">
        <f t="shared" si="1401"/>
        <v>SPS1</v>
      </c>
      <c r="C1242" s="5" t="str">
        <f t="shared" si="1402"/>
        <v>CH</v>
      </c>
      <c r="D1242" t="s">
        <v>1160</v>
      </c>
      <c r="E1242" t="str">
        <f t="shared" si="140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1.244112815001051E-4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5.2875953467580933E-4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7.6713486283544431E-4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5.2742587956721538E-4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1.8673466527261107E-4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0</v>
      </c>
      <c r="M1242" s="1" cm="1">
        <f t="array" ref="M1242">SUMPRODUCT(("T_C-MHY-GSL-S2"=[1]OUT_TransportEnergyCons!$A$3:$A$1000)*1,("var_fout"=[1]OUT_TransportEnergyCons!$B$3:$B$1000)*1,ISNUMBER(SEARCH("TPCAR",[1]OUT_TransportEnergyCons!$C$3:$C$1000))*1,[1]OUT_TransportEnergyCons!K$3:K$1000)</f>
        <v>0</v>
      </c>
      <c r="N1242" s="1" cm="1">
        <f t="array" ref="N1242">SUMPRODUCT(("T_C-MHY-GSL-S2"=[1]OUT_TransportEnergyCons!$A$3:$A$1000)*1,("var_fout"=[1]OUT_TransportEnergyCons!$B$3:$B$1000)*1,ISNUMBER(SEARCH("TPCAR",[1]OUT_TransportEnergyCons!$C$3:$C$1000))*1,[1]OUT_TransportEnergyCons!L$3:L$1000)</f>
        <v>0</v>
      </c>
      <c r="O1242" s="1" cm="1">
        <f t="array" ref="O1242">SUMPRODUCT(("T_C-MHY-GSL-S2"=[1]OUT_TransportEnergyCons!$A$3:$A$1000)*1,("var_fout"=[1]OUT_TransportEnergyCons!$B$3:$B$1000)*1,ISNUMBER(SEARCH("TPCAR",[1]OUT_TransportEnergyCons!$C$3:$C$1000))*1,[1]OUT_TransportEnergyCons!M$3:M$1000)</f>
        <v>0</v>
      </c>
      <c r="P1242" s="1" cm="1">
        <f t="array" ref="P1242">SUMPRODUCT(("T_C-MHY-GSL-S2"=[1]OUT_TransportEnergyCons!$A$3:$A$1000)*1,("var_fout"=[1]OUT_TransportEnergyCons!$B$3:$B$1000)*1,ISNUMBER(SEARCH("TPCAR",[1]OUT_TransportEnergyCons!$C$3:$C$1000))*1,[1]OUT_TransportEnergyCons!N$3:N$1000)</f>
        <v>0</v>
      </c>
      <c r="Q1242" s="1" cm="1">
        <f t="array" ref="Q1242">SUMPRODUCT(("T_C-MHY-GSL-S2"=[1]OUT_TransportEnergyCons!$A$3:$A$1000)*1,("var_fout"=[1]OUT_TransportEnergyCons!$B$3:$B$1000)*1,ISNUMBER(SEARCH("TPCAR",[1]OUT_TransportEnergyCons!$C$3:$C$1000))*1,[1]OUT_TransportEnergyCons!O$3:O$1000)</f>
        <v>0</v>
      </c>
      <c r="S1242" s="3"/>
    </row>
    <row r="1243" spans="2:19" x14ac:dyDescent="0.5">
      <c r="B1243" s="5" t="str">
        <f t="shared" si="1401"/>
        <v>SPS1</v>
      </c>
      <c r="C1243" s="5" t="str">
        <f t="shared" si="1402"/>
        <v>CH</v>
      </c>
      <c r="D1243" t="s">
        <v>1161</v>
      </c>
      <c r="E1243" t="str">
        <f t="shared" si="140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1.6278132567460417E-4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5.7890136381516858E-4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7.6361630521008296E-4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5.0844903460452498E-4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1.6144859166489505E-4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0</v>
      </c>
      <c r="M1243" s="1" cm="1">
        <f t="array" ref="M1243">SUMPRODUCT(("T_C-MHY-GSL-S3"=[1]OUT_TransportEnergyCons!$A$3:$A$1000)*1,("var_fout"=[1]OUT_TransportEnergyCons!$B$3:$B$1000)*1,ISNUMBER(SEARCH("TPCAR",[1]OUT_TransportEnergyCons!$C$3:$C$1000))*1,[1]OUT_TransportEnergyCons!K$3:K$1000)</f>
        <v>0</v>
      </c>
      <c r="N1243" s="1" cm="1">
        <f t="array" ref="N1243">SUMPRODUCT(("T_C-MHY-GSL-S3"=[1]OUT_TransportEnergyCons!$A$3:$A$1000)*1,("var_fout"=[1]OUT_TransportEnergyCons!$B$3:$B$1000)*1,ISNUMBER(SEARCH("TPCAR",[1]OUT_TransportEnergyCons!$C$3:$C$1000))*1,[1]OUT_TransportEnergyCons!L$3:L$1000)</f>
        <v>0</v>
      </c>
      <c r="O1243" s="1" cm="1">
        <f t="array" ref="O1243">SUMPRODUCT(("T_C-MHY-GSL-S3"=[1]OUT_TransportEnergyCons!$A$3:$A$1000)*1,("var_fout"=[1]OUT_TransportEnergyCons!$B$3:$B$1000)*1,ISNUMBER(SEARCH("TPCAR",[1]OUT_TransportEnergyCons!$C$3:$C$1000))*1,[1]OUT_TransportEnergyCons!M$3:M$1000)</f>
        <v>0</v>
      </c>
      <c r="P1243" s="1" cm="1">
        <f t="array" ref="P1243">SUMPRODUCT(("T_C-MHY-GSL-S3"=[1]OUT_TransportEnergyCons!$A$3:$A$1000)*1,("var_fout"=[1]OUT_TransportEnergyCons!$B$3:$B$1000)*1,ISNUMBER(SEARCH("TPCAR",[1]OUT_TransportEnergyCons!$C$3:$C$1000))*1,[1]OUT_TransportEnergyCons!N$3:N$1000)</f>
        <v>0</v>
      </c>
      <c r="Q1243" s="1" cm="1">
        <f t="array" ref="Q1243">SUMPRODUCT(("T_C-MHY-GSL-S3"=[1]OUT_TransportEnergyCons!$A$3:$A$1000)*1,("var_fout"=[1]OUT_TransportEnergyCons!$B$3:$B$1000)*1,ISNUMBER(SEARCH("TPCAR",[1]OUT_TransportEnergyCons!$C$3:$C$1000))*1,[1]OUT_TransportEnergyCons!O$3:O$1000)</f>
        <v>0</v>
      </c>
      <c r="S1243" s="3"/>
    </row>
    <row r="1244" spans="2:19" x14ac:dyDescent="0.5">
      <c r="B1244" s="5" t="str">
        <f t="shared" si="1401"/>
        <v>SPS1</v>
      </c>
      <c r="C1244" s="5" t="str">
        <f t="shared" si="1402"/>
        <v>CH</v>
      </c>
      <c r="D1244" t="s">
        <v>1162</v>
      </c>
      <c r="E1244" t="str">
        <f t="shared" si="140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1.9593902889170506E-4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7.5388787526533012E-4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1.1292671126858097E-3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7.4309890358719062E-4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2.6109997076705495E-4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0</v>
      </c>
      <c r="M1244" s="1" cm="1">
        <f t="array" ref="M1244">SUMPRODUCT(("T_C-MHY-GSL-S4"=[1]OUT_TransportEnergyCons!$A$3:$A$1000)*1,("var_fout"=[1]OUT_TransportEnergyCons!$B$3:$B$1000)*1,ISNUMBER(SEARCH("TPCAR",[1]OUT_TransportEnergyCons!$C$3:$C$1000))*1,[1]OUT_TransportEnergyCons!K$3:K$1000)</f>
        <v>0</v>
      </c>
      <c r="N1244" s="1" cm="1">
        <f t="array" ref="N1244">SUMPRODUCT(("T_C-MHY-GSL-S4"=[1]OUT_TransportEnergyCons!$A$3:$A$1000)*1,("var_fout"=[1]OUT_TransportEnergyCons!$B$3:$B$1000)*1,ISNUMBER(SEARCH("TPCAR",[1]OUT_TransportEnergyCons!$C$3:$C$1000))*1,[1]OUT_TransportEnergyCons!L$3:L$1000)</f>
        <v>0</v>
      </c>
      <c r="O1244" s="1" cm="1">
        <f t="array" ref="O1244">SUMPRODUCT(("T_C-MHY-GSL-S4"=[1]OUT_TransportEnergyCons!$A$3:$A$1000)*1,("var_fout"=[1]OUT_TransportEnergyCons!$B$3:$B$1000)*1,ISNUMBER(SEARCH("TPCAR",[1]OUT_TransportEnergyCons!$C$3:$C$1000))*1,[1]OUT_TransportEnergyCons!M$3:M$1000)</f>
        <v>0</v>
      </c>
      <c r="P1244" s="1" cm="1">
        <f t="array" ref="P1244">SUMPRODUCT(("T_C-MHY-GSL-S4"=[1]OUT_TransportEnergyCons!$A$3:$A$1000)*1,("var_fout"=[1]OUT_TransportEnergyCons!$B$3:$B$1000)*1,ISNUMBER(SEARCH("TPCAR",[1]OUT_TransportEnergyCons!$C$3:$C$1000))*1,[1]OUT_TransportEnergyCons!N$3:N$1000)</f>
        <v>0</v>
      </c>
      <c r="Q1244" s="1" cm="1">
        <f t="array" ref="Q1244">SUMPRODUCT(("T_C-MHY-GSL-S4"=[1]OUT_TransportEnergyCons!$A$3:$A$1000)*1,("var_fout"=[1]OUT_TransportEnergyCons!$B$3:$B$1000)*1,ISNUMBER(SEARCH("TPCAR",[1]OUT_TransportEnergyCons!$C$3:$C$1000))*1,[1]OUT_TransportEnergyCons!O$3:O$1000)</f>
        <v>0</v>
      </c>
      <c r="S1244" s="3"/>
    </row>
    <row r="1245" spans="2:19" x14ac:dyDescent="0.5">
      <c r="B1245" s="5" t="str">
        <f t="shared" si="1401"/>
        <v>SPS1</v>
      </c>
      <c r="C1245" s="5" t="str">
        <f t="shared" si="1402"/>
        <v>CH</v>
      </c>
      <c r="D1245" t="s">
        <v>1235</v>
      </c>
      <c r="E1245" t="str">
        <f t="shared" si="140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M1245" s="1" cm="1">
        <f t="array" ref="M1245">SUMPRODUCT(("T_C-HYBDSLEXT"=[1]OUT_TransportEnergyCons!$A$3:$A$1000)*1,("var_fout"=[1]OUT_TransportEnergyCons!$B$3:$B$1000)*1,ISNUMBER(SEARCH("TPCAR",[1]OUT_TransportEnergyCons!$C$3:$C$1000))*1,[1]OUT_TransportEnergyCons!K$3:K$1000)</f>
        <v>0</v>
      </c>
      <c r="N1245" s="1" cm="1">
        <f t="array" ref="N1245">SUMPRODUCT(("T_C-HYBDSLEXT"=[1]OUT_TransportEnergyCons!$A$3:$A$1000)*1,("var_fout"=[1]OUT_TransportEnergyCons!$B$3:$B$1000)*1,ISNUMBER(SEARCH("TPCAR",[1]OUT_TransportEnergyCons!$C$3:$C$1000))*1,[1]OUT_TransportEnergyCons!L$3:L$1000)</f>
        <v>0</v>
      </c>
      <c r="O1245" s="1" cm="1">
        <f t="array" ref="O1245">SUMPRODUCT(("T_C-HYBDSLEXT"=[1]OUT_TransportEnergyCons!$A$3:$A$1000)*1,("var_fout"=[1]OUT_TransportEnergyCons!$B$3:$B$1000)*1,ISNUMBER(SEARCH("TPCAR",[1]OUT_TransportEnergyCons!$C$3:$C$1000))*1,[1]OUT_TransportEnergyCons!M$3:M$1000)</f>
        <v>0</v>
      </c>
      <c r="P1245" s="1" cm="1">
        <f t="array" ref="P1245">SUMPRODUCT(("T_C-HYBDSLEXT"=[1]OUT_TransportEnergyCons!$A$3:$A$1000)*1,("var_fout"=[1]OUT_TransportEnergyCons!$B$3:$B$1000)*1,ISNUMBER(SEARCH("TPCAR",[1]OUT_TransportEnergyCons!$C$3:$C$1000))*1,[1]OUT_TransportEnergyCons!N$3:N$1000)</f>
        <v>0</v>
      </c>
      <c r="Q1245" s="1" cm="1">
        <f t="array" ref="Q1245">SUMPRODUCT(("T_C-HYBDSLEXT"=[1]OUT_TransportEnergyCons!$A$3:$A$1000)*1,("var_fout"=[1]OUT_TransportEnergyCons!$B$3:$B$1000)*1,ISNUMBER(SEARCH("TPCAR",[1]OUT_TransportEnergyCons!$C$3:$C$1000))*1,[1]OUT_TransportEnergyCons!O$3:O$1000)</f>
        <v>0</v>
      </c>
      <c r="S1245" s="3"/>
    </row>
    <row r="1246" spans="2:19" x14ac:dyDescent="0.5">
      <c r="B1246" s="5" t="str">
        <f t="shared" si="1401"/>
        <v>SPS1</v>
      </c>
      <c r="C1246" s="5" t="str">
        <f t="shared" si="1402"/>
        <v>CH</v>
      </c>
      <c r="D1246" t="s">
        <v>1163</v>
      </c>
      <c r="E1246" t="str">
        <f t="shared" si="140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1.2922275708719451E-5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0.27888010534391228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0.1916787011143877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0.15495430799706295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5.576002295084629E-2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9.6548376245655931E-4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</v>
      </c>
      <c r="M1246" s="1" cm="1">
        <f t="array" ref="M1246">SUMPRODUCT(("T_C-HY-DSL-S1"=[1]OUT_TransportEnergyCons!$A$3:$A$1000)*1,("var_fout"=[1]OUT_TransportEnergyCons!$B$3:$B$1000)*1,ISNUMBER(SEARCH("TPCAR",[1]OUT_TransportEnergyCons!$C$3:$C$1000))*1,[1]OUT_TransportEnergyCons!K$3:K$1000)</f>
        <v>0</v>
      </c>
      <c r="N1246" s="1" cm="1">
        <f t="array" ref="N1246">SUMPRODUCT(("T_C-HY-DSL-S1"=[1]OUT_TransportEnergyCons!$A$3:$A$1000)*1,("var_fout"=[1]OUT_TransportEnergyCons!$B$3:$B$1000)*1,ISNUMBER(SEARCH("TPCAR",[1]OUT_TransportEnergyCons!$C$3:$C$1000))*1,[1]OUT_TransportEnergyCons!L$3:L$1000)</f>
        <v>0</v>
      </c>
      <c r="O1246" s="1" cm="1">
        <f t="array" ref="O1246">SUMPRODUCT(("T_C-HY-DSL-S1"=[1]OUT_TransportEnergyCons!$A$3:$A$1000)*1,("var_fout"=[1]OUT_TransportEnergyCons!$B$3:$B$1000)*1,ISNUMBER(SEARCH("TPCAR",[1]OUT_TransportEnergyCons!$C$3:$C$1000))*1,[1]OUT_TransportEnergyCons!M$3:M$1000)</f>
        <v>0</v>
      </c>
      <c r="P1246" s="1" cm="1">
        <f t="array" ref="P1246">SUMPRODUCT(("T_C-HY-DSL-S1"=[1]OUT_TransportEnergyCons!$A$3:$A$1000)*1,("var_fout"=[1]OUT_TransportEnergyCons!$B$3:$B$1000)*1,ISNUMBER(SEARCH("TPCAR",[1]OUT_TransportEnergyCons!$C$3:$C$1000))*1,[1]OUT_TransportEnergyCons!N$3:N$1000)</f>
        <v>0</v>
      </c>
      <c r="Q1246" s="1" cm="1">
        <f t="array" ref="Q1246">SUMPRODUCT(("T_C-HY-DSL-S1"=[1]OUT_TransportEnergyCons!$A$3:$A$1000)*1,("var_fout"=[1]OUT_TransportEnergyCons!$B$3:$B$1000)*1,ISNUMBER(SEARCH("TPCAR",[1]OUT_TransportEnergyCons!$C$3:$C$1000))*1,[1]OUT_TransportEnergyCons!O$3:O$1000)</f>
        <v>0</v>
      </c>
      <c r="S1246" s="3"/>
    </row>
    <row r="1247" spans="2:19" x14ac:dyDescent="0.5">
      <c r="B1247" s="5" t="str">
        <f t="shared" si="1401"/>
        <v>SPS1</v>
      </c>
      <c r="C1247" s="5" t="str">
        <f t="shared" si="1402"/>
        <v>CH</v>
      </c>
      <c r="D1247" t="s">
        <v>1164</v>
      </c>
      <c r="E1247" t="str">
        <f t="shared" si="140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3.2523855334865778E-3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1.5152442442332179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2.6674158568585891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2.2364600459114552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1.0522313471433349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9.0147655802524512E-2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0</v>
      </c>
      <c r="M1247" s="1" cm="1">
        <f t="array" ref="M1247">SUMPRODUCT(("T_C-HY-DSL-S2"=[1]OUT_TransportEnergyCons!$A$3:$A$1000)*1,("var_fout"=[1]OUT_TransportEnergyCons!$B$3:$B$1000)*1,ISNUMBER(SEARCH("TPCAR",[1]OUT_TransportEnergyCons!$C$3:$C$1000))*1,[1]OUT_TransportEnergyCons!K$3:K$1000)</f>
        <v>0</v>
      </c>
      <c r="N1247" s="1" cm="1">
        <f t="array" ref="N1247">SUMPRODUCT(("T_C-HY-DSL-S2"=[1]OUT_TransportEnergyCons!$A$3:$A$1000)*1,("var_fout"=[1]OUT_TransportEnergyCons!$B$3:$B$1000)*1,ISNUMBER(SEARCH("TPCAR",[1]OUT_TransportEnergyCons!$C$3:$C$1000))*1,[1]OUT_TransportEnergyCons!L$3:L$1000)</f>
        <v>0</v>
      </c>
      <c r="O1247" s="1" cm="1">
        <f t="array" ref="O1247">SUMPRODUCT(("T_C-HY-DSL-S2"=[1]OUT_TransportEnergyCons!$A$3:$A$1000)*1,("var_fout"=[1]OUT_TransportEnergyCons!$B$3:$B$1000)*1,ISNUMBER(SEARCH("TPCAR",[1]OUT_TransportEnergyCons!$C$3:$C$1000))*1,[1]OUT_TransportEnergyCons!M$3:M$1000)</f>
        <v>0</v>
      </c>
      <c r="P1247" s="1" cm="1">
        <f t="array" ref="P1247">SUMPRODUCT(("T_C-HY-DSL-S2"=[1]OUT_TransportEnergyCons!$A$3:$A$1000)*1,("var_fout"=[1]OUT_TransportEnergyCons!$B$3:$B$1000)*1,ISNUMBER(SEARCH("TPCAR",[1]OUT_TransportEnergyCons!$C$3:$C$1000))*1,[1]OUT_TransportEnergyCons!N$3:N$1000)</f>
        <v>0</v>
      </c>
      <c r="Q1247" s="1" cm="1">
        <f t="array" ref="Q1247">SUMPRODUCT(("T_C-HY-DSL-S2"=[1]OUT_TransportEnergyCons!$A$3:$A$1000)*1,("var_fout"=[1]OUT_TransportEnergyCons!$B$3:$B$1000)*1,ISNUMBER(SEARCH("TPCAR",[1]OUT_TransportEnergyCons!$C$3:$C$1000))*1,[1]OUT_TransportEnergyCons!O$3:O$1000)</f>
        <v>0</v>
      </c>
      <c r="S1247" s="3"/>
    </row>
    <row r="1248" spans="2:19" x14ac:dyDescent="0.5">
      <c r="B1248" s="5" t="str">
        <f t="shared" si="1401"/>
        <v>SPS1</v>
      </c>
      <c r="C1248" s="5" t="str">
        <f t="shared" si="1402"/>
        <v>CH</v>
      </c>
      <c r="D1248" t="s">
        <v>1165</v>
      </c>
      <c r="E1248" t="str">
        <f t="shared" si="140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2.6288473669298255E-2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5.4320515641800245E-2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5.1968556364344248E-2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4.1412403363480357E-2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9.3496200830947718E-3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1.017317557831337E-4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0</v>
      </c>
      <c r="M1248" s="1" cm="1">
        <f t="array" ref="M1248">SUMPRODUCT(("T_C-HY-DSL-S3"=[1]OUT_TransportEnergyCons!$A$3:$A$1000)*1,("var_fout"=[1]OUT_TransportEnergyCons!$B$3:$B$1000)*1,ISNUMBER(SEARCH("TPCAR",[1]OUT_TransportEnergyCons!$C$3:$C$1000))*1,[1]OUT_TransportEnergyCons!K$3:K$1000)</f>
        <v>0</v>
      </c>
      <c r="N1248" s="1" cm="1">
        <f t="array" ref="N1248">SUMPRODUCT(("T_C-HY-DSL-S3"=[1]OUT_TransportEnergyCons!$A$3:$A$1000)*1,("var_fout"=[1]OUT_TransportEnergyCons!$B$3:$B$1000)*1,ISNUMBER(SEARCH("TPCAR",[1]OUT_TransportEnergyCons!$C$3:$C$1000))*1,[1]OUT_TransportEnergyCons!L$3:L$1000)</f>
        <v>0</v>
      </c>
      <c r="O1248" s="1" cm="1">
        <f t="array" ref="O1248">SUMPRODUCT(("T_C-HY-DSL-S3"=[1]OUT_TransportEnergyCons!$A$3:$A$1000)*1,("var_fout"=[1]OUT_TransportEnergyCons!$B$3:$B$1000)*1,ISNUMBER(SEARCH("TPCAR",[1]OUT_TransportEnergyCons!$C$3:$C$1000))*1,[1]OUT_TransportEnergyCons!M$3:M$1000)</f>
        <v>0</v>
      </c>
      <c r="P1248" s="1" cm="1">
        <f t="array" ref="P1248">SUMPRODUCT(("T_C-HY-DSL-S3"=[1]OUT_TransportEnergyCons!$A$3:$A$1000)*1,("var_fout"=[1]OUT_TransportEnergyCons!$B$3:$B$1000)*1,ISNUMBER(SEARCH("TPCAR",[1]OUT_TransportEnergyCons!$C$3:$C$1000))*1,[1]OUT_TransportEnergyCons!N$3:N$1000)</f>
        <v>0</v>
      </c>
      <c r="Q1248" s="1" cm="1">
        <f t="array" ref="Q1248">SUMPRODUCT(("T_C-HY-DSL-S3"=[1]OUT_TransportEnergyCons!$A$3:$A$1000)*1,("var_fout"=[1]OUT_TransportEnergyCons!$B$3:$B$1000)*1,ISNUMBER(SEARCH("TPCAR",[1]OUT_TransportEnergyCons!$C$3:$C$1000))*1,[1]OUT_TransportEnergyCons!O$3:O$1000)</f>
        <v>0</v>
      </c>
      <c r="S1248" s="3"/>
    </row>
    <row r="1249" spans="2:19" x14ac:dyDescent="0.5">
      <c r="B1249" s="5" t="str">
        <f t="shared" si="1401"/>
        <v>SPS1</v>
      </c>
      <c r="C1249" s="5" t="str">
        <f t="shared" si="1402"/>
        <v>CH</v>
      </c>
      <c r="D1249" t="s">
        <v>1166</v>
      </c>
      <c r="E1249" t="str">
        <f t="shared" si="140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4.7445643899777686E-2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0.11222602608010766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0.10713302751851171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8.9954461723807375E-2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1.9803929560909914E-2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1.0938600066032229E-4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</v>
      </c>
      <c r="M1249" s="1" cm="1">
        <f t="array" ref="M1249">SUMPRODUCT(("T_C-HY-DSL-S4"=[1]OUT_TransportEnergyCons!$A$3:$A$1000)*1,("var_fout"=[1]OUT_TransportEnergyCons!$B$3:$B$1000)*1,ISNUMBER(SEARCH("TPCAR",[1]OUT_TransportEnergyCons!$C$3:$C$1000))*1,[1]OUT_TransportEnergyCons!K$3:K$1000)</f>
        <v>0</v>
      </c>
      <c r="N1249" s="1" cm="1">
        <f t="array" ref="N1249">SUMPRODUCT(("T_C-HY-DSL-S4"=[1]OUT_TransportEnergyCons!$A$3:$A$1000)*1,("var_fout"=[1]OUT_TransportEnergyCons!$B$3:$B$1000)*1,ISNUMBER(SEARCH("TPCAR",[1]OUT_TransportEnergyCons!$C$3:$C$1000))*1,[1]OUT_TransportEnergyCons!L$3:L$1000)</f>
        <v>0</v>
      </c>
      <c r="O1249" s="1" cm="1">
        <f t="array" ref="O1249">SUMPRODUCT(("T_C-HY-DSL-S4"=[1]OUT_TransportEnergyCons!$A$3:$A$1000)*1,("var_fout"=[1]OUT_TransportEnergyCons!$B$3:$B$1000)*1,ISNUMBER(SEARCH("TPCAR",[1]OUT_TransportEnergyCons!$C$3:$C$1000))*1,[1]OUT_TransportEnergyCons!M$3:M$1000)</f>
        <v>0</v>
      </c>
      <c r="P1249" s="1" cm="1">
        <f t="array" ref="P1249">SUMPRODUCT(("T_C-HY-DSL-S4"=[1]OUT_TransportEnergyCons!$A$3:$A$1000)*1,("var_fout"=[1]OUT_TransportEnergyCons!$B$3:$B$1000)*1,ISNUMBER(SEARCH("TPCAR",[1]OUT_TransportEnergyCons!$C$3:$C$1000))*1,[1]OUT_TransportEnergyCons!N$3:N$1000)</f>
        <v>0</v>
      </c>
      <c r="Q1249" s="1" cm="1">
        <f t="array" ref="Q1249">SUMPRODUCT(("T_C-HY-DSL-S4"=[1]OUT_TransportEnergyCons!$A$3:$A$1000)*1,("var_fout"=[1]OUT_TransportEnergyCons!$B$3:$B$1000)*1,ISNUMBER(SEARCH("TPCAR",[1]OUT_TransportEnergyCons!$C$3:$C$1000))*1,[1]OUT_TransportEnergyCons!O$3:O$1000)</f>
        <v>0</v>
      </c>
      <c r="S1249" s="3"/>
    </row>
    <row r="1250" spans="2:19" x14ac:dyDescent="0.5">
      <c r="B1250" s="5" t="str">
        <f t="shared" si="1401"/>
        <v>SPS1</v>
      </c>
      <c r="C1250" s="5" t="str">
        <f t="shared" si="1402"/>
        <v>CH</v>
      </c>
      <c r="D1250" t="s">
        <v>1167</v>
      </c>
      <c r="E1250" t="str">
        <f t="shared" si="140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17.673955061076928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17.235951069054394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13.258422551346255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4.7824258586237063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M1250" s="1" cm="1">
        <f t="array" ref="M1250">SUMPRODUCT(("T_C-ICEDSLEXT"=[1]OUT_TransportEnergyCons!$A$3:$A$1000)*1,("var_fout"=[1]OUT_TransportEnergyCons!$B$3:$B$1000)*1,ISNUMBER(SEARCH("TPCAR",[1]OUT_TransportEnergyCons!$C$3:$C$1000))*1,[1]OUT_TransportEnergyCons!K$3:K$1000)</f>
        <v>0</v>
      </c>
      <c r="N1250" s="1" cm="1">
        <f t="array" ref="N1250">SUMPRODUCT(("T_C-ICEDSLEXT"=[1]OUT_TransportEnergyCons!$A$3:$A$1000)*1,("var_fout"=[1]OUT_TransportEnergyCons!$B$3:$B$1000)*1,ISNUMBER(SEARCH("TPCAR",[1]OUT_TransportEnergyCons!$C$3:$C$1000))*1,[1]OUT_TransportEnergyCons!L$3:L$1000)</f>
        <v>0</v>
      </c>
      <c r="O1250" s="1" cm="1">
        <f t="array" ref="O1250">SUMPRODUCT(("T_C-ICEDSLEXT"=[1]OUT_TransportEnergyCons!$A$3:$A$1000)*1,("var_fout"=[1]OUT_TransportEnergyCons!$B$3:$B$1000)*1,ISNUMBER(SEARCH("TPCAR",[1]OUT_TransportEnergyCons!$C$3:$C$1000))*1,[1]OUT_TransportEnergyCons!M$3:M$1000)</f>
        <v>0</v>
      </c>
      <c r="P1250" s="1" cm="1">
        <f t="array" ref="P1250">SUMPRODUCT(("T_C-ICEDSLEXT"=[1]OUT_TransportEnergyCons!$A$3:$A$1000)*1,("var_fout"=[1]OUT_TransportEnergyCons!$B$3:$B$1000)*1,ISNUMBER(SEARCH("TPCAR",[1]OUT_TransportEnergyCons!$C$3:$C$1000))*1,[1]OUT_TransportEnergyCons!N$3:N$1000)</f>
        <v>0</v>
      </c>
      <c r="Q1250" s="1" cm="1">
        <f t="array" ref="Q1250">SUMPRODUCT(("T_C-ICEDSLEXT"=[1]OUT_TransportEnergyCons!$A$3:$A$1000)*1,("var_fout"=[1]OUT_TransportEnergyCons!$B$3:$B$1000)*1,ISNUMBER(SEARCH("TPCAR",[1]OUT_TransportEnergyCons!$C$3:$C$1000))*1,[1]OUT_TransportEnergyCons!O$3:O$1000)</f>
        <v>0</v>
      </c>
      <c r="S1250" s="3"/>
    </row>
    <row r="1251" spans="2:19" x14ac:dyDescent="0.5">
      <c r="B1251" s="5" t="str">
        <f t="shared" si="1401"/>
        <v>SPS1</v>
      </c>
      <c r="C1251" s="5" t="str">
        <f t="shared" si="1402"/>
        <v>CH</v>
      </c>
      <c r="D1251" t="s">
        <v>1168</v>
      </c>
      <c r="E1251" t="str">
        <f t="shared" si="140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3.8555489603272937E-3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4.7347961335300909E-3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3.8104905229106364E-3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3.0428033159354542E-3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6.3439699825271743E-4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1.7803001251641859E-4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0</v>
      </c>
      <c r="M1251" s="1" cm="1">
        <f t="array" ref="M1251">SUMPRODUCT(("T_C-ICE-DSL-S1"=[1]OUT_TransportEnergyCons!$A$3:$A$1000)*1,("var_fout"=[1]OUT_TransportEnergyCons!$B$3:$B$1000)*1,ISNUMBER(SEARCH("TPCAR",[1]OUT_TransportEnergyCons!$C$3:$C$1000))*1,[1]OUT_TransportEnergyCons!K$3:K$1000)</f>
        <v>0</v>
      </c>
      <c r="N1251" s="1" cm="1">
        <f t="array" ref="N1251">SUMPRODUCT(("T_C-ICE-DSL-S1"=[1]OUT_TransportEnergyCons!$A$3:$A$1000)*1,("var_fout"=[1]OUT_TransportEnergyCons!$B$3:$B$1000)*1,ISNUMBER(SEARCH("TPCAR",[1]OUT_TransportEnergyCons!$C$3:$C$1000))*1,[1]OUT_TransportEnergyCons!L$3:L$1000)</f>
        <v>0</v>
      </c>
      <c r="O1251" s="1" cm="1">
        <f t="array" ref="O1251">SUMPRODUCT(("T_C-ICE-DSL-S1"=[1]OUT_TransportEnergyCons!$A$3:$A$1000)*1,("var_fout"=[1]OUT_TransportEnergyCons!$B$3:$B$1000)*1,ISNUMBER(SEARCH("TPCAR",[1]OUT_TransportEnergyCons!$C$3:$C$1000))*1,[1]OUT_TransportEnergyCons!M$3:M$1000)</f>
        <v>0</v>
      </c>
      <c r="P1251" s="1" cm="1">
        <f t="array" ref="P1251">SUMPRODUCT(("T_C-ICE-DSL-S1"=[1]OUT_TransportEnergyCons!$A$3:$A$1000)*1,("var_fout"=[1]OUT_TransportEnergyCons!$B$3:$B$1000)*1,ISNUMBER(SEARCH("TPCAR",[1]OUT_TransportEnergyCons!$C$3:$C$1000))*1,[1]OUT_TransportEnergyCons!N$3:N$1000)</f>
        <v>0</v>
      </c>
      <c r="Q1251" s="1" cm="1">
        <f t="array" ref="Q1251">SUMPRODUCT(("T_C-ICE-DSL-S1"=[1]OUT_TransportEnergyCons!$A$3:$A$1000)*1,("var_fout"=[1]OUT_TransportEnergyCons!$B$3:$B$1000)*1,ISNUMBER(SEARCH("TPCAR",[1]OUT_TransportEnergyCons!$C$3:$C$1000))*1,[1]OUT_TransportEnergyCons!O$3:O$1000)</f>
        <v>0</v>
      </c>
      <c r="S1251" s="3"/>
    </row>
    <row r="1252" spans="2:19" x14ac:dyDescent="0.5">
      <c r="B1252" s="5" t="str">
        <f t="shared" si="1401"/>
        <v>SPS1</v>
      </c>
      <c r="C1252" s="5" t="str">
        <f t="shared" si="1402"/>
        <v>CH</v>
      </c>
      <c r="D1252" t="s">
        <v>1169</v>
      </c>
      <c r="E1252" t="str">
        <f t="shared" si="140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0.85084531104738714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0.9031383765872365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0.81756000203748946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0.63275665188424379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1.7576805948466428E-2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1.4754454990763131E-4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0</v>
      </c>
      <c r="M1252" s="1" cm="1">
        <f t="array" ref="M1252">SUMPRODUCT(("T_C-ICE-DSL-S2"=[1]OUT_TransportEnergyCons!$A$3:$A$1000)*1,("var_fout"=[1]OUT_TransportEnergyCons!$B$3:$B$1000)*1,ISNUMBER(SEARCH("TPCAR",[1]OUT_TransportEnergyCons!$C$3:$C$1000))*1,[1]OUT_TransportEnergyCons!K$3:K$1000)</f>
        <v>0</v>
      </c>
      <c r="N1252" s="1" cm="1">
        <f t="array" ref="N1252">SUMPRODUCT(("T_C-ICE-DSL-S2"=[1]OUT_TransportEnergyCons!$A$3:$A$1000)*1,("var_fout"=[1]OUT_TransportEnergyCons!$B$3:$B$1000)*1,ISNUMBER(SEARCH("TPCAR",[1]OUT_TransportEnergyCons!$C$3:$C$1000))*1,[1]OUT_TransportEnergyCons!L$3:L$1000)</f>
        <v>0</v>
      </c>
      <c r="O1252" s="1" cm="1">
        <f t="array" ref="O1252">SUMPRODUCT(("T_C-ICE-DSL-S2"=[1]OUT_TransportEnergyCons!$A$3:$A$1000)*1,("var_fout"=[1]OUT_TransportEnergyCons!$B$3:$B$1000)*1,ISNUMBER(SEARCH("TPCAR",[1]OUT_TransportEnergyCons!$C$3:$C$1000))*1,[1]OUT_TransportEnergyCons!M$3:M$1000)</f>
        <v>0</v>
      </c>
      <c r="P1252" s="1" cm="1">
        <f t="array" ref="P1252">SUMPRODUCT(("T_C-ICE-DSL-S2"=[1]OUT_TransportEnergyCons!$A$3:$A$1000)*1,("var_fout"=[1]OUT_TransportEnergyCons!$B$3:$B$1000)*1,ISNUMBER(SEARCH("TPCAR",[1]OUT_TransportEnergyCons!$C$3:$C$1000))*1,[1]OUT_TransportEnergyCons!N$3:N$1000)</f>
        <v>0</v>
      </c>
      <c r="Q1252" s="1" cm="1">
        <f t="array" ref="Q1252">SUMPRODUCT(("T_C-ICE-DSL-S2"=[1]OUT_TransportEnergyCons!$A$3:$A$1000)*1,("var_fout"=[1]OUT_TransportEnergyCons!$B$3:$B$1000)*1,ISNUMBER(SEARCH("TPCAR",[1]OUT_TransportEnergyCons!$C$3:$C$1000))*1,[1]OUT_TransportEnergyCons!O$3:O$1000)</f>
        <v>0</v>
      </c>
      <c r="S1252" s="3"/>
    </row>
    <row r="1253" spans="2:19" x14ac:dyDescent="0.5">
      <c r="B1253" s="5" t="str">
        <f t="shared" si="1401"/>
        <v>SPS1</v>
      </c>
      <c r="C1253" s="5" t="str">
        <f t="shared" si="1402"/>
        <v>CH</v>
      </c>
      <c r="D1253" t="s">
        <v>1170</v>
      </c>
      <c r="E1253" t="str">
        <f t="shared" si="140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2.6618455002523578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2.8362398114978982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2.806836087560773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2.1809002317830952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8.1938425742655641E-2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1.1926063082117148E-4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0</v>
      </c>
      <c r="M1253" s="1" cm="1">
        <f t="array" ref="M1253">SUMPRODUCT(("T_C-ICE-DSL-S3"=[1]OUT_TransportEnergyCons!$A$3:$A$1000)*1,("var_fout"=[1]OUT_TransportEnergyCons!$B$3:$B$1000)*1,ISNUMBER(SEARCH("TPCAR",[1]OUT_TransportEnergyCons!$C$3:$C$1000))*1,[1]OUT_TransportEnergyCons!K$3:K$1000)</f>
        <v>0</v>
      </c>
      <c r="N1253" s="1" cm="1">
        <f t="array" ref="N1253">SUMPRODUCT(("T_C-ICE-DSL-S3"=[1]OUT_TransportEnergyCons!$A$3:$A$1000)*1,("var_fout"=[1]OUT_TransportEnergyCons!$B$3:$B$1000)*1,ISNUMBER(SEARCH("TPCAR",[1]OUT_TransportEnergyCons!$C$3:$C$1000))*1,[1]OUT_TransportEnergyCons!L$3:L$1000)</f>
        <v>0</v>
      </c>
      <c r="O1253" s="1" cm="1">
        <f t="array" ref="O1253">SUMPRODUCT(("T_C-ICE-DSL-S3"=[1]OUT_TransportEnergyCons!$A$3:$A$1000)*1,("var_fout"=[1]OUT_TransportEnergyCons!$B$3:$B$1000)*1,ISNUMBER(SEARCH("TPCAR",[1]OUT_TransportEnergyCons!$C$3:$C$1000))*1,[1]OUT_TransportEnergyCons!M$3:M$1000)</f>
        <v>0</v>
      </c>
      <c r="P1253" s="1" cm="1">
        <f t="array" ref="P1253">SUMPRODUCT(("T_C-ICE-DSL-S3"=[1]OUT_TransportEnergyCons!$A$3:$A$1000)*1,("var_fout"=[1]OUT_TransportEnergyCons!$B$3:$B$1000)*1,ISNUMBER(SEARCH("TPCAR",[1]OUT_TransportEnergyCons!$C$3:$C$1000))*1,[1]OUT_TransportEnergyCons!N$3:N$1000)</f>
        <v>0</v>
      </c>
      <c r="Q1253" s="1" cm="1">
        <f t="array" ref="Q1253">SUMPRODUCT(("T_C-ICE-DSL-S3"=[1]OUT_TransportEnergyCons!$A$3:$A$1000)*1,("var_fout"=[1]OUT_TransportEnergyCons!$B$3:$B$1000)*1,ISNUMBER(SEARCH("TPCAR",[1]OUT_TransportEnergyCons!$C$3:$C$1000))*1,[1]OUT_TransportEnergyCons!O$3:O$1000)</f>
        <v>0</v>
      </c>
      <c r="S1253" s="3"/>
    </row>
    <row r="1254" spans="2:19" x14ac:dyDescent="0.5">
      <c r="B1254" s="5" t="str">
        <f t="shared" si="1401"/>
        <v>SPS1</v>
      </c>
      <c r="C1254" s="5" t="str">
        <f t="shared" si="1402"/>
        <v>CH</v>
      </c>
      <c r="D1254" t="s">
        <v>1171</v>
      </c>
      <c r="E1254" t="str">
        <f t="shared" si="140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0.90300179202071806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1.0075867758288273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0.99242385764460572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0.77474303001204181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3.3283576796720747E-2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7.0296346829652284E-5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0</v>
      </c>
      <c r="M1254" s="1" cm="1">
        <f t="array" ref="M1254">SUMPRODUCT(("T_C-ICE-DSL-S4"=[1]OUT_TransportEnergyCons!$A$3:$A$1000)*1,("var_fout"=[1]OUT_TransportEnergyCons!$B$3:$B$1000)*1,ISNUMBER(SEARCH("TPCAR",[1]OUT_TransportEnergyCons!$C$3:$C$1000))*1,[1]OUT_TransportEnergyCons!K$3:K$1000)</f>
        <v>0</v>
      </c>
      <c r="N1254" s="1" cm="1">
        <f t="array" ref="N1254">SUMPRODUCT(("T_C-ICE-DSL-S4"=[1]OUT_TransportEnergyCons!$A$3:$A$1000)*1,("var_fout"=[1]OUT_TransportEnergyCons!$B$3:$B$1000)*1,ISNUMBER(SEARCH("TPCAR",[1]OUT_TransportEnergyCons!$C$3:$C$1000))*1,[1]OUT_TransportEnergyCons!L$3:L$1000)</f>
        <v>0</v>
      </c>
      <c r="O1254" s="1" cm="1">
        <f t="array" ref="O1254">SUMPRODUCT(("T_C-ICE-DSL-S4"=[1]OUT_TransportEnergyCons!$A$3:$A$1000)*1,("var_fout"=[1]OUT_TransportEnergyCons!$B$3:$B$1000)*1,ISNUMBER(SEARCH("TPCAR",[1]OUT_TransportEnergyCons!$C$3:$C$1000))*1,[1]OUT_TransportEnergyCons!M$3:M$1000)</f>
        <v>0</v>
      </c>
      <c r="P1254" s="1" cm="1">
        <f t="array" ref="P1254">SUMPRODUCT(("T_C-ICE-DSL-S4"=[1]OUT_TransportEnergyCons!$A$3:$A$1000)*1,("var_fout"=[1]OUT_TransportEnergyCons!$B$3:$B$1000)*1,ISNUMBER(SEARCH("TPCAR",[1]OUT_TransportEnergyCons!$C$3:$C$1000))*1,[1]OUT_TransportEnergyCons!N$3:N$1000)</f>
        <v>0</v>
      </c>
      <c r="Q1254" s="1" cm="1">
        <f t="array" ref="Q1254">SUMPRODUCT(("T_C-ICE-DSL-S4"=[1]OUT_TransportEnergyCons!$A$3:$A$1000)*1,("var_fout"=[1]OUT_TransportEnergyCons!$B$3:$B$1000)*1,ISNUMBER(SEARCH("TPCAR",[1]OUT_TransportEnergyCons!$C$3:$C$1000))*1,[1]OUT_TransportEnergyCons!O$3:O$1000)</f>
        <v>0</v>
      </c>
      <c r="S1254" s="3"/>
    </row>
    <row r="1255" spans="2:19" x14ac:dyDescent="0.5">
      <c r="B1255" s="5" t="str">
        <f t="shared" si="1401"/>
        <v>SPS1</v>
      </c>
      <c r="C1255" s="5" t="str">
        <f t="shared" si="1402"/>
        <v>CH</v>
      </c>
      <c r="D1255" t="s">
        <v>1172</v>
      </c>
      <c r="E1255" t="str">
        <f t="shared" si="140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1.6500308107026158E-4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5.4961995084474029E-4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7.8917920546147291E-4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5.6822318937114601E-4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2.0317812879913988E-4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</v>
      </c>
      <c r="M1255" s="1" cm="1">
        <f t="array" ref="M1255">SUMPRODUCT(("T_C-MHY-DSL-S1"=[1]OUT_TransportEnergyCons!$A$3:$A$1000)*1,("var_fout"=[1]OUT_TransportEnergyCons!$B$3:$B$1000)*1,ISNUMBER(SEARCH("TPCAR",[1]OUT_TransportEnergyCons!$C$3:$C$1000))*1,[1]OUT_TransportEnergyCons!K$3:K$1000)</f>
        <v>0</v>
      </c>
      <c r="N1255" s="1" cm="1">
        <f t="array" ref="N1255">SUMPRODUCT(("T_C-MHY-DSL-S1"=[1]OUT_TransportEnergyCons!$A$3:$A$1000)*1,("var_fout"=[1]OUT_TransportEnergyCons!$B$3:$B$1000)*1,ISNUMBER(SEARCH("TPCAR",[1]OUT_TransportEnergyCons!$C$3:$C$1000))*1,[1]OUT_TransportEnergyCons!L$3:L$1000)</f>
        <v>0</v>
      </c>
      <c r="O1255" s="1" cm="1">
        <f t="array" ref="O1255">SUMPRODUCT(("T_C-MHY-DSL-S1"=[1]OUT_TransportEnergyCons!$A$3:$A$1000)*1,("var_fout"=[1]OUT_TransportEnergyCons!$B$3:$B$1000)*1,ISNUMBER(SEARCH("TPCAR",[1]OUT_TransportEnergyCons!$C$3:$C$1000))*1,[1]OUT_TransportEnergyCons!M$3:M$1000)</f>
        <v>0</v>
      </c>
      <c r="P1255" s="1" cm="1">
        <f t="array" ref="P1255">SUMPRODUCT(("T_C-MHY-DSL-S1"=[1]OUT_TransportEnergyCons!$A$3:$A$1000)*1,("var_fout"=[1]OUT_TransportEnergyCons!$B$3:$B$1000)*1,ISNUMBER(SEARCH("TPCAR",[1]OUT_TransportEnergyCons!$C$3:$C$1000))*1,[1]OUT_TransportEnergyCons!N$3:N$1000)</f>
        <v>0</v>
      </c>
      <c r="Q1255" s="1" cm="1">
        <f t="array" ref="Q1255">SUMPRODUCT(("T_C-MHY-DSL-S1"=[1]OUT_TransportEnergyCons!$A$3:$A$1000)*1,("var_fout"=[1]OUT_TransportEnergyCons!$B$3:$B$1000)*1,ISNUMBER(SEARCH("TPCAR",[1]OUT_TransportEnergyCons!$C$3:$C$1000))*1,[1]OUT_TransportEnergyCons!O$3:O$1000)</f>
        <v>0</v>
      </c>
      <c r="S1255" s="3"/>
    </row>
    <row r="1256" spans="2:19" x14ac:dyDescent="0.5">
      <c r="B1256" s="5" t="str">
        <f t="shared" si="1401"/>
        <v>SPS1</v>
      </c>
      <c r="C1256" s="5" t="str">
        <f t="shared" si="1402"/>
        <v>CH</v>
      </c>
      <c r="D1256" t="s">
        <v>1173</v>
      </c>
      <c r="E1256" t="str">
        <f t="shared" si="140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1.2379592309269322E-4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4.7102254333513532E-4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6.7527747215836412E-4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4.4981570998529029E-4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1.5613105255190044E-4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0</v>
      </c>
      <c r="M1256" s="1" cm="1">
        <f t="array" ref="M1256">SUMPRODUCT(("T_C-MHY-DSL-S2"=[1]OUT_TransportEnergyCons!$A$3:$A$1000)*1,("var_fout"=[1]OUT_TransportEnergyCons!$B$3:$B$1000)*1,ISNUMBER(SEARCH("TPCAR",[1]OUT_TransportEnergyCons!$C$3:$C$1000))*1,[1]OUT_TransportEnergyCons!K$3:K$1000)</f>
        <v>0</v>
      </c>
      <c r="N1256" s="1" cm="1">
        <f t="array" ref="N1256">SUMPRODUCT(("T_C-MHY-DSL-S2"=[1]OUT_TransportEnergyCons!$A$3:$A$1000)*1,("var_fout"=[1]OUT_TransportEnergyCons!$B$3:$B$1000)*1,ISNUMBER(SEARCH("TPCAR",[1]OUT_TransportEnergyCons!$C$3:$C$1000))*1,[1]OUT_TransportEnergyCons!L$3:L$1000)</f>
        <v>0</v>
      </c>
      <c r="O1256" s="1" cm="1">
        <f t="array" ref="O1256">SUMPRODUCT(("T_C-MHY-DSL-S2"=[1]OUT_TransportEnergyCons!$A$3:$A$1000)*1,("var_fout"=[1]OUT_TransportEnergyCons!$B$3:$B$1000)*1,ISNUMBER(SEARCH("TPCAR",[1]OUT_TransportEnergyCons!$C$3:$C$1000))*1,[1]OUT_TransportEnergyCons!M$3:M$1000)</f>
        <v>0</v>
      </c>
      <c r="P1256" s="1" cm="1">
        <f t="array" ref="P1256">SUMPRODUCT(("T_C-MHY-DSL-S2"=[1]OUT_TransportEnergyCons!$A$3:$A$1000)*1,("var_fout"=[1]OUT_TransportEnergyCons!$B$3:$B$1000)*1,ISNUMBER(SEARCH("TPCAR",[1]OUT_TransportEnergyCons!$C$3:$C$1000))*1,[1]OUT_TransportEnergyCons!N$3:N$1000)</f>
        <v>0</v>
      </c>
      <c r="Q1256" s="1" cm="1">
        <f t="array" ref="Q1256">SUMPRODUCT(("T_C-MHY-DSL-S2"=[1]OUT_TransportEnergyCons!$A$3:$A$1000)*1,("var_fout"=[1]OUT_TransportEnergyCons!$B$3:$B$1000)*1,ISNUMBER(SEARCH("TPCAR",[1]OUT_TransportEnergyCons!$C$3:$C$1000))*1,[1]OUT_TransportEnergyCons!O$3:O$1000)</f>
        <v>0</v>
      </c>
      <c r="S1256" s="3"/>
    </row>
    <row r="1257" spans="2:19" x14ac:dyDescent="0.5">
      <c r="B1257" s="5" t="str">
        <f t="shared" si="1401"/>
        <v>SPS1</v>
      </c>
      <c r="C1257" s="5" t="str">
        <f t="shared" si="1402"/>
        <v>CH</v>
      </c>
      <c r="D1257" t="s">
        <v>1174</v>
      </c>
      <c r="E1257" t="str">
        <f t="shared" si="140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1.5563828637891634E-4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4.7791793804559721E-4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6.2452848757941083E-4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4.1139871940006631E-4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1.2893356956313672E-4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0</v>
      </c>
      <c r="M1257" s="1" cm="1">
        <f t="array" ref="M1257">SUMPRODUCT(("T_C-MHY-DSL-S3"=[1]OUT_TransportEnergyCons!$A$3:$A$1000)*1,("var_fout"=[1]OUT_TransportEnergyCons!$B$3:$B$1000)*1,ISNUMBER(SEARCH("TPCAR",[1]OUT_TransportEnergyCons!$C$3:$C$1000))*1,[1]OUT_TransportEnergyCons!K$3:K$1000)</f>
        <v>0</v>
      </c>
      <c r="N1257" s="1" cm="1">
        <f t="array" ref="N1257">SUMPRODUCT(("T_C-MHY-DSL-S3"=[1]OUT_TransportEnergyCons!$A$3:$A$1000)*1,("var_fout"=[1]OUT_TransportEnergyCons!$B$3:$B$1000)*1,ISNUMBER(SEARCH("TPCAR",[1]OUT_TransportEnergyCons!$C$3:$C$1000))*1,[1]OUT_TransportEnergyCons!L$3:L$1000)</f>
        <v>0</v>
      </c>
      <c r="O1257" s="1" cm="1">
        <f t="array" ref="O1257">SUMPRODUCT(("T_C-MHY-DSL-S3"=[1]OUT_TransportEnergyCons!$A$3:$A$1000)*1,("var_fout"=[1]OUT_TransportEnergyCons!$B$3:$B$1000)*1,ISNUMBER(SEARCH("TPCAR",[1]OUT_TransportEnergyCons!$C$3:$C$1000))*1,[1]OUT_TransportEnergyCons!M$3:M$1000)</f>
        <v>0</v>
      </c>
      <c r="P1257" s="1" cm="1">
        <f t="array" ref="P1257">SUMPRODUCT(("T_C-MHY-DSL-S3"=[1]OUT_TransportEnergyCons!$A$3:$A$1000)*1,("var_fout"=[1]OUT_TransportEnergyCons!$B$3:$B$1000)*1,ISNUMBER(SEARCH("TPCAR",[1]OUT_TransportEnergyCons!$C$3:$C$1000))*1,[1]OUT_TransportEnergyCons!N$3:N$1000)</f>
        <v>0</v>
      </c>
      <c r="Q1257" s="1" cm="1">
        <f t="array" ref="Q1257">SUMPRODUCT(("T_C-MHY-DSL-S3"=[1]OUT_TransportEnergyCons!$A$3:$A$1000)*1,("var_fout"=[1]OUT_TransportEnergyCons!$B$3:$B$1000)*1,ISNUMBER(SEARCH("TPCAR",[1]OUT_TransportEnergyCons!$C$3:$C$1000))*1,[1]OUT_TransportEnergyCons!O$3:O$1000)</f>
        <v>0</v>
      </c>
      <c r="S1257" s="3"/>
    </row>
    <row r="1258" spans="2:19" x14ac:dyDescent="0.5">
      <c r="B1258" s="5" t="str">
        <f t="shared" si="1401"/>
        <v>SPS1</v>
      </c>
      <c r="C1258" s="5" t="str">
        <f t="shared" si="1402"/>
        <v>CH</v>
      </c>
      <c r="D1258" t="s">
        <v>1175</v>
      </c>
      <c r="E1258" t="str">
        <f t="shared" si="140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1.0147527338740375E-4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2.5427295900621726E-4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3.4893076413369632E-4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2.2774337992586427E-4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7.5731513947887067E-5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0</v>
      </c>
      <c r="M1258" s="1" cm="1">
        <f t="array" ref="M1258">SUMPRODUCT(("T_C-MHY-DSL-S4"=[1]OUT_TransportEnergyCons!$A$3:$A$1000)*1,("var_fout"=[1]OUT_TransportEnergyCons!$B$3:$B$1000)*1,ISNUMBER(SEARCH("TPCAR",[1]OUT_TransportEnergyCons!$C$3:$C$1000))*1,[1]OUT_TransportEnergyCons!K$3:K$1000)</f>
        <v>0</v>
      </c>
      <c r="N1258" s="1" cm="1">
        <f t="array" ref="N1258">SUMPRODUCT(("T_C-MHY-DSL-S4"=[1]OUT_TransportEnergyCons!$A$3:$A$1000)*1,("var_fout"=[1]OUT_TransportEnergyCons!$B$3:$B$1000)*1,ISNUMBER(SEARCH("TPCAR",[1]OUT_TransportEnergyCons!$C$3:$C$1000))*1,[1]OUT_TransportEnergyCons!L$3:L$1000)</f>
        <v>0</v>
      </c>
      <c r="O1258" s="1" cm="1">
        <f t="array" ref="O1258">SUMPRODUCT(("T_C-MHY-DSL-S4"=[1]OUT_TransportEnergyCons!$A$3:$A$1000)*1,("var_fout"=[1]OUT_TransportEnergyCons!$B$3:$B$1000)*1,ISNUMBER(SEARCH("TPCAR",[1]OUT_TransportEnergyCons!$C$3:$C$1000))*1,[1]OUT_TransportEnergyCons!M$3:M$1000)</f>
        <v>0</v>
      </c>
      <c r="P1258" s="1" cm="1">
        <f t="array" ref="P1258">SUMPRODUCT(("T_C-MHY-DSL-S4"=[1]OUT_TransportEnergyCons!$A$3:$A$1000)*1,("var_fout"=[1]OUT_TransportEnergyCons!$B$3:$B$1000)*1,ISNUMBER(SEARCH("TPCAR",[1]OUT_TransportEnergyCons!$C$3:$C$1000))*1,[1]OUT_TransportEnergyCons!N$3:N$1000)</f>
        <v>0</v>
      </c>
      <c r="Q1258" s="1" cm="1">
        <f t="array" ref="Q1258">SUMPRODUCT(("T_C-MHY-DSL-S4"=[1]OUT_TransportEnergyCons!$A$3:$A$1000)*1,("var_fout"=[1]OUT_TransportEnergyCons!$B$3:$B$1000)*1,ISNUMBER(SEARCH("TPCAR",[1]OUT_TransportEnergyCons!$C$3:$C$1000))*1,[1]OUT_TransportEnergyCons!O$3:O$1000)</f>
        <v>0</v>
      </c>
      <c r="S1258" s="3"/>
    </row>
    <row r="1259" spans="2:19" x14ac:dyDescent="0.5">
      <c r="B1259" s="5" t="str">
        <f t="shared" si="1401"/>
        <v>SPS1</v>
      </c>
      <c r="C1259" s="5" t="str">
        <f t="shared" si="1402"/>
        <v>CH</v>
      </c>
      <c r="D1259" t="s">
        <v>1176</v>
      </c>
      <c r="E1259" t="str">
        <f t="shared" si="140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M1259" s="1" cm="1">
        <f t="array" ref="M1259">SUMPRODUCT(("T_C-ICENGAEXT"=[1]OUT_TransportEnergyCons!$A$3:$A$1000)*1,("var_fout"=[1]OUT_TransportEnergyCons!$B$3:$B$1000)*1,ISNUMBER(SEARCH("TPCAR",[1]OUT_TransportEnergyCons!$C$3:$C$1000))*1,[1]OUT_TransportEnergyCons!K$3:K$1000)</f>
        <v>0</v>
      </c>
      <c r="N1259" s="1" cm="1">
        <f t="array" ref="N1259">SUMPRODUCT(("T_C-ICENGAEXT"=[1]OUT_TransportEnergyCons!$A$3:$A$1000)*1,("var_fout"=[1]OUT_TransportEnergyCons!$B$3:$B$1000)*1,ISNUMBER(SEARCH("TPCAR",[1]OUT_TransportEnergyCons!$C$3:$C$1000))*1,[1]OUT_TransportEnergyCons!L$3:L$1000)</f>
        <v>0</v>
      </c>
      <c r="O1259" s="1" cm="1">
        <f t="array" ref="O1259">SUMPRODUCT(("T_C-ICENGAEXT"=[1]OUT_TransportEnergyCons!$A$3:$A$1000)*1,("var_fout"=[1]OUT_TransportEnergyCons!$B$3:$B$1000)*1,ISNUMBER(SEARCH("TPCAR",[1]OUT_TransportEnergyCons!$C$3:$C$1000))*1,[1]OUT_TransportEnergyCons!M$3:M$1000)</f>
        <v>0</v>
      </c>
      <c r="P1259" s="1" cm="1">
        <f t="array" ref="P1259">SUMPRODUCT(("T_C-ICENGAEXT"=[1]OUT_TransportEnergyCons!$A$3:$A$1000)*1,("var_fout"=[1]OUT_TransportEnergyCons!$B$3:$B$1000)*1,ISNUMBER(SEARCH("TPCAR",[1]OUT_TransportEnergyCons!$C$3:$C$1000))*1,[1]OUT_TransportEnergyCons!N$3:N$1000)</f>
        <v>0</v>
      </c>
      <c r="Q1259" s="1" cm="1">
        <f t="array" ref="Q1259">SUMPRODUCT(("T_C-ICENGAEXT"=[1]OUT_TransportEnergyCons!$A$3:$A$1000)*1,("var_fout"=[1]OUT_TransportEnergyCons!$B$3:$B$1000)*1,ISNUMBER(SEARCH("TPCAR",[1]OUT_TransportEnergyCons!$C$3:$C$1000))*1,[1]OUT_TransportEnergyCons!O$3:O$1000)</f>
        <v>0</v>
      </c>
      <c r="S1259" s="3"/>
    </row>
    <row r="1260" spans="2:19" x14ac:dyDescent="0.5">
      <c r="B1260" s="5" t="str">
        <f t="shared" si="1401"/>
        <v>SPS1</v>
      </c>
      <c r="C1260" s="5" t="str">
        <f t="shared" si="1402"/>
        <v>CH</v>
      </c>
      <c r="D1260" t="s">
        <v>1177</v>
      </c>
      <c r="E1260" t="str">
        <f t="shared" si="140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2.2106445177146332E-3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1.3148100264193142E-3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1.2553913940883184E-3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7.2038299386828768E-5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1.3694791054168684E-5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0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0</v>
      </c>
      <c r="M1260" s="1" cm="1">
        <f t="array" ref="M1260">SUMPRODUCT(("T_C-ICE-NGA-S1"=[1]OUT_TransportEnergyCons!$A$3:$A$1000)*1,("var_fout"=[1]OUT_TransportEnergyCons!$B$3:$B$1000)*1,ISNUMBER(SEARCH("TPCAR",[1]OUT_TransportEnergyCons!$C$3:$C$1000))*1,[1]OUT_TransportEnergyCons!K$3:K$1000)</f>
        <v>0</v>
      </c>
      <c r="N1260" s="1" cm="1">
        <f t="array" ref="N1260">SUMPRODUCT(("T_C-ICE-NGA-S1"=[1]OUT_TransportEnergyCons!$A$3:$A$1000)*1,("var_fout"=[1]OUT_TransportEnergyCons!$B$3:$B$1000)*1,ISNUMBER(SEARCH("TPCAR",[1]OUT_TransportEnergyCons!$C$3:$C$1000))*1,[1]OUT_TransportEnergyCons!L$3:L$1000)</f>
        <v>0</v>
      </c>
      <c r="O1260" s="1" cm="1">
        <f t="array" ref="O1260">SUMPRODUCT(("T_C-ICE-NGA-S1"=[1]OUT_TransportEnergyCons!$A$3:$A$1000)*1,("var_fout"=[1]OUT_TransportEnergyCons!$B$3:$B$1000)*1,ISNUMBER(SEARCH("TPCAR",[1]OUT_TransportEnergyCons!$C$3:$C$1000))*1,[1]OUT_TransportEnergyCons!M$3:M$1000)</f>
        <v>0</v>
      </c>
      <c r="P1260" s="1" cm="1">
        <f t="array" ref="P1260">SUMPRODUCT(("T_C-ICE-NGA-S1"=[1]OUT_TransportEnergyCons!$A$3:$A$1000)*1,("var_fout"=[1]OUT_TransportEnergyCons!$B$3:$B$1000)*1,ISNUMBER(SEARCH("TPCAR",[1]OUT_TransportEnergyCons!$C$3:$C$1000))*1,[1]OUT_TransportEnergyCons!N$3:N$1000)</f>
        <v>0</v>
      </c>
      <c r="Q1260" s="1" cm="1">
        <f t="array" ref="Q1260">SUMPRODUCT(("T_C-ICE-NGA-S1"=[1]OUT_TransportEnergyCons!$A$3:$A$1000)*1,("var_fout"=[1]OUT_TransportEnergyCons!$B$3:$B$1000)*1,ISNUMBER(SEARCH("TPCAR",[1]OUT_TransportEnergyCons!$C$3:$C$1000))*1,[1]OUT_TransportEnergyCons!O$3:O$1000)</f>
        <v>0</v>
      </c>
      <c r="S1260" s="3"/>
    </row>
    <row r="1261" spans="2:19" x14ac:dyDescent="0.5">
      <c r="B1261" s="5" t="str">
        <f t="shared" si="1401"/>
        <v>SPS1</v>
      </c>
      <c r="C1261" s="5" t="str">
        <f t="shared" si="1402"/>
        <v>CH</v>
      </c>
      <c r="D1261" t="s">
        <v>1178</v>
      </c>
      <c r="E1261" t="str">
        <f t="shared" si="140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3.533822462105439E-2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3.3934145850864419E-2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3.6691951131874241E-2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0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0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0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0</v>
      </c>
      <c r="M1261" s="1" cm="1">
        <f t="array" ref="M1261">SUMPRODUCT(("T_C-ICE-NGA-S2"=[1]OUT_TransportEnergyCons!$A$3:$A$1000)*1,("var_fout"=[1]OUT_TransportEnergyCons!$B$3:$B$1000)*1,ISNUMBER(SEARCH("TPCAR",[1]OUT_TransportEnergyCons!$C$3:$C$1000))*1,[1]OUT_TransportEnergyCons!K$3:K$1000)</f>
        <v>0</v>
      </c>
      <c r="N1261" s="1" cm="1">
        <f t="array" ref="N1261">SUMPRODUCT(("T_C-ICE-NGA-S2"=[1]OUT_TransportEnergyCons!$A$3:$A$1000)*1,("var_fout"=[1]OUT_TransportEnergyCons!$B$3:$B$1000)*1,ISNUMBER(SEARCH("TPCAR",[1]OUT_TransportEnergyCons!$C$3:$C$1000))*1,[1]OUT_TransportEnergyCons!L$3:L$1000)</f>
        <v>0</v>
      </c>
      <c r="O1261" s="1" cm="1">
        <f t="array" ref="O1261">SUMPRODUCT(("T_C-ICE-NGA-S2"=[1]OUT_TransportEnergyCons!$A$3:$A$1000)*1,("var_fout"=[1]OUT_TransportEnergyCons!$B$3:$B$1000)*1,ISNUMBER(SEARCH("TPCAR",[1]OUT_TransportEnergyCons!$C$3:$C$1000))*1,[1]OUT_TransportEnergyCons!M$3:M$1000)</f>
        <v>0</v>
      </c>
      <c r="P1261" s="1" cm="1">
        <f t="array" ref="P1261">SUMPRODUCT(("T_C-ICE-NGA-S2"=[1]OUT_TransportEnergyCons!$A$3:$A$1000)*1,("var_fout"=[1]OUT_TransportEnergyCons!$B$3:$B$1000)*1,ISNUMBER(SEARCH("TPCAR",[1]OUT_TransportEnergyCons!$C$3:$C$1000))*1,[1]OUT_TransportEnergyCons!N$3:N$1000)</f>
        <v>0</v>
      </c>
      <c r="Q1261" s="1" cm="1">
        <f t="array" ref="Q1261">SUMPRODUCT(("T_C-ICE-NGA-S2"=[1]OUT_TransportEnergyCons!$A$3:$A$1000)*1,("var_fout"=[1]OUT_TransportEnergyCons!$B$3:$B$1000)*1,ISNUMBER(SEARCH("TPCAR",[1]OUT_TransportEnergyCons!$C$3:$C$1000))*1,[1]OUT_TransportEnergyCons!O$3:O$1000)</f>
        <v>0</v>
      </c>
      <c r="S1261" s="3"/>
    </row>
    <row r="1262" spans="2:19" x14ac:dyDescent="0.5">
      <c r="B1262" s="5" t="str">
        <f t="shared" si="1401"/>
        <v>SPS1</v>
      </c>
      <c r="C1262" s="5" t="str">
        <f t="shared" si="1402"/>
        <v>CH</v>
      </c>
      <c r="D1262" t="s">
        <v>1179</v>
      </c>
      <c r="E1262" t="str">
        <f t="shared" si="140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2.0118738558170812E-3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2.0094699634675803E-3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2.2607954016688812E-3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1.7862050706845541E-4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2.8882152586763275E-5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0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0</v>
      </c>
      <c r="M1262" s="1" cm="1">
        <f t="array" ref="M1262">SUMPRODUCT(("T_C-ICE-NGA-S3"=[1]OUT_TransportEnergyCons!$A$3:$A$1000)*1,("var_fout"=[1]OUT_TransportEnergyCons!$B$3:$B$1000)*1,ISNUMBER(SEARCH("TPCAR",[1]OUT_TransportEnergyCons!$C$3:$C$1000))*1,[1]OUT_TransportEnergyCons!K$3:K$1000)</f>
        <v>0</v>
      </c>
      <c r="N1262" s="1" cm="1">
        <f t="array" ref="N1262">SUMPRODUCT(("T_C-ICE-NGA-S3"=[1]OUT_TransportEnergyCons!$A$3:$A$1000)*1,("var_fout"=[1]OUT_TransportEnergyCons!$B$3:$B$1000)*1,ISNUMBER(SEARCH("TPCAR",[1]OUT_TransportEnergyCons!$C$3:$C$1000))*1,[1]OUT_TransportEnergyCons!L$3:L$1000)</f>
        <v>0</v>
      </c>
      <c r="O1262" s="1" cm="1">
        <f t="array" ref="O1262">SUMPRODUCT(("T_C-ICE-NGA-S3"=[1]OUT_TransportEnergyCons!$A$3:$A$1000)*1,("var_fout"=[1]OUT_TransportEnergyCons!$B$3:$B$1000)*1,ISNUMBER(SEARCH("TPCAR",[1]OUT_TransportEnergyCons!$C$3:$C$1000))*1,[1]OUT_TransportEnergyCons!M$3:M$1000)</f>
        <v>0</v>
      </c>
      <c r="P1262" s="1" cm="1">
        <f t="array" ref="P1262">SUMPRODUCT(("T_C-ICE-NGA-S3"=[1]OUT_TransportEnergyCons!$A$3:$A$1000)*1,("var_fout"=[1]OUT_TransportEnergyCons!$B$3:$B$1000)*1,ISNUMBER(SEARCH("TPCAR",[1]OUT_TransportEnergyCons!$C$3:$C$1000))*1,[1]OUT_TransportEnergyCons!N$3:N$1000)</f>
        <v>0</v>
      </c>
      <c r="Q1262" s="1" cm="1">
        <f t="array" ref="Q1262">SUMPRODUCT(("T_C-ICE-NGA-S3"=[1]OUT_TransportEnergyCons!$A$3:$A$1000)*1,("var_fout"=[1]OUT_TransportEnergyCons!$B$3:$B$1000)*1,ISNUMBER(SEARCH("TPCAR",[1]OUT_TransportEnergyCons!$C$3:$C$1000))*1,[1]OUT_TransportEnergyCons!O$3:O$1000)</f>
        <v>0</v>
      </c>
      <c r="S1262" s="3"/>
    </row>
    <row r="1263" spans="2:19" x14ac:dyDescent="0.5">
      <c r="B1263" s="5" t="str">
        <f t="shared" si="1401"/>
        <v>SPS1</v>
      </c>
      <c r="C1263" s="5" t="str">
        <f t="shared" si="1402"/>
        <v>CH</v>
      </c>
      <c r="D1263" t="s">
        <v>1180</v>
      </c>
      <c r="E1263" t="str">
        <f t="shared" si="140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3.2969697212531353E-2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3.2173473840255526E-2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2.9925162349150609E-2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0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0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0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0</v>
      </c>
      <c r="M1263" s="1" cm="1">
        <f t="array" ref="M1263">SUMPRODUCT(("T_C-ICE-NGA-S4"=[1]OUT_TransportEnergyCons!$A$3:$A$1000)*1,("var_fout"=[1]OUT_TransportEnergyCons!$B$3:$B$1000)*1,ISNUMBER(SEARCH("TPCAR",[1]OUT_TransportEnergyCons!$C$3:$C$1000))*1,[1]OUT_TransportEnergyCons!K$3:K$1000)</f>
        <v>0</v>
      </c>
      <c r="N1263" s="1" cm="1">
        <f t="array" ref="N1263">SUMPRODUCT(("T_C-ICE-NGA-S4"=[1]OUT_TransportEnergyCons!$A$3:$A$1000)*1,("var_fout"=[1]OUT_TransportEnergyCons!$B$3:$B$1000)*1,ISNUMBER(SEARCH("TPCAR",[1]OUT_TransportEnergyCons!$C$3:$C$1000))*1,[1]OUT_TransportEnergyCons!L$3:L$1000)</f>
        <v>0</v>
      </c>
      <c r="O1263" s="1" cm="1">
        <f t="array" ref="O1263">SUMPRODUCT(("T_C-ICE-NGA-S4"=[1]OUT_TransportEnergyCons!$A$3:$A$1000)*1,("var_fout"=[1]OUT_TransportEnergyCons!$B$3:$B$1000)*1,ISNUMBER(SEARCH("TPCAR",[1]OUT_TransportEnergyCons!$C$3:$C$1000))*1,[1]OUT_TransportEnergyCons!M$3:M$1000)</f>
        <v>0</v>
      </c>
      <c r="P1263" s="1" cm="1">
        <f t="array" ref="P1263">SUMPRODUCT(("T_C-ICE-NGA-S4"=[1]OUT_TransportEnergyCons!$A$3:$A$1000)*1,("var_fout"=[1]OUT_TransportEnergyCons!$B$3:$B$1000)*1,ISNUMBER(SEARCH("TPCAR",[1]OUT_TransportEnergyCons!$C$3:$C$1000))*1,[1]OUT_TransportEnergyCons!N$3:N$1000)</f>
        <v>0</v>
      </c>
      <c r="Q1263" s="1" cm="1">
        <f t="array" ref="Q1263">SUMPRODUCT(("T_C-ICE-NGA-S4"=[1]OUT_TransportEnergyCons!$A$3:$A$1000)*1,("var_fout"=[1]OUT_TransportEnergyCons!$B$3:$B$1000)*1,ISNUMBER(SEARCH("TPCAR",[1]OUT_TransportEnergyCons!$C$3:$C$1000))*1,[1]OUT_TransportEnergyCons!O$3:O$1000)</f>
        <v>0</v>
      </c>
      <c r="S1263" s="3"/>
    </row>
    <row r="1264" spans="2:19" x14ac:dyDescent="0.5">
      <c r="B1264" s="5" t="str">
        <f t="shared" si="1401"/>
        <v>SPS1</v>
      </c>
      <c r="C1264" s="5" t="str">
        <f t="shared" si="1402"/>
        <v>CH</v>
      </c>
      <c r="D1264" s="2" t="s">
        <v>1130</v>
      </c>
      <c r="E1264" s="2" t="s">
        <v>1229</v>
      </c>
      <c r="F1264" s="19" t="s">
        <v>292</v>
      </c>
      <c r="G1264" s="19" t="s">
        <v>292</v>
      </c>
      <c r="H1264" s="19" t="s">
        <v>292</v>
      </c>
      <c r="I1264" s="19" t="s">
        <v>292</v>
      </c>
      <c r="J1264" s="19" t="s">
        <v>292</v>
      </c>
      <c r="K1264" s="19" t="s">
        <v>292</v>
      </c>
      <c r="L1264" s="19" t="s">
        <v>292</v>
      </c>
      <c r="M1264" s="19" t="s">
        <v>292</v>
      </c>
      <c r="N1264" s="19" t="s">
        <v>292</v>
      </c>
      <c r="O1264" s="19" t="s">
        <v>292</v>
      </c>
      <c r="P1264" s="19" t="s">
        <v>292</v>
      </c>
      <c r="Q1264" s="19" t="s">
        <v>292</v>
      </c>
      <c r="S1264" s="3"/>
    </row>
    <row r="1265" spans="2:19" x14ac:dyDescent="0.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403">IFERROR(F1214/F1138,"-")</f>
        <v>0.88951199431361383</v>
      </c>
      <c r="G1265" s="1">
        <f t="shared" si="1403"/>
        <v>0.95694536964701982</v>
      </c>
      <c r="H1265" s="1">
        <f t="shared" si="1403"/>
        <v>1.0580954326471264</v>
      </c>
      <c r="I1265" s="1">
        <f t="shared" si="1403"/>
        <v>1.2266788709806373</v>
      </c>
      <c r="J1265" s="1" t="str">
        <f t="shared" si="1403"/>
        <v>-</v>
      </c>
      <c r="K1265" s="1" t="str">
        <f t="shared" si="1403"/>
        <v>-</v>
      </c>
      <c r="L1265" s="1" t="str">
        <f t="shared" ref="L1265:O1265" si="1404">IFERROR(L1214/L1138,"-")</f>
        <v>-</v>
      </c>
      <c r="M1265" s="1" t="str">
        <f t="shared" si="1404"/>
        <v>-</v>
      </c>
      <c r="N1265" s="1" t="str">
        <f t="shared" si="1404"/>
        <v>-</v>
      </c>
      <c r="O1265" s="1" t="str">
        <f t="shared" si="1404"/>
        <v>-</v>
      </c>
      <c r="P1265" s="1" t="str">
        <f t="shared" ref="P1265:Q1269" si="1405">IFERROR(P1214/P1138,"-")</f>
        <v>-</v>
      </c>
      <c r="Q1265" s="1" t="str">
        <f t="shared" si="1405"/>
        <v>-</v>
      </c>
      <c r="S1265" s="3"/>
    </row>
    <row r="1266" spans="2:19" x14ac:dyDescent="0.5">
      <c r="B1266" s="5" t="str">
        <f t="shared" ref="B1266:B1314" si="1406">B1265</f>
        <v>SPS1</v>
      </c>
      <c r="C1266" s="5" t="str">
        <f t="shared" ref="C1266:C1314" si="1407">C1265</f>
        <v>CH</v>
      </c>
      <c r="D1266" t="s">
        <v>1182</v>
      </c>
      <c r="E1266" t="str">
        <f t="shared" ref="E1266:E1314" si="1408">E1265</f>
        <v>km/MJ</v>
      </c>
      <c r="F1266" s="1">
        <f t="shared" si="1403"/>
        <v>1.8116719735064479</v>
      </c>
      <c r="G1266" s="1">
        <f t="shared" si="1403"/>
        <v>1.8116719735064462</v>
      </c>
      <c r="H1266" s="1">
        <f t="shared" si="1403"/>
        <v>1.811671973506449</v>
      </c>
      <c r="I1266" s="1">
        <f t="shared" si="1403"/>
        <v>1.8116719735064519</v>
      </c>
      <c r="J1266" s="1">
        <f t="shared" si="1403"/>
        <v>1.8646005310032343</v>
      </c>
      <c r="K1266" s="1">
        <f t="shared" si="1403"/>
        <v>1.9171194990065195</v>
      </c>
      <c r="L1266" s="1">
        <f t="shared" ref="L1266:O1266" si="1409">IFERROR(L1215/L1139,"-")</f>
        <v>2.0060616768210489</v>
      </c>
      <c r="M1266" s="1">
        <f t="shared" si="1409"/>
        <v>2.1177402379453594</v>
      </c>
      <c r="N1266" s="1">
        <f t="shared" si="1409"/>
        <v>2.2119910601888719</v>
      </c>
      <c r="O1266" s="1">
        <f t="shared" si="1409"/>
        <v>2.3265058559001246</v>
      </c>
      <c r="P1266" s="1">
        <f t="shared" si="1405"/>
        <v>2.3987139204216952</v>
      </c>
      <c r="Q1266" s="1">
        <f t="shared" si="1405"/>
        <v>2.4388889884859593</v>
      </c>
      <c r="S1266" s="3"/>
    </row>
    <row r="1267" spans="2:19" x14ac:dyDescent="0.5">
      <c r="B1267" s="5" t="str">
        <f t="shared" si="1406"/>
        <v>SPS1</v>
      </c>
      <c r="C1267" s="5" t="str">
        <f t="shared" si="1407"/>
        <v>CH</v>
      </c>
      <c r="D1267" t="s">
        <v>1183</v>
      </c>
      <c r="E1267" t="str">
        <f t="shared" si="1408"/>
        <v>km/MJ</v>
      </c>
      <c r="F1267" s="1">
        <f t="shared" si="1403"/>
        <v>1.4637982671179675</v>
      </c>
      <c r="G1267" s="1">
        <f t="shared" si="1403"/>
        <v>1.4637982671179706</v>
      </c>
      <c r="H1267" s="1">
        <f t="shared" si="1403"/>
        <v>1.4637982671179681</v>
      </c>
      <c r="I1267" s="1">
        <f t="shared" si="1403"/>
        <v>1.4637982671179703</v>
      </c>
      <c r="J1267" s="1">
        <f t="shared" si="1403"/>
        <v>1.5182587389006583</v>
      </c>
      <c r="K1267" s="1">
        <f t="shared" si="1403"/>
        <v>1.5506602844162625</v>
      </c>
      <c r="L1267" s="1">
        <f t="shared" ref="L1267:O1267" si="1410">IFERROR(L1216/L1140,"-")</f>
        <v>1.6153287232760374</v>
      </c>
      <c r="M1267" s="1">
        <f t="shared" si="1410"/>
        <v>1.7364615109802704</v>
      </c>
      <c r="N1267" s="1">
        <f t="shared" si="1410"/>
        <v>1.8055003262774267</v>
      </c>
      <c r="O1267" s="1">
        <f t="shared" si="1410"/>
        <v>1.8982979732450518</v>
      </c>
      <c r="P1267" s="1">
        <f t="shared" si="1405"/>
        <v>1.9686335480467976</v>
      </c>
      <c r="Q1267" s="1">
        <f t="shared" si="1405"/>
        <v>2.0020171865354324</v>
      </c>
      <c r="S1267" s="3"/>
    </row>
    <row r="1268" spans="2:19" x14ac:dyDescent="0.5">
      <c r="B1268" s="5" t="str">
        <f t="shared" si="1406"/>
        <v>SPS1</v>
      </c>
      <c r="C1268" s="5" t="str">
        <f t="shared" si="1407"/>
        <v>CH</v>
      </c>
      <c r="D1268" t="s">
        <v>1184</v>
      </c>
      <c r="E1268" t="str">
        <f t="shared" si="1408"/>
        <v>km/MJ</v>
      </c>
      <c r="F1268" s="1">
        <f t="shared" si="1403"/>
        <v>1.3374527251492003</v>
      </c>
      <c r="G1268" s="1">
        <f t="shared" si="1403"/>
        <v>1.3374527251492008</v>
      </c>
      <c r="H1268" s="1">
        <f t="shared" si="1403"/>
        <v>1.3374527251492012</v>
      </c>
      <c r="I1268" s="1">
        <f t="shared" si="1403"/>
        <v>1.3374527251491979</v>
      </c>
      <c r="J1268" s="1">
        <f t="shared" si="1403"/>
        <v>1.4061797663552011</v>
      </c>
      <c r="K1268" s="1">
        <f t="shared" si="1403"/>
        <v>1.4715782918819045</v>
      </c>
      <c r="L1268" s="1">
        <f t="shared" ref="L1268:O1268" si="1411">IFERROR(L1217/L1141,"-")</f>
        <v>1.4794745834198939</v>
      </c>
      <c r="M1268" s="1">
        <f t="shared" si="1411"/>
        <v>1.5977609766523815</v>
      </c>
      <c r="N1268" s="1">
        <f t="shared" si="1411"/>
        <v>1.6749531768439887</v>
      </c>
      <c r="O1268" s="1">
        <f t="shared" si="1411"/>
        <v>1.7537176021338343</v>
      </c>
      <c r="P1268" s="1">
        <f t="shared" si="1405"/>
        <v>1.8182001177927398</v>
      </c>
      <c r="Q1268" s="1">
        <f t="shared" si="1405"/>
        <v>1.834967497667469</v>
      </c>
      <c r="S1268" s="3"/>
    </row>
    <row r="1269" spans="2:19" x14ac:dyDescent="0.5">
      <c r="B1269" s="5" t="str">
        <f t="shared" si="1406"/>
        <v>SPS1</v>
      </c>
      <c r="C1269" s="5" t="str">
        <f t="shared" si="1407"/>
        <v>CH</v>
      </c>
      <c r="D1269" t="s">
        <v>1185</v>
      </c>
      <c r="E1269" t="str">
        <f t="shared" si="1408"/>
        <v>km/MJ</v>
      </c>
      <c r="F1269" s="1">
        <f t="shared" si="1403"/>
        <v>1.2949729235430805</v>
      </c>
      <c r="G1269" s="1">
        <f t="shared" si="1403"/>
        <v>1.2949729235430822</v>
      </c>
      <c r="H1269" s="1">
        <f t="shared" si="1403"/>
        <v>1.2949729235430807</v>
      </c>
      <c r="I1269" s="1">
        <f t="shared" si="1403"/>
        <v>1.2949729235430818</v>
      </c>
      <c r="J1269" s="1">
        <f t="shared" si="1403"/>
        <v>1.3282522154365282</v>
      </c>
      <c r="K1269" s="1">
        <f t="shared" si="1403"/>
        <v>1.3760437950906155</v>
      </c>
      <c r="L1269" s="1">
        <f t="shared" ref="L1269:O1269" si="1412">IFERROR(L1218/L1142,"-")</f>
        <v>1.4444448000176244</v>
      </c>
      <c r="M1269" s="1">
        <f t="shared" si="1412"/>
        <v>1.5139839224342</v>
      </c>
      <c r="N1269" s="1">
        <f t="shared" si="1412"/>
        <v>1.5804891377427974</v>
      </c>
      <c r="O1269" s="1">
        <f t="shared" si="1412"/>
        <v>1.6460788346120538</v>
      </c>
      <c r="P1269" s="1">
        <f t="shared" si="1405"/>
        <v>1.6806938315948865</v>
      </c>
      <c r="Q1269" s="1">
        <f t="shared" si="1405"/>
        <v>1.732068233338897</v>
      </c>
      <c r="S1269" s="3"/>
    </row>
    <row r="1270" spans="2:19" x14ac:dyDescent="0.5">
      <c r="B1270" s="5" t="str">
        <f t="shared" si="1406"/>
        <v>SPS1</v>
      </c>
      <c r="C1270" s="5" t="str">
        <f t="shared" si="1407"/>
        <v>CH</v>
      </c>
      <c r="D1270" t="s">
        <v>1186</v>
      </c>
      <c r="E1270" t="str">
        <f t="shared" si="1408"/>
        <v>km/MJ</v>
      </c>
      <c r="F1270" s="1">
        <f t="shared" ref="F1270:K1273" si="1413">IFERROR(F1219/SUM(F1143,F1176),"-")</f>
        <v>0.71166488510728632</v>
      </c>
      <c r="G1270" s="1">
        <f t="shared" si="1413"/>
        <v>0.76009310190245616</v>
      </c>
      <c r="H1270" s="1">
        <f t="shared" si="1413"/>
        <v>0.77195428491165829</v>
      </c>
      <c r="I1270" s="1">
        <f t="shared" si="1413"/>
        <v>0.81120002748380304</v>
      </c>
      <c r="J1270" s="1">
        <f t="shared" si="1413"/>
        <v>0.8419471276933872</v>
      </c>
      <c r="K1270" s="1">
        <f t="shared" si="1413"/>
        <v>0.92618157204684937</v>
      </c>
      <c r="L1270" s="1">
        <f t="shared" ref="L1270:O1270" si="1414">IFERROR(L1219/SUM(L1143,L1176),"-")</f>
        <v>1.0102259700357132</v>
      </c>
      <c r="M1270" s="1">
        <f t="shared" si="1414"/>
        <v>1.1314477425593452</v>
      </c>
      <c r="N1270" s="1">
        <f t="shared" si="1414"/>
        <v>1.2430697375325399</v>
      </c>
      <c r="O1270" s="1">
        <f t="shared" si="1414"/>
        <v>1.3388317242496937</v>
      </c>
      <c r="P1270" s="1">
        <f t="shared" ref="P1270:Q1273" si="1415">IFERROR(P1219/SUM(P1143,P1176),"-")</f>
        <v>1.3775612658555254</v>
      </c>
      <c r="Q1270" s="1">
        <f t="shared" si="1415"/>
        <v>1.4337668300862481</v>
      </c>
      <c r="S1270" s="3"/>
    </row>
    <row r="1271" spans="2:19" x14ac:dyDescent="0.5">
      <c r="B1271" s="5" t="str">
        <f t="shared" si="1406"/>
        <v>SPS1</v>
      </c>
      <c r="C1271" s="5" t="str">
        <f t="shared" si="1407"/>
        <v>CH</v>
      </c>
      <c r="D1271" t="s">
        <v>1187</v>
      </c>
      <c r="E1271" t="str">
        <f t="shared" si="1408"/>
        <v>km/MJ</v>
      </c>
      <c r="F1271" s="1">
        <f t="shared" si="1413"/>
        <v>0.59615633826804038</v>
      </c>
      <c r="G1271" s="1">
        <f t="shared" si="1413"/>
        <v>0.58954745925154928</v>
      </c>
      <c r="H1271" s="1">
        <f t="shared" si="1413"/>
        <v>0.59492907790663663</v>
      </c>
      <c r="I1271" s="1">
        <f t="shared" si="1413"/>
        <v>0.5959332629508296</v>
      </c>
      <c r="J1271" s="1">
        <f t="shared" si="1413"/>
        <v>0.69882309190609893</v>
      </c>
      <c r="K1271" s="1">
        <f t="shared" si="1413"/>
        <v>0.77513629690881392</v>
      </c>
      <c r="L1271" s="1">
        <f t="shared" ref="L1271:O1271" si="1416">IFERROR(L1220/SUM(L1144,L1177),"-")</f>
        <v>0.85431003150839624</v>
      </c>
      <c r="M1271" s="1">
        <f t="shared" si="1416"/>
        <v>0.97404088302068836</v>
      </c>
      <c r="N1271" s="1">
        <f t="shared" si="1416"/>
        <v>1.1020082442712267</v>
      </c>
      <c r="O1271" s="1">
        <f t="shared" si="1416"/>
        <v>1.1734792140714725</v>
      </c>
      <c r="P1271" s="1">
        <f t="shared" si="1415"/>
        <v>1.204176913236759</v>
      </c>
      <c r="Q1271" s="1">
        <f t="shared" si="1415"/>
        <v>1.2455511646498669</v>
      </c>
      <c r="S1271" s="3"/>
    </row>
    <row r="1272" spans="2:19" x14ac:dyDescent="0.5">
      <c r="B1272" s="5" t="str">
        <f t="shared" si="1406"/>
        <v>SPS1</v>
      </c>
      <c r="C1272" s="5" t="str">
        <f t="shared" si="1407"/>
        <v>CH</v>
      </c>
      <c r="D1272" t="s">
        <v>1188</v>
      </c>
      <c r="E1272" t="str">
        <f t="shared" si="1408"/>
        <v>km/MJ</v>
      </c>
      <c r="F1272" s="1">
        <f t="shared" si="1413"/>
        <v>0.54553544759062766</v>
      </c>
      <c r="G1272" s="1">
        <f t="shared" si="1413"/>
        <v>0.60404042062293317</v>
      </c>
      <c r="H1272" s="1">
        <f t="shared" si="1413"/>
        <v>0.61793048746295554</v>
      </c>
      <c r="I1272" s="1">
        <f t="shared" si="1413"/>
        <v>0.66531809469857905</v>
      </c>
      <c r="J1272" s="1">
        <f t="shared" si="1413"/>
        <v>0.68010347685641004</v>
      </c>
      <c r="K1272" s="1">
        <f t="shared" si="1413"/>
        <v>0.772246665047994</v>
      </c>
      <c r="L1272" s="1">
        <f t="shared" ref="L1272:O1272" si="1417">IFERROR(L1221/SUM(L1145,L1178),"-")</f>
        <v>0.85683859058324185</v>
      </c>
      <c r="M1272" s="1">
        <f t="shared" si="1417"/>
        <v>0.96685070789498451</v>
      </c>
      <c r="N1272" s="1">
        <f t="shared" si="1417"/>
        <v>1.1358033790896709</v>
      </c>
      <c r="O1272" s="1">
        <f t="shared" si="1417"/>
        <v>1.1898323327889235</v>
      </c>
      <c r="P1272" s="1">
        <f t="shared" si="1415"/>
        <v>1.2206024842548604</v>
      </c>
      <c r="Q1272" s="1">
        <f t="shared" si="1415"/>
        <v>1.2591248131612489</v>
      </c>
      <c r="S1272" s="3"/>
    </row>
    <row r="1273" spans="2:19" x14ac:dyDescent="0.5">
      <c r="B1273" s="5" t="str">
        <f t="shared" si="1406"/>
        <v>SPS1</v>
      </c>
      <c r="C1273" s="5" t="str">
        <f t="shared" si="1407"/>
        <v>CH</v>
      </c>
      <c r="D1273" t="s">
        <v>1189</v>
      </c>
      <c r="E1273" t="str">
        <f t="shared" si="1408"/>
        <v>km/MJ</v>
      </c>
      <c r="F1273" s="1">
        <f t="shared" si="1413"/>
        <v>0.5197556847366589</v>
      </c>
      <c r="G1273" s="1">
        <f t="shared" si="1413"/>
        <v>0.520846863411912</v>
      </c>
      <c r="H1273" s="1">
        <f t="shared" si="1413"/>
        <v>0.5228985753028812</v>
      </c>
      <c r="I1273" s="1">
        <f t="shared" si="1413"/>
        <v>0.55116256208130465</v>
      </c>
      <c r="J1273" s="1">
        <f t="shared" si="1413"/>
        <v>0.63785414504331994</v>
      </c>
      <c r="K1273" s="1">
        <f t="shared" si="1413"/>
        <v>0.70794017621221816</v>
      </c>
      <c r="L1273" s="1">
        <f t="shared" ref="L1273:O1273" si="1418">IFERROR(L1222/SUM(L1146,L1179),"-")</f>
        <v>0.77913245517572438</v>
      </c>
      <c r="M1273" s="1">
        <f t="shared" si="1418"/>
        <v>0.8878339040679446</v>
      </c>
      <c r="N1273" s="1">
        <f t="shared" si="1418"/>
        <v>1.0371285499004324</v>
      </c>
      <c r="O1273" s="1">
        <f t="shared" si="1418"/>
        <v>1.0976199797177024</v>
      </c>
      <c r="P1273" s="1">
        <f t="shared" si="1415"/>
        <v>1.1323454354730236</v>
      </c>
      <c r="Q1273" s="1">
        <f t="shared" si="1415"/>
        <v>1.1446405429131787</v>
      </c>
      <c r="S1273" s="3"/>
    </row>
    <row r="1274" spans="2:19" x14ac:dyDescent="0.5">
      <c r="B1274" s="5" t="str">
        <f t="shared" si="1406"/>
        <v>SPS1</v>
      </c>
      <c r="C1274" s="5" t="str">
        <f t="shared" si="1407"/>
        <v>CH</v>
      </c>
      <c r="D1274" t="s">
        <v>1190</v>
      </c>
      <c r="E1274" t="str">
        <f t="shared" si="1408"/>
        <v>km/MJ</v>
      </c>
      <c r="F1274" s="1">
        <f t="shared" ref="F1274:K1277" si="1419">IFERROR(F1223/SUM(F1147,F1199),"-")</f>
        <v>0.72840569582556935</v>
      </c>
      <c r="G1274" s="1">
        <f t="shared" si="1419"/>
        <v>0.77503662044649035</v>
      </c>
      <c r="H1274" s="1">
        <f t="shared" si="1419"/>
        <v>0.78695314030140162</v>
      </c>
      <c r="I1274" s="1">
        <f t="shared" si="1419"/>
        <v>0.82632448759068666</v>
      </c>
      <c r="J1274" s="1">
        <f t="shared" si="1419"/>
        <v>0.85569476795691279</v>
      </c>
      <c r="K1274" s="1">
        <f t="shared" si="1419"/>
        <v>0.93926761210088761</v>
      </c>
      <c r="L1274" s="1">
        <f t="shared" ref="L1274:O1274" si="1420">IFERROR(L1223/SUM(L1147,L1199),"-")</f>
        <v>1.0193229470406135</v>
      </c>
      <c r="M1274" s="1">
        <f t="shared" si="1420"/>
        <v>1.1514941628497484</v>
      </c>
      <c r="N1274" s="1">
        <f t="shared" si="1420"/>
        <v>1.2813741442782918</v>
      </c>
      <c r="O1274" s="1">
        <f t="shared" si="1420"/>
        <v>1.3331754968609459</v>
      </c>
      <c r="P1274" s="1">
        <f t="shared" ref="P1274:Q1277" si="1421">IFERROR(P1223/SUM(P1147,P1199),"-")</f>
        <v>1.3522752913598393</v>
      </c>
      <c r="Q1274" s="1">
        <f t="shared" si="1421"/>
        <v>1.4099564431068072</v>
      </c>
      <c r="S1274" s="3"/>
    </row>
    <row r="1275" spans="2:19" x14ac:dyDescent="0.5">
      <c r="B1275" s="5" t="str">
        <f t="shared" si="1406"/>
        <v>SPS1</v>
      </c>
      <c r="C1275" s="5" t="str">
        <f t="shared" si="1407"/>
        <v>CH</v>
      </c>
      <c r="D1275" t="s">
        <v>1191</v>
      </c>
      <c r="E1275" t="str">
        <f t="shared" si="1408"/>
        <v>km/MJ</v>
      </c>
      <c r="F1275" s="1">
        <f t="shared" si="1419"/>
        <v>0.52704967987569284</v>
      </c>
      <c r="G1275" s="1">
        <f t="shared" si="1419"/>
        <v>0.6385204672139998</v>
      </c>
      <c r="H1275" s="1">
        <f t="shared" si="1419"/>
        <v>0.64769640235034054</v>
      </c>
      <c r="I1275" s="1">
        <f t="shared" si="1419"/>
        <v>0.63920642090258406</v>
      </c>
      <c r="J1275" s="1">
        <f t="shared" si="1419"/>
        <v>0.70790819338134137</v>
      </c>
      <c r="K1275" s="1">
        <f t="shared" si="1419"/>
        <v>0.7842008126869574</v>
      </c>
      <c r="L1275" s="1">
        <f t="shared" ref="L1275:O1275" si="1422">IFERROR(L1224/SUM(L1148,L1200),"-")</f>
        <v>0.86819768634083516</v>
      </c>
      <c r="M1275" s="1">
        <f t="shared" si="1422"/>
        <v>0.98111652042186803</v>
      </c>
      <c r="N1275" s="1">
        <f t="shared" si="1422"/>
        <v>1.1025643250841257</v>
      </c>
      <c r="O1275" s="1">
        <f t="shared" si="1422"/>
        <v>1.1617301681142058</v>
      </c>
      <c r="P1275" s="1">
        <f t="shared" si="1421"/>
        <v>1.1823087653155222</v>
      </c>
      <c r="Q1275" s="1">
        <f t="shared" si="1421"/>
        <v>1.2319319780761731</v>
      </c>
      <c r="S1275" s="3"/>
    </row>
    <row r="1276" spans="2:19" x14ac:dyDescent="0.5">
      <c r="B1276" s="5" t="str">
        <f t="shared" si="1406"/>
        <v>SPS1</v>
      </c>
      <c r="C1276" s="5" t="str">
        <f t="shared" si="1407"/>
        <v>CH</v>
      </c>
      <c r="D1276" t="s">
        <v>1192</v>
      </c>
      <c r="E1276" t="str">
        <f t="shared" si="1408"/>
        <v>km/MJ</v>
      </c>
      <c r="F1276" s="1">
        <f t="shared" si="1419"/>
        <v>0.54976497868013996</v>
      </c>
      <c r="G1276" s="1">
        <f t="shared" si="1419"/>
        <v>0.61233123112363708</v>
      </c>
      <c r="H1276" s="1">
        <f t="shared" si="1419"/>
        <v>0.62626253762870776</v>
      </c>
      <c r="I1276" s="1">
        <f t="shared" si="1419"/>
        <v>0.67373995682251242</v>
      </c>
      <c r="J1276" s="1">
        <f t="shared" si="1419"/>
        <v>0.68865303230514863</v>
      </c>
      <c r="K1276" s="1">
        <f t="shared" si="1419"/>
        <v>0.78096765848921201</v>
      </c>
      <c r="L1276" s="1">
        <f t="shared" ref="L1276:O1276" si="1423">IFERROR(L1225/SUM(L1149,L1201),"-")</f>
        <v>0.86454641874005145</v>
      </c>
      <c r="M1276" s="1">
        <f t="shared" si="1423"/>
        <v>0.97395570942421639</v>
      </c>
      <c r="N1276" s="1">
        <f t="shared" si="1423"/>
        <v>1.1442491375435804</v>
      </c>
      <c r="O1276" s="1">
        <f t="shared" si="1423"/>
        <v>1.1752012650478514</v>
      </c>
      <c r="P1276" s="1">
        <f t="shared" si="1421"/>
        <v>1.1951953145789986</v>
      </c>
      <c r="Q1276" s="1">
        <f t="shared" si="1421"/>
        <v>1.2365457972394638</v>
      </c>
      <c r="S1276" s="3"/>
    </row>
    <row r="1277" spans="2:19" x14ac:dyDescent="0.5">
      <c r="B1277" s="5" t="str">
        <f t="shared" si="1406"/>
        <v>SPS1</v>
      </c>
      <c r="C1277" s="5" t="str">
        <f t="shared" si="1407"/>
        <v>CH</v>
      </c>
      <c r="D1277" t="s">
        <v>1193</v>
      </c>
      <c r="E1277" t="str">
        <f t="shared" si="1408"/>
        <v>km/MJ</v>
      </c>
      <c r="F1277" s="1">
        <f t="shared" si="1419"/>
        <v>0.52694223241112792</v>
      </c>
      <c r="G1277" s="1">
        <f t="shared" si="1419"/>
        <v>0.53115770795815187</v>
      </c>
      <c r="H1277" s="1">
        <f t="shared" si="1419"/>
        <v>0.54099303476682326</v>
      </c>
      <c r="I1277" s="1">
        <f t="shared" si="1419"/>
        <v>0.55326133112461462</v>
      </c>
      <c r="J1277" s="1">
        <f t="shared" si="1419"/>
        <v>0.64542159299096102</v>
      </c>
      <c r="K1277" s="1">
        <f t="shared" si="1419"/>
        <v>0.7175494714805557</v>
      </c>
      <c r="L1277" s="1">
        <f t="shared" ref="L1277:O1277" si="1424">IFERROR(L1226/SUM(L1150,L1202),"-")</f>
        <v>0.79108759333719481</v>
      </c>
      <c r="M1277" s="1">
        <f t="shared" si="1424"/>
        <v>0.89346794259824058</v>
      </c>
      <c r="N1277" s="1">
        <f t="shared" si="1424"/>
        <v>1.0447724289303579</v>
      </c>
      <c r="O1277" s="1">
        <f t="shared" si="1424"/>
        <v>1.1052756850007277</v>
      </c>
      <c r="P1277" s="1">
        <f t="shared" si="1421"/>
        <v>1.1396917621316234</v>
      </c>
      <c r="Q1277" s="1">
        <f t="shared" si="1421"/>
        <v>1.1519050182557344</v>
      </c>
      <c r="S1277" s="3"/>
    </row>
    <row r="1278" spans="2:19" x14ac:dyDescent="0.5">
      <c r="B1278" s="5" t="str">
        <f t="shared" si="1406"/>
        <v>SPS1</v>
      </c>
      <c r="C1278" s="5" t="str">
        <f t="shared" si="1407"/>
        <v>CH</v>
      </c>
      <c r="D1278" t="s">
        <v>1194</v>
      </c>
      <c r="E1278" t="str">
        <f t="shared" si="1408"/>
        <v>km/MJ</v>
      </c>
      <c r="F1278" s="1" t="str">
        <f>IFERROR(F1227/F1153,"-")</f>
        <v>-</v>
      </c>
      <c r="G1278" s="1">
        <f t="shared" ref="G1278:K1278" si="1425">IFERROR(G1227/G1153,"-")</f>
        <v>1.0965696656165203</v>
      </c>
      <c r="H1278" s="1">
        <f t="shared" si="1425"/>
        <v>1.0965696656165194</v>
      </c>
      <c r="I1278" s="1">
        <f t="shared" si="1425"/>
        <v>1.0965696656165194</v>
      </c>
      <c r="J1278" s="1">
        <f t="shared" si="1425"/>
        <v>1.1591052460786611</v>
      </c>
      <c r="K1278" s="1">
        <f t="shared" si="1425"/>
        <v>1.224412923463986</v>
      </c>
      <c r="L1278" s="1">
        <f t="shared" ref="L1278:O1278" si="1426">IFERROR(L1227/L1153,"-")</f>
        <v>1.2966319960992703</v>
      </c>
      <c r="M1278" s="1">
        <f t="shared" si="1426"/>
        <v>1.3632538177360538</v>
      </c>
      <c r="N1278" s="1">
        <f t="shared" si="1426"/>
        <v>1.4525535627629946</v>
      </c>
      <c r="O1278" s="1">
        <f t="shared" si="1426"/>
        <v>1.5716154258594435</v>
      </c>
      <c r="P1278" s="1" t="str">
        <f t="shared" ref="P1278:Q1281" si="1427">IFERROR(P1227/P1153,"-")</f>
        <v>-</v>
      </c>
      <c r="Q1278" s="1">
        <f t="shared" si="1427"/>
        <v>1.5777288834242402</v>
      </c>
      <c r="S1278" s="3"/>
    </row>
    <row r="1279" spans="2:19" x14ac:dyDescent="0.5">
      <c r="B1279" s="5" t="str">
        <f t="shared" si="1406"/>
        <v>SPS1</v>
      </c>
      <c r="C1279" s="5" t="str">
        <f t="shared" si="1407"/>
        <v>CH</v>
      </c>
      <c r="D1279" t="s">
        <v>1195</v>
      </c>
      <c r="E1279" t="str">
        <f t="shared" si="1408"/>
        <v>km/MJ</v>
      </c>
      <c r="F1279" s="1">
        <f t="shared" ref="F1279:K1279" si="1428">IFERROR(F1228/F1154,"-")</f>
        <v>0.8914951980616217</v>
      </c>
      <c r="G1279" s="1">
        <f t="shared" si="1428"/>
        <v>0.89149519806162136</v>
      </c>
      <c r="H1279" s="1">
        <f t="shared" si="1428"/>
        <v>0.89149519806162225</v>
      </c>
      <c r="I1279" s="1">
        <f t="shared" si="1428"/>
        <v>0.89149519806162125</v>
      </c>
      <c r="J1279" s="1">
        <f t="shared" si="1428"/>
        <v>0.91951930881136323</v>
      </c>
      <c r="K1279" s="1">
        <f t="shared" si="1428"/>
        <v>0.99104173805266038</v>
      </c>
      <c r="L1279" s="1">
        <f t="shared" ref="L1279:O1279" si="1429">IFERROR(L1228/L1154,"-")</f>
        <v>1.0482731505932772</v>
      </c>
      <c r="M1279" s="1">
        <f t="shared" si="1429"/>
        <v>1.1023071858684299</v>
      </c>
      <c r="N1279" s="1">
        <f t="shared" si="1429"/>
        <v>1.1788333486036102</v>
      </c>
      <c r="O1279" s="1">
        <f t="shared" si="1429"/>
        <v>1.2571334512484591</v>
      </c>
      <c r="P1279" s="1">
        <f t="shared" si="1427"/>
        <v>1.2867427416182626</v>
      </c>
      <c r="Q1279" s="1">
        <f t="shared" si="1427"/>
        <v>1.3008122928940116</v>
      </c>
      <c r="S1279" s="3"/>
    </row>
    <row r="1280" spans="2:19" x14ac:dyDescent="0.5">
      <c r="B1280" s="5" t="str">
        <f t="shared" si="1406"/>
        <v>SPS1</v>
      </c>
      <c r="C1280" s="5" t="str">
        <f t="shared" si="1407"/>
        <v>CH</v>
      </c>
      <c r="D1280" t="s">
        <v>1196</v>
      </c>
      <c r="E1280" t="str">
        <f t="shared" si="1408"/>
        <v>km/MJ</v>
      </c>
      <c r="F1280" s="1">
        <f t="shared" ref="F1280:K1280" si="1430">IFERROR(F1229/F1155,"-")</f>
        <v>0.83000507256490719</v>
      </c>
      <c r="G1280" s="1">
        <f t="shared" si="1430"/>
        <v>0.83000507256490696</v>
      </c>
      <c r="H1280" s="1">
        <f t="shared" si="1430"/>
        <v>0.83000507256490486</v>
      </c>
      <c r="I1280" s="1">
        <f t="shared" si="1430"/>
        <v>0.83000507256490641</v>
      </c>
      <c r="J1280" s="1">
        <f t="shared" si="1430"/>
        <v>0.85640783101795093</v>
      </c>
      <c r="K1280" s="1">
        <f t="shared" si="1430"/>
        <v>0.92773146926743633</v>
      </c>
      <c r="L1280" s="1">
        <f t="shared" ref="L1280:O1280" si="1431">IFERROR(L1229/L1155,"-")</f>
        <v>0.97630971739972983</v>
      </c>
      <c r="M1280" s="1">
        <f t="shared" si="1431"/>
        <v>1.0264862384914388</v>
      </c>
      <c r="N1280" s="1">
        <f t="shared" si="1431"/>
        <v>1.0929301259973208</v>
      </c>
      <c r="O1280" s="1">
        <f t="shared" si="1431"/>
        <v>1.1702797348935614</v>
      </c>
      <c r="P1280" s="1">
        <f t="shared" si="1427"/>
        <v>1.2003155310739522</v>
      </c>
      <c r="Q1280" s="1">
        <f t="shared" si="1427"/>
        <v>1.2153637426286799</v>
      </c>
      <c r="S1280" s="3"/>
    </row>
    <row r="1281" spans="2:19" x14ac:dyDescent="0.5">
      <c r="B1281" s="5" t="str">
        <f t="shared" si="1406"/>
        <v>SPS1</v>
      </c>
      <c r="C1281" s="5" t="str">
        <f t="shared" si="1407"/>
        <v>CH</v>
      </c>
      <c r="D1281" t="s">
        <v>1197</v>
      </c>
      <c r="E1281" t="str">
        <f t="shared" si="1408"/>
        <v>km/MJ</v>
      </c>
      <c r="F1281" s="1" t="str">
        <f t="shared" ref="F1281:K1281" si="1432">IFERROR(F1230/F1156,"-")</f>
        <v>-</v>
      </c>
      <c r="G1281" s="1">
        <f t="shared" si="1432"/>
        <v>0.83675282096654169</v>
      </c>
      <c r="H1281" s="1">
        <f t="shared" si="1432"/>
        <v>0.83675282096654258</v>
      </c>
      <c r="I1281" s="1">
        <f t="shared" si="1432"/>
        <v>0.83675282096654191</v>
      </c>
      <c r="J1281" s="1">
        <f t="shared" si="1432"/>
        <v>0.86523941538180416</v>
      </c>
      <c r="K1281" s="1">
        <f t="shared" si="1432"/>
        <v>0.92628009091952812</v>
      </c>
      <c r="L1281" s="1">
        <f t="shared" ref="L1281:O1281" si="1433">IFERROR(L1230/L1156,"-")</f>
        <v>0.97692398861938179</v>
      </c>
      <c r="M1281" s="1">
        <f t="shared" si="1433"/>
        <v>1.0247277555820431</v>
      </c>
      <c r="N1281" s="1">
        <f t="shared" si="1433"/>
        <v>1.0844265904263068</v>
      </c>
      <c r="O1281" s="1">
        <f t="shared" si="1433"/>
        <v>1.1618192414156154</v>
      </c>
      <c r="P1281" s="1">
        <f t="shared" si="1427"/>
        <v>1.1882152695800137</v>
      </c>
      <c r="Q1281" s="1">
        <f t="shared" si="1427"/>
        <v>1.1947365023294612</v>
      </c>
      <c r="S1281" s="3"/>
    </row>
    <row r="1282" spans="2:19" x14ac:dyDescent="0.5">
      <c r="B1282" s="5" t="str">
        <f t="shared" si="1406"/>
        <v>SPS1</v>
      </c>
      <c r="C1282" s="5" t="str">
        <f t="shared" si="1407"/>
        <v>CH</v>
      </c>
      <c r="D1282" t="s">
        <v>1232</v>
      </c>
      <c r="E1282" t="str">
        <f t="shared" si="1408"/>
        <v>km/MJ</v>
      </c>
      <c r="F1282" s="1">
        <f t="shared" ref="F1282:K1295" si="1434">IFERROR(F1231/F1162,"-")</f>
        <v>0.49379534694678262</v>
      </c>
      <c r="G1282" s="1">
        <f t="shared" si="1434"/>
        <v>0.50503220860251397</v>
      </c>
      <c r="H1282" s="1">
        <f t="shared" si="1434"/>
        <v>0.52188750108610937</v>
      </c>
      <c r="I1282" s="1">
        <f t="shared" si="1434"/>
        <v>0.54997965522543635</v>
      </c>
      <c r="J1282" s="1" t="str">
        <f t="shared" si="1434"/>
        <v>-</v>
      </c>
      <c r="K1282" s="1" t="str">
        <f t="shared" si="1434"/>
        <v>-</v>
      </c>
      <c r="L1282" s="1" t="str">
        <f>IFERROR(L1231/L1162,"-")</f>
        <v>-</v>
      </c>
      <c r="M1282" s="1" t="str">
        <f t="shared" ref="M1282:O1282" si="1435">IFERROR(M1231/M1162,"-")</f>
        <v>-</v>
      </c>
      <c r="N1282" s="1" t="str">
        <f t="shared" si="1435"/>
        <v>-</v>
      </c>
      <c r="O1282" s="1" t="str">
        <f t="shared" si="1435"/>
        <v>-</v>
      </c>
      <c r="P1282" s="1" t="str">
        <f t="shared" ref="P1282:Q1295" si="1436">IFERROR(P1231/P1162,"-")</f>
        <v>-</v>
      </c>
      <c r="Q1282" s="1" t="str">
        <f t="shared" si="1436"/>
        <v>-</v>
      </c>
      <c r="S1282" s="3"/>
    </row>
    <row r="1283" spans="2:19" x14ac:dyDescent="0.5">
      <c r="B1283" s="5" t="str">
        <f t="shared" si="1406"/>
        <v>SPS1</v>
      </c>
      <c r="C1283" s="5" t="str">
        <f t="shared" si="1407"/>
        <v>CH</v>
      </c>
      <c r="D1283" t="s">
        <v>1198</v>
      </c>
      <c r="E1283" t="str">
        <f t="shared" si="1408"/>
        <v>km/MJ</v>
      </c>
      <c r="F1283" s="1">
        <f t="shared" si="1434"/>
        <v>1.1348401683157827</v>
      </c>
      <c r="G1283" s="1">
        <f t="shared" si="1434"/>
        <v>1.1604660214661442</v>
      </c>
      <c r="H1283" s="1">
        <f t="shared" si="1434"/>
        <v>1.1575493177480198</v>
      </c>
      <c r="I1283" s="1">
        <f t="shared" si="1434"/>
        <v>1.1986652279874046</v>
      </c>
      <c r="J1283" s="1">
        <f t="shared" si="1434"/>
        <v>1.2708567383299236</v>
      </c>
      <c r="K1283" s="1">
        <f>IFERROR(K1232/K1163,"-")</f>
        <v>1.0036856322133689</v>
      </c>
      <c r="L1283" s="1" t="str">
        <f>IFERROR(L1232/L1163,"-")</f>
        <v>-</v>
      </c>
      <c r="M1283" s="1" t="str">
        <f t="shared" ref="M1283:O1283" si="1437">IFERROR(M1232/M1163,"-")</f>
        <v>-</v>
      </c>
      <c r="N1283" s="1" t="str">
        <f t="shared" si="1437"/>
        <v>-</v>
      </c>
      <c r="O1283" s="1" t="str">
        <f t="shared" si="1437"/>
        <v>-</v>
      </c>
      <c r="P1283" s="1" t="str">
        <f t="shared" si="1436"/>
        <v>-</v>
      </c>
      <c r="Q1283" s="1" t="str">
        <f t="shared" si="1436"/>
        <v>-</v>
      </c>
      <c r="S1283" s="3"/>
    </row>
    <row r="1284" spans="2:19" x14ac:dyDescent="0.5">
      <c r="B1284" s="5" t="str">
        <f t="shared" si="1406"/>
        <v>SPS1</v>
      </c>
      <c r="C1284" s="5" t="str">
        <f t="shared" si="1407"/>
        <v>CH</v>
      </c>
      <c r="D1284" t="s">
        <v>1199</v>
      </c>
      <c r="E1284" t="str">
        <f t="shared" si="1408"/>
        <v>km/MJ</v>
      </c>
      <c r="F1284" s="1">
        <f t="shared" si="1434"/>
        <v>1.6009451185316004</v>
      </c>
      <c r="G1284" s="1">
        <f t="shared" si="1434"/>
        <v>1.9642943896771816</v>
      </c>
      <c r="H1284" s="1">
        <f t="shared" si="1434"/>
        <v>1.9061854372011053</v>
      </c>
      <c r="I1284" s="1">
        <f t="shared" si="1434"/>
        <v>1.8993098397731236</v>
      </c>
      <c r="J1284" s="1">
        <f t="shared" si="1434"/>
        <v>1.9219719480635142</v>
      </c>
      <c r="K1284" s="1">
        <f t="shared" si="1434"/>
        <v>1.8522372917804721</v>
      </c>
      <c r="L1284" s="1" t="str">
        <f t="shared" ref="L1284:O1284" si="1438">IFERROR(L1233/L1164,"-")</f>
        <v>-</v>
      </c>
      <c r="M1284" s="1" t="str">
        <f t="shared" si="1438"/>
        <v>-</v>
      </c>
      <c r="N1284" s="1" t="str">
        <f t="shared" si="1438"/>
        <v>-</v>
      </c>
      <c r="O1284" s="1" t="str">
        <f t="shared" si="1438"/>
        <v>-</v>
      </c>
      <c r="P1284" s="1" t="str">
        <f t="shared" si="1436"/>
        <v>-</v>
      </c>
      <c r="Q1284" s="1" t="str">
        <f t="shared" si="1436"/>
        <v>-</v>
      </c>
      <c r="S1284" s="3"/>
    </row>
    <row r="1285" spans="2:19" x14ac:dyDescent="0.5">
      <c r="B1285" s="5" t="str">
        <f t="shared" si="1406"/>
        <v>SPS1</v>
      </c>
      <c r="C1285" s="5" t="str">
        <f t="shared" si="1407"/>
        <v>CH</v>
      </c>
      <c r="D1285" t="s">
        <v>1200</v>
      </c>
      <c r="E1285" t="str">
        <f t="shared" si="1408"/>
        <v>km/MJ</v>
      </c>
      <c r="F1285" s="1">
        <f t="shared" si="1434"/>
        <v>1.9727258440936182</v>
      </c>
      <c r="G1285" s="1">
        <f t="shared" si="1434"/>
        <v>2.4903825613036514</v>
      </c>
      <c r="H1285" s="1">
        <f t="shared" si="1434"/>
        <v>2.4874423586152359</v>
      </c>
      <c r="I1285" s="1">
        <f t="shared" si="1434"/>
        <v>2.5054717345500372</v>
      </c>
      <c r="J1285" s="1">
        <f t="shared" si="1434"/>
        <v>2.5483887067931086</v>
      </c>
      <c r="K1285" s="1">
        <f t="shared" si="1434"/>
        <v>0.84474690626232707</v>
      </c>
      <c r="L1285" s="1" t="str">
        <f t="shared" ref="L1285:O1285" si="1439">IFERROR(L1234/L1165,"-")</f>
        <v>-</v>
      </c>
      <c r="M1285" s="1" t="str">
        <f t="shared" si="1439"/>
        <v>-</v>
      </c>
      <c r="N1285" s="1" t="str">
        <f t="shared" si="1439"/>
        <v>-</v>
      </c>
      <c r="O1285" s="1" t="str">
        <f t="shared" si="1439"/>
        <v>-</v>
      </c>
      <c r="P1285" s="1" t="str">
        <f t="shared" si="1436"/>
        <v>-</v>
      </c>
      <c r="Q1285" s="1" t="str">
        <f t="shared" si="1436"/>
        <v>-</v>
      </c>
      <c r="S1285" s="3"/>
    </row>
    <row r="1286" spans="2:19" x14ac:dyDescent="0.5">
      <c r="B1286" s="5" t="str">
        <f t="shared" si="1406"/>
        <v>SPS1</v>
      </c>
      <c r="C1286" s="5" t="str">
        <f t="shared" si="1407"/>
        <v>CH</v>
      </c>
      <c r="D1286" t="s">
        <v>1201</v>
      </c>
      <c r="E1286" t="str">
        <f t="shared" si="1408"/>
        <v>km/MJ</v>
      </c>
      <c r="F1286" s="1">
        <f t="shared" si="1434"/>
        <v>1.1458382455143068</v>
      </c>
      <c r="G1286" s="1">
        <f t="shared" si="1434"/>
        <v>1.3264472330281241</v>
      </c>
      <c r="H1286" s="1">
        <f t="shared" si="1434"/>
        <v>1.3396993384125286</v>
      </c>
      <c r="I1286" s="1">
        <f t="shared" si="1434"/>
        <v>1.335631085045101</v>
      </c>
      <c r="J1286" s="1">
        <f t="shared" si="1434"/>
        <v>1.5958966804621315</v>
      </c>
      <c r="K1286" s="1">
        <f t="shared" si="1434"/>
        <v>0.75506867473156103</v>
      </c>
      <c r="L1286" s="1" t="str">
        <f t="shared" ref="L1286:O1286" si="1440">IFERROR(L1235/L1166,"-")</f>
        <v>-</v>
      </c>
      <c r="M1286" s="1" t="str">
        <f t="shared" si="1440"/>
        <v>-</v>
      </c>
      <c r="N1286" s="1" t="str">
        <f t="shared" si="1440"/>
        <v>-</v>
      </c>
      <c r="O1286" s="1" t="str">
        <f t="shared" si="1440"/>
        <v>-</v>
      </c>
      <c r="P1286" s="1" t="str">
        <f t="shared" si="1436"/>
        <v>-</v>
      </c>
      <c r="Q1286" s="1" t="str">
        <f t="shared" si="1436"/>
        <v>-</v>
      </c>
      <c r="S1286" s="3"/>
    </row>
    <row r="1287" spans="2:19" x14ac:dyDescent="0.5">
      <c r="B1287" s="5" t="str">
        <f t="shared" si="1406"/>
        <v>SPS1</v>
      </c>
      <c r="C1287" s="5" t="str">
        <f t="shared" si="1407"/>
        <v>CH</v>
      </c>
      <c r="D1287" t="s">
        <v>1202</v>
      </c>
      <c r="E1287" t="str">
        <f t="shared" si="1408"/>
        <v>km/MJ</v>
      </c>
      <c r="F1287" s="1">
        <f t="shared" si="1434"/>
        <v>0.28603940550919521</v>
      </c>
      <c r="G1287" s="1">
        <f t="shared" si="1434"/>
        <v>0.29254854993039725</v>
      </c>
      <c r="H1287" s="1">
        <f t="shared" si="1434"/>
        <v>0.30231226656220062</v>
      </c>
      <c r="I1287" s="1">
        <f t="shared" si="1434"/>
        <v>0.31858512761520613</v>
      </c>
      <c r="J1287" s="1" t="str">
        <f t="shared" si="1434"/>
        <v>-</v>
      </c>
      <c r="K1287" s="1" t="str">
        <f t="shared" si="1434"/>
        <v>-</v>
      </c>
      <c r="L1287" s="1" t="str">
        <f t="shared" ref="L1287:O1287" si="1441">IFERROR(L1236/L1167,"-")</f>
        <v>-</v>
      </c>
      <c r="M1287" s="1" t="str">
        <f t="shared" si="1441"/>
        <v>-</v>
      </c>
      <c r="N1287" s="1" t="str">
        <f t="shared" si="1441"/>
        <v>-</v>
      </c>
      <c r="O1287" s="1" t="str">
        <f t="shared" si="1441"/>
        <v>-</v>
      </c>
      <c r="P1287" s="1" t="str">
        <f t="shared" si="1436"/>
        <v>-</v>
      </c>
      <c r="Q1287" s="1" t="str">
        <f t="shared" si="1436"/>
        <v>-</v>
      </c>
      <c r="S1287" s="3"/>
    </row>
    <row r="1288" spans="2:19" x14ac:dyDescent="0.5">
      <c r="B1288" s="5" t="str">
        <f t="shared" si="1406"/>
        <v>SPS1</v>
      </c>
      <c r="C1288" s="5" t="str">
        <f t="shared" si="1407"/>
        <v>CH</v>
      </c>
      <c r="D1288" t="s">
        <v>1203</v>
      </c>
      <c r="E1288" t="str">
        <f t="shared" si="1408"/>
        <v>km/MJ</v>
      </c>
      <c r="F1288" s="1">
        <f t="shared" si="1434"/>
        <v>0.68276959361981071</v>
      </c>
      <c r="G1288" s="1">
        <f t="shared" si="1434"/>
        <v>0.6760839252433537</v>
      </c>
      <c r="H1288" s="1">
        <f t="shared" si="1434"/>
        <v>0.62107636336325334</v>
      </c>
      <c r="I1288" s="1">
        <f t="shared" si="1434"/>
        <v>0.6206835080388986</v>
      </c>
      <c r="J1288" s="1">
        <f t="shared" si="1434"/>
        <v>0.59935180839868574</v>
      </c>
      <c r="K1288" s="1">
        <f t="shared" si="1434"/>
        <v>0.59894269245169629</v>
      </c>
      <c r="L1288" s="1" t="str">
        <f t="shared" ref="L1288:O1288" si="1442">IFERROR(L1237/L1168,"-")</f>
        <v>-</v>
      </c>
      <c r="M1288" s="1" t="str">
        <f t="shared" si="1442"/>
        <v>-</v>
      </c>
      <c r="N1288" s="1" t="str">
        <f t="shared" si="1442"/>
        <v>-</v>
      </c>
      <c r="O1288" s="1" t="str">
        <f t="shared" si="1442"/>
        <v>-</v>
      </c>
      <c r="P1288" s="1" t="str">
        <f t="shared" si="1436"/>
        <v>-</v>
      </c>
      <c r="Q1288" s="1" t="str">
        <f t="shared" si="1436"/>
        <v>-</v>
      </c>
      <c r="S1288" s="3"/>
    </row>
    <row r="1289" spans="2:19" x14ac:dyDescent="0.5">
      <c r="B1289" s="5" t="str">
        <f t="shared" si="1406"/>
        <v>SPS1</v>
      </c>
      <c r="C1289" s="5" t="str">
        <f t="shared" si="1407"/>
        <v>CH</v>
      </c>
      <c r="D1289" t="s">
        <v>1204</v>
      </c>
      <c r="E1289" t="str">
        <f t="shared" si="1408"/>
        <v>km/MJ</v>
      </c>
      <c r="F1289" s="1">
        <f t="shared" si="1434"/>
        <v>0.60625682271983217</v>
      </c>
      <c r="G1289" s="1">
        <f t="shared" si="1434"/>
        <v>0.60445858055370782</v>
      </c>
      <c r="H1289" s="1">
        <f t="shared" si="1434"/>
        <v>0.61024674476335328</v>
      </c>
      <c r="I1289" s="1">
        <f t="shared" si="1434"/>
        <v>0.60922308136670889</v>
      </c>
      <c r="J1289" s="1">
        <f t="shared" si="1434"/>
        <v>0.6043734059856225</v>
      </c>
      <c r="K1289" s="1">
        <f t="shared" si="1434"/>
        <v>0.52456819140868938</v>
      </c>
      <c r="L1289" s="1" t="str">
        <f t="shared" ref="L1289:O1289" si="1443">IFERROR(L1238/L1169,"-")</f>
        <v>-</v>
      </c>
      <c r="M1289" s="1" t="str">
        <f t="shared" si="1443"/>
        <v>-</v>
      </c>
      <c r="N1289" s="1" t="str">
        <f t="shared" si="1443"/>
        <v>-</v>
      </c>
      <c r="O1289" s="1" t="str">
        <f t="shared" si="1443"/>
        <v>-</v>
      </c>
      <c r="P1289" s="1" t="str">
        <f t="shared" si="1436"/>
        <v>-</v>
      </c>
      <c r="Q1289" s="1" t="str">
        <f t="shared" si="1436"/>
        <v>-</v>
      </c>
      <c r="S1289" s="3"/>
    </row>
    <row r="1290" spans="2:19" x14ac:dyDescent="0.5">
      <c r="B1290" s="5" t="str">
        <f t="shared" si="1406"/>
        <v>SPS1</v>
      </c>
      <c r="C1290" s="5" t="str">
        <f t="shared" si="1407"/>
        <v>CH</v>
      </c>
      <c r="D1290" t="s">
        <v>1205</v>
      </c>
      <c r="E1290" t="str">
        <f t="shared" si="1408"/>
        <v>km/MJ</v>
      </c>
      <c r="F1290" s="1">
        <f t="shared" si="1434"/>
        <v>0.51664668239356326</v>
      </c>
      <c r="G1290" s="1">
        <f t="shared" si="1434"/>
        <v>0.51602702400472322</v>
      </c>
      <c r="H1290" s="1">
        <f t="shared" si="1434"/>
        <v>0.50914602988943236</v>
      </c>
      <c r="I1290" s="1">
        <f t="shared" si="1434"/>
        <v>0.51199409626493619</v>
      </c>
      <c r="J1290" s="1">
        <f t="shared" si="1434"/>
        <v>0.49030396501257734</v>
      </c>
      <c r="K1290" s="1">
        <f t="shared" si="1434"/>
        <v>0.48213784768082302</v>
      </c>
      <c r="L1290" s="1" t="str">
        <f t="shared" ref="L1290:O1290" si="1444">IFERROR(L1239/L1170,"-")</f>
        <v>-</v>
      </c>
      <c r="M1290" s="1" t="str">
        <f t="shared" si="1444"/>
        <v>-</v>
      </c>
      <c r="N1290" s="1" t="str">
        <f t="shared" si="1444"/>
        <v>-</v>
      </c>
      <c r="O1290" s="1" t="str">
        <f t="shared" si="1444"/>
        <v>-</v>
      </c>
      <c r="P1290" s="1" t="str">
        <f t="shared" si="1436"/>
        <v>-</v>
      </c>
      <c r="Q1290" s="1" t="str">
        <f t="shared" si="1436"/>
        <v>-</v>
      </c>
      <c r="S1290" s="3"/>
    </row>
    <row r="1291" spans="2:19" x14ac:dyDescent="0.5">
      <c r="B1291" s="5" t="str">
        <f t="shared" si="1406"/>
        <v>SPS1</v>
      </c>
      <c r="C1291" s="5" t="str">
        <f t="shared" si="1407"/>
        <v>CH</v>
      </c>
      <c r="D1291" t="s">
        <v>1206</v>
      </c>
      <c r="E1291" t="str">
        <f t="shared" si="1408"/>
        <v>km/MJ</v>
      </c>
      <c r="F1291" s="1">
        <f t="shared" si="1434"/>
        <v>0.44025029081901818</v>
      </c>
      <c r="G1291" s="1">
        <f t="shared" si="1434"/>
        <v>0.43329704416282211</v>
      </c>
      <c r="H1291" s="1">
        <f t="shared" si="1434"/>
        <v>0.43396942924690546</v>
      </c>
      <c r="I1291" s="1">
        <f t="shared" si="1434"/>
        <v>0.43673717989072508</v>
      </c>
      <c r="J1291" s="1">
        <f t="shared" si="1434"/>
        <v>0.43421161116132234</v>
      </c>
      <c r="K1291" s="1">
        <f t="shared" si="1434"/>
        <v>0.43445802054564503</v>
      </c>
      <c r="L1291" s="1" t="str">
        <f t="shared" ref="L1291:O1291" si="1445">IFERROR(L1240/L1171,"-")</f>
        <v>-</v>
      </c>
      <c r="M1291" s="1" t="str">
        <f t="shared" si="1445"/>
        <v>-</v>
      </c>
      <c r="N1291" s="1" t="str">
        <f t="shared" si="1445"/>
        <v>-</v>
      </c>
      <c r="O1291" s="1" t="str">
        <f t="shared" si="1445"/>
        <v>-</v>
      </c>
      <c r="P1291" s="1" t="str">
        <f t="shared" si="1436"/>
        <v>-</v>
      </c>
      <c r="Q1291" s="1" t="str">
        <f t="shared" si="1436"/>
        <v>-</v>
      </c>
      <c r="S1291" s="3"/>
    </row>
    <row r="1292" spans="2:19" x14ac:dyDescent="0.5">
      <c r="B1292" s="5" t="str">
        <f t="shared" si="1406"/>
        <v>SPS1</v>
      </c>
      <c r="C1292" s="5" t="str">
        <f t="shared" si="1407"/>
        <v>CH</v>
      </c>
      <c r="D1292" t="s">
        <v>1207</v>
      </c>
      <c r="E1292" t="str">
        <f t="shared" si="1408"/>
        <v>km/MJ</v>
      </c>
      <c r="F1292" s="1" t="str">
        <f t="shared" si="1434"/>
        <v>-</v>
      </c>
      <c r="G1292" s="1">
        <f t="shared" si="1434"/>
        <v>0.51837627625535199</v>
      </c>
      <c r="H1292" s="1">
        <f t="shared" si="1434"/>
        <v>0.54537974316157289</v>
      </c>
      <c r="I1292" s="1">
        <f t="shared" si="1434"/>
        <v>0.56556251927184775</v>
      </c>
      <c r="J1292" s="1">
        <f t="shared" si="1434"/>
        <v>0.57075609647737513</v>
      </c>
      <c r="K1292" s="1">
        <f t="shared" si="1434"/>
        <v>0.59180128205578419</v>
      </c>
      <c r="L1292" s="1" t="str">
        <f t="shared" ref="L1292:O1292" si="1446">IFERROR(L1241/L1172,"-")</f>
        <v>-</v>
      </c>
      <c r="M1292" s="1" t="str">
        <f t="shared" si="1446"/>
        <v>-</v>
      </c>
      <c r="N1292" s="1" t="str">
        <f t="shared" si="1446"/>
        <v>-</v>
      </c>
      <c r="O1292" s="1" t="str">
        <f t="shared" si="1446"/>
        <v>-</v>
      </c>
      <c r="P1292" s="1" t="str">
        <f t="shared" si="1436"/>
        <v>-</v>
      </c>
      <c r="Q1292" s="1" t="str">
        <f t="shared" si="1436"/>
        <v>-</v>
      </c>
      <c r="S1292" s="3"/>
    </row>
    <row r="1293" spans="2:19" x14ac:dyDescent="0.5">
      <c r="B1293" s="5" t="str">
        <f t="shared" si="1406"/>
        <v>SPS1</v>
      </c>
      <c r="C1293" s="5" t="str">
        <f t="shared" si="1407"/>
        <v>CH</v>
      </c>
      <c r="D1293" t="s">
        <v>1208</v>
      </c>
      <c r="E1293" t="str">
        <f t="shared" si="1408"/>
        <v>km/MJ</v>
      </c>
      <c r="F1293" s="1" t="str">
        <f t="shared" si="1434"/>
        <v>-</v>
      </c>
      <c r="G1293" s="1">
        <f t="shared" si="1434"/>
        <v>0.4173371122353503</v>
      </c>
      <c r="H1293" s="1">
        <f t="shared" si="1434"/>
        <v>0.43987099251364825</v>
      </c>
      <c r="I1293" s="1">
        <f t="shared" si="1434"/>
        <v>0.46050957549328958</v>
      </c>
      <c r="J1293" s="1">
        <f t="shared" si="1434"/>
        <v>0.46494369452978679</v>
      </c>
      <c r="K1293" s="1">
        <f t="shared" si="1434"/>
        <v>0.4822948693372226</v>
      </c>
      <c r="L1293" s="1" t="str">
        <f t="shared" ref="L1293:O1293" si="1447">IFERROR(L1242/L1173,"-")</f>
        <v>-</v>
      </c>
      <c r="M1293" s="1" t="str">
        <f t="shared" si="1447"/>
        <v>-</v>
      </c>
      <c r="N1293" s="1" t="str">
        <f t="shared" si="1447"/>
        <v>-</v>
      </c>
      <c r="O1293" s="1" t="str">
        <f t="shared" si="1447"/>
        <v>-</v>
      </c>
      <c r="P1293" s="1" t="str">
        <f t="shared" si="1436"/>
        <v>-</v>
      </c>
      <c r="Q1293" s="1" t="str">
        <f t="shared" si="1436"/>
        <v>-</v>
      </c>
      <c r="S1293" s="3"/>
    </row>
    <row r="1294" spans="2:19" x14ac:dyDescent="0.5">
      <c r="B1294" s="5" t="str">
        <f t="shared" si="1406"/>
        <v>SPS1</v>
      </c>
      <c r="C1294" s="5" t="str">
        <f t="shared" si="1407"/>
        <v>CH</v>
      </c>
      <c r="D1294" t="s">
        <v>1209</v>
      </c>
      <c r="E1294" t="str">
        <f t="shared" si="1408"/>
        <v>km/MJ</v>
      </c>
      <c r="F1294" s="1" t="str">
        <f t="shared" si="1434"/>
        <v>-</v>
      </c>
      <c r="G1294" s="1">
        <f t="shared" si="1434"/>
        <v>0.38796990995538716</v>
      </c>
      <c r="H1294" s="1">
        <f t="shared" si="1434"/>
        <v>0.40780495528006727</v>
      </c>
      <c r="I1294" s="1">
        <f t="shared" si="1434"/>
        <v>0.42505617735468282</v>
      </c>
      <c r="J1294" s="1">
        <f t="shared" si="1434"/>
        <v>0.43025109140738849</v>
      </c>
      <c r="K1294" s="1">
        <f t="shared" si="1434"/>
        <v>0.44830175020870705</v>
      </c>
      <c r="L1294" s="1" t="str">
        <f t="shared" ref="L1294:O1294" si="1448">IFERROR(L1243/L1174,"-")</f>
        <v>-</v>
      </c>
      <c r="M1294" s="1" t="str">
        <f t="shared" si="1448"/>
        <v>-</v>
      </c>
      <c r="N1294" s="1" t="str">
        <f t="shared" si="1448"/>
        <v>-</v>
      </c>
      <c r="O1294" s="1" t="str">
        <f t="shared" si="1448"/>
        <v>-</v>
      </c>
      <c r="P1294" s="1" t="str">
        <f t="shared" si="1436"/>
        <v>-</v>
      </c>
      <c r="Q1294" s="1" t="str">
        <f t="shared" si="1436"/>
        <v>-</v>
      </c>
      <c r="S1294" s="3"/>
    </row>
    <row r="1295" spans="2:19" x14ac:dyDescent="0.5">
      <c r="B1295" s="5" t="str">
        <f t="shared" si="1406"/>
        <v>SPS1</v>
      </c>
      <c r="C1295" s="5" t="str">
        <f t="shared" si="1407"/>
        <v>CH</v>
      </c>
      <c r="D1295" t="s">
        <v>1210</v>
      </c>
      <c r="E1295" t="str">
        <f t="shared" si="1408"/>
        <v>km/MJ</v>
      </c>
      <c r="F1295" s="1" t="str">
        <f t="shared" si="1434"/>
        <v>-</v>
      </c>
      <c r="G1295" s="1">
        <f t="shared" si="1434"/>
        <v>0.39332458747711402</v>
      </c>
      <c r="H1295" s="1">
        <f t="shared" si="1434"/>
        <v>0.41367370503962492</v>
      </c>
      <c r="I1295" s="1">
        <f t="shared" si="1434"/>
        <v>0.43309383158949555</v>
      </c>
      <c r="J1295" s="1">
        <f t="shared" si="1434"/>
        <v>0.43759596821377938</v>
      </c>
      <c r="K1295" s="1">
        <f t="shared" si="1434"/>
        <v>0.45388875551767588</v>
      </c>
      <c r="L1295" s="1" t="str">
        <f t="shared" ref="L1295:O1295" si="1449">IFERROR(L1244/L1175,"-")</f>
        <v>-</v>
      </c>
      <c r="M1295" s="1" t="str">
        <f t="shared" si="1449"/>
        <v>-</v>
      </c>
      <c r="N1295" s="1" t="str">
        <f t="shared" si="1449"/>
        <v>-</v>
      </c>
      <c r="O1295" s="1" t="str">
        <f t="shared" si="1449"/>
        <v>-</v>
      </c>
      <c r="P1295" s="1" t="str">
        <f t="shared" si="1436"/>
        <v>-</v>
      </c>
      <c r="Q1295" s="1" t="str">
        <f t="shared" si="1436"/>
        <v>-</v>
      </c>
      <c r="S1295" s="3"/>
    </row>
    <row r="1296" spans="2:19" x14ac:dyDescent="0.5">
      <c r="B1296" s="5" t="str">
        <f t="shared" si="1406"/>
        <v>SPS1</v>
      </c>
      <c r="C1296" s="5" t="str">
        <f t="shared" si="1407"/>
        <v>CH</v>
      </c>
      <c r="D1296" t="s">
        <v>1234</v>
      </c>
      <c r="E1296" t="str">
        <f t="shared" si="1408"/>
        <v>km/MJ</v>
      </c>
      <c r="F1296" s="1" t="str">
        <f t="shared" ref="F1296:K1309" si="1450">IFERROR(F1245/F1185,"-")</f>
        <v>-</v>
      </c>
      <c r="G1296" s="1" t="str">
        <f t="shared" si="1450"/>
        <v>-</v>
      </c>
      <c r="H1296" s="1" t="str">
        <f t="shared" si="1450"/>
        <v>-</v>
      </c>
      <c r="I1296" s="1" t="str">
        <f t="shared" si="1450"/>
        <v>-</v>
      </c>
      <c r="J1296" s="1" t="str">
        <f t="shared" si="1450"/>
        <v>-</v>
      </c>
      <c r="K1296" s="1" t="str">
        <f t="shared" si="1450"/>
        <v>-</v>
      </c>
      <c r="L1296" s="1" t="str">
        <f t="shared" ref="L1296:O1296" si="1451">IFERROR(L1245/L1185,"-")</f>
        <v>-</v>
      </c>
      <c r="M1296" s="1" t="str">
        <f t="shared" si="1451"/>
        <v>-</v>
      </c>
      <c r="N1296" s="1" t="str">
        <f t="shared" si="1451"/>
        <v>-</v>
      </c>
      <c r="O1296" s="1" t="str">
        <f t="shared" si="1451"/>
        <v>-</v>
      </c>
      <c r="P1296" s="1" t="str">
        <f t="shared" ref="P1296:Q1314" si="1452">IFERROR(P1245/P1185,"-")</f>
        <v>-</v>
      </c>
      <c r="Q1296" s="1" t="str">
        <f t="shared" si="1452"/>
        <v>-</v>
      </c>
      <c r="S1296" s="3"/>
    </row>
    <row r="1297" spans="2:19" x14ac:dyDescent="0.5">
      <c r="B1297" s="5" t="str">
        <f t="shared" si="1406"/>
        <v>SPS1</v>
      </c>
      <c r="C1297" s="5" t="str">
        <f t="shared" si="1407"/>
        <v>CH</v>
      </c>
      <c r="D1297" t="s">
        <v>1211</v>
      </c>
      <c r="E1297" t="str">
        <f t="shared" si="1408"/>
        <v>km/MJ</v>
      </c>
      <c r="F1297" s="1">
        <f t="shared" si="1450"/>
        <v>0.41824117647058834</v>
      </c>
      <c r="G1297" s="1">
        <f t="shared" si="1450"/>
        <v>1.6975752538525359</v>
      </c>
      <c r="H1297" s="1">
        <f t="shared" si="1450"/>
        <v>1.6842593221112003</v>
      </c>
      <c r="I1297" s="1">
        <f t="shared" si="1450"/>
        <v>1.6776291314508092</v>
      </c>
      <c r="J1297" s="1">
        <f t="shared" si="1450"/>
        <v>1.6570533040750226</v>
      </c>
      <c r="K1297" s="1">
        <f t="shared" si="1450"/>
        <v>1.1948791802090319</v>
      </c>
      <c r="L1297" s="1" t="str">
        <f t="shared" ref="L1297:O1297" si="1453">IFERROR(L1246/L1186,"-")</f>
        <v>-</v>
      </c>
      <c r="M1297" s="1" t="str">
        <f t="shared" si="1453"/>
        <v>-</v>
      </c>
      <c r="N1297" s="1" t="str">
        <f t="shared" si="1453"/>
        <v>-</v>
      </c>
      <c r="O1297" s="1" t="str">
        <f t="shared" si="1453"/>
        <v>-</v>
      </c>
      <c r="P1297" s="1" t="str">
        <f t="shared" si="1452"/>
        <v>-</v>
      </c>
      <c r="Q1297" s="1" t="str">
        <f t="shared" si="1452"/>
        <v>-</v>
      </c>
      <c r="S1297" s="3"/>
    </row>
    <row r="1298" spans="2:19" x14ac:dyDescent="0.5">
      <c r="B1298" s="5" t="str">
        <f t="shared" si="1406"/>
        <v>SPS1</v>
      </c>
      <c r="C1298" s="5" t="str">
        <f t="shared" si="1407"/>
        <v>CH</v>
      </c>
      <c r="D1298" t="s">
        <v>1212</v>
      </c>
      <c r="E1298" t="str">
        <f t="shared" si="1408"/>
        <v>km/MJ</v>
      </c>
      <c r="F1298" s="1">
        <f t="shared" si="1450"/>
        <v>1.17114129730914</v>
      </c>
      <c r="G1298" s="1">
        <f t="shared" si="1450"/>
        <v>2.6802882597171771</v>
      </c>
      <c r="H1298" s="1">
        <f t="shared" si="1450"/>
        <v>2.2852299698322422</v>
      </c>
      <c r="I1298" s="1">
        <f t="shared" si="1450"/>
        <v>2.2681349003577664</v>
      </c>
      <c r="J1298" s="1">
        <f t="shared" si="1450"/>
        <v>2.1735393623225683</v>
      </c>
      <c r="K1298" s="1">
        <f t="shared" si="1450"/>
        <v>1.9463940334984338</v>
      </c>
      <c r="L1298" s="1" t="str">
        <f t="shared" ref="L1298:O1298" si="1454">IFERROR(L1247/L1187,"-")</f>
        <v>-</v>
      </c>
      <c r="M1298" s="1" t="str">
        <f t="shared" si="1454"/>
        <v>-</v>
      </c>
      <c r="N1298" s="1" t="str">
        <f t="shared" si="1454"/>
        <v>-</v>
      </c>
      <c r="O1298" s="1" t="str">
        <f t="shared" si="1454"/>
        <v>-</v>
      </c>
      <c r="P1298" s="1" t="str">
        <f t="shared" si="1452"/>
        <v>-</v>
      </c>
      <c r="Q1298" s="1" t="str">
        <f t="shared" si="1452"/>
        <v>-</v>
      </c>
      <c r="S1298" s="3"/>
    </row>
    <row r="1299" spans="2:19" x14ac:dyDescent="0.5">
      <c r="B1299" s="5" t="str">
        <f t="shared" si="1406"/>
        <v>SPS1</v>
      </c>
      <c r="C1299" s="5" t="str">
        <f t="shared" si="1407"/>
        <v>CH</v>
      </c>
      <c r="D1299" t="s">
        <v>1213</v>
      </c>
      <c r="E1299" t="str">
        <f t="shared" si="1408"/>
        <v>km/MJ</v>
      </c>
      <c r="F1299" s="1">
        <f t="shared" si="1450"/>
        <v>0.89619483749100137</v>
      </c>
      <c r="G1299" s="1">
        <f t="shared" si="1450"/>
        <v>1.1908109716596911</v>
      </c>
      <c r="H1299" s="1">
        <f t="shared" si="1450"/>
        <v>1.1863450005575966</v>
      </c>
      <c r="I1299" s="1">
        <f t="shared" si="1450"/>
        <v>1.2576081878850003</v>
      </c>
      <c r="J1299" s="1">
        <f t="shared" si="1450"/>
        <v>1.4578284860533195</v>
      </c>
      <c r="K1299" s="1">
        <f t="shared" si="1450"/>
        <v>0.77281733929870999</v>
      </c>
      <c r="L1299" s="1" t="str">
        <f t="shared" ref="L1299:O1299" si="1455">IFERROR(L1248/L1188,"-")</f>
        <v>-</v>
      </c>
      <c r="M1299" s="1" t="str">
        <f t="shared" si="1455"/>
        <v>-</v>
      </c>
      <c r="N1299" s="1" t="str">
        <f t="shared" si="1455"/>
        <v>-</v>
      </c>
      <c r="O1299" s="1" t="str">
        <f t="shared" si="1455"/>
        <v>-</v>
      </c>
      <c r="P1299" s="1" t="str">
        <f t="shared" si="1452"/>
        <v>-</v>
      </c>
      <c r="Q1299" s="1" t="str">
        <f t="shared" si="1452"/>
        <v>-</v>
      </c>
      <c r="S1299" s="3"/>
    </row>
    <row r="1300" spans="2:19" x14ac:dyDescent="0.5">
      <c r="B1300" s="5" t="str">
        <f t="shared" si="1406"/>
        <v>SPS1</v>
      </c>
      <c r="C1300" s="5" t="str">
        <f t="shared" si="1407"/>
        <v>CH</v>
      </c>
      <c r="D1300" t="s">
        <v>1214</v>
      </c>
      <c r="E1300" t="str">
        <f t="shared" si="1408"/>
        <v>km/MJ</v>
      </c>
      <c r="F1300" s="1">
        <f t="shared" si="1450"/>
        <v>1.3454560922876111</v>
      </c>
      <c r="G1300" s="1">
        <f t="shared" si="1450"/>
        <v>1.5778877638307909</v>
      </c>
      <c r="H1300" s="1">
        <f t="shared" si="1450"/>
        <v>1.5865696951688426</v>
      </c>
      <c r="I1300" s="1">
        <f t="shared" si="1450"/>
        <v>1.6193995485781068</v>
      </c>
      <c r="J1300" s="1">
        <f t="shared" si="1450"/>
        <v>1.5745044227270077</v>
      </c>
      <c r="K1300" s="1">
        <f t="shared" si="1450"/>
        <v>0.75531011659970149</v>
      </c>
      <c r="L1300" s="1" t="str">
        <f t="shared" ref="L1300:O1300" si="1456">IFERROR(L1249/L1189,"-")</f>
        <v>-</v>
      </c>
      <c r="M1300" s="1" t="str">
        <f t="shared" si="1456"/>
        <v>-</v>
      </c>
      <c r="N1300" s="1" t="str">
        <f t="shared" si="1456"/>
        <v>-</v>
      </c>
      <c r="O1300" s="1" t="str">
        <f t="shared" si="1456"/>
        <v>-</v>
      </c>
      <c r="P1300" s="1" t="str">
        <f t="shared" si="1452"/>
        <v>-</v>
      </c>
      <c r="Q1300" s="1" t="str">
        <f t="shared" si="1452"/>
        <v>-</v>
      </c>
      <c r="S1300" s="3"/>
    </row>
    <row r="1301" spans="2:19" x14ac:dyDescent="0.5">
      <c r="B1301" s="5" t="str">
        <f t="shared" si="1406"/>
        <v>SPS1</v>
      </c>
      <c r="C1301" s="5" t="str">
        <f t="shared" si="1407"/>
        <v>CH</v>
      </c>
      <c r="D1301" t="s">
        <v>1215</v>
      </c>
      <c r="E1301" t="str">
        <f t="shared" si="1408"/>
        <v>km/MJ</v>
      </c>
      <c r="F1301" s="1">
        <f t="shared" si="1450"/>
        <v>0.33901850024086033</v>
      </c>
      <c r="G1301" s="1">
        <f t="shared" si="1450"/>
        <v>0.35391427166601075</v>
      </c>
      <c r="H1301" s="1">
        <f t="shared" si="1450"/>
        <v>0.37625792880373754</v>
      </c>
      <c r="I1301" s="1">
        <f t="shared" si="1450"/>
        <v>0.41349735736661469</v>
      </c>
      <c r="J1301" s="1" t="str">
        <f t="shared" si="1450"/>
        <v>-</v>
      </c>
      <c r="K1301" s="1" t="str">
        <f t="shared" si="1450"/>
        <v>-</v>
      </c>
      <c r="L1301" s="1" t="str">
        <f t="shared" ref="L1301:O1301" si="1457">IFERROR(L1250/L1190,"-")</f>
        <v>-</v>
      </c>
      <c r="M1301" s="1" t="str">
        <f t="shared" si="1457"/>
        <v>-</v>
      </c>
      <c r="N1301" s="1" t="str">
        <f t="shared" si="1457"/>
        <v>-</v>
      </c>
      <c r="O1301" s="1" t="str">
        <f t="shared" si="1457"/>
        <v>-</v>
      </c>
      <c r="P1301" s="1" t="str">
        <f t="shared" si="1452"/>
        <v>-</v>
      </c>
      <c r="Q1301" s="1" t="str">
        <f t="shared" si="1452"/>
        <v>-</v>
      </c>
      <c r="S1301" s="3"/>
    </row>
    <row r="1302" spans="2:19" x14ac:dyDescent="0.5">
      <c r="B1302" s="5" t="str">
        <f t="shared" si="1406"/>
        <v>SPS1</v>
      </c>
      <c r="C1302" s="5" t="str">
        <f t="shared" si="1407"/>
        <v>CH</v>
      </c>
      <c r="D1302" t="s">
        <v>1216</v>
      </c>
      <c r="E1302" t="str">
        <f t="shared" si="1408"/>
        <v>km/MJ</v>
      </c>
      <c r="F1302" s="1">
        <f t="shared" si="1450"/>
        <v>0.74949176564828057</v>
      </c>
      <c r="G1302" s="1">
        <f t="shared" si="1450"/>
        <v>0.77334857042971439</v>
      </c>
      <c r="H1302" s="1">
        <f t="shared" si="1450"/>
        <v>0.77905751106805199</v>
      </c>
      <c r="I1302" s="1">
        <f t="shared" si="1450"/>
        <v>0.78251926321433962</v>
      </c>
      <c r="J1302" s="1">
        <f t="shared" si="1450"/>
        <v>0.7549004489769483</v>
      </c>
      <c r="K1302" s="1">
        <f t="shared" si="1450"/>
        <v>0.65261721330655786</v>
      </c>
      <c r="L1302" s="1" t="str">
        <f t="shared" ref="L1302:O1302" si="1458">IFERROR(L1251/L1191,"-")</f>
        <v>-</v>
      </c>
      <c r="M1302" s="1" t="str">
        <f t="shared" si="1458"/>
        <v>-</v>
      </c>
      <c r="N1302" s="1" t="str">
        <f t="shared" si="1458"/>
        <v>-</v>
      </c>
      <c r="O1302" s="1" t="str">
        <f t="shared" si="1458"/>
        <v>-</v>
      </c>
      <c r="P1302" s="1" t="str">
        <f t="shared" si="1452"/>
        <v>-</v>
      </c>
      <c r="Q1302" s="1" t="str">
        <f t="shared" si="1452"/>
        <v>-</v>
      </c>
      <c r="S1302" s="3"/>
    </row>
    <row r="1303" spans="2:19" x14ac:dyDescent="0.5">
      <c r="B1303" s="5" t="str">
        <f t="shared" si="1406"/>
        <v>SPS1</v>
      </c>
      <c r="C1303" s="5" t="str">
        <f t="shared" si="1407"/>
        <v>CH</v>
      </c>
      <c r="D1303" t="s">
        <v>1217</v>
      </c>
      <c r="E1303" t="str">
        <f t="shared" si="1408"/>
        <v>km/MJ</v>
      </c>
      <c r="F1303" s="1">
        <f t="shared" si="1450"/>
        <v>0.69636383840251037</v>
      </c>
      <c r="G1303" s="1">
        <f t="shared" si="1450"/>
        <v>0.70375459157473463</v>
      </c>
      <c r="H1303" s="1">
        <f t="shared" si="1450"/>
        <v>0.73479054254470744</v>
      </c>
      <c r="I1303" s="1">
        <f t="shared" si="1450"/>
        <v>0.76279110817072049</v>
      </c>
      <c r="J1303" s="1">
        <f t="shared" si="1450"/>
        <v>0.82384343569457963</v>
      </c>
      <c r="K1303" s="1">
        <f t="shared" si="1450"/>
        <v>0.53186367959459013</v>
      </c>
      <c r="L1303" s="1" t="str">
        <f t="shared" ref="L1303:O1303" si="1459">IFERROR(L1252/L1192,"-")</f>
        <v>-</v>
      </c>
      <c r="M1303" s="1" t="str">
        <f t="shared" si="1459"/>
        <v>-</v>
      </c>
      <c r="N1303" s="1" t="str">
        <f t="shared" si="1459"/>
        <v>-</v>
      </c>
      <c r="O1303" s="1" t="str">
        <f t="shared" si="1459"/>
        <v>-</v>
      </c>
      <c r="P1303" s="1" t="str">
        <f t="shared" si="1452"/>
        <v>-</v>
      </c>
      <c r="Q1303" s="1" t="str">
        <f t="shared" si="1452"/>
        <v>-</v>
      </c>
      <c r="S1303" s="3"/>
    </row>
    <row r="1304" spans="2:19" x14ac:dyDescent="0.5">
      <c r="B1304" s="5" t="str">
        <f t="shared" si="1406"/>
        <v>SPS1</v>
      </c>
      <c r="C1304" s="5" t="str">
        <f t="shared" si="1407"/>
        <v>CH</v>
      </c>
      <c r="D1304" t="s">
        <v>1218</v>
      </c>
      <c r="E1304" t="str">
        <f t="shared" si="1408"/>
        <v>km/MJ</v>
      </c>
      <c r="F1304" s="1">
        <f t="shared" si="1450"/>
        <v>0.52784147371584345</v>
      </c>
      <c r="G1304" s="1">
        <f t="shared" si="1450"/>
        <v>0.53242208826635606</v>
      </c>
      <c r="H1304" s="1">
        <f t="shared" si="1450"/>
        <v>0.5319571741178778</v>
      </c>
      <c r="I1304" s="1">
        <f t="shared" si="1450"/>
        <v>0.54121584824160995</v>
      </c>
      <c r="J1304" s="1">
        <f t="shared" si="1450"/>
        <v>0.5910453126004076</v>
      </c>
      <c r="K1304" s="1">
        <f t="shared" si="1450"/>
        <v>0.47568368746150824</v>
      </c>
      <c r="L1304" s="1" t="str">
        <f t="shared" ref="L1304:O1304" si="1460">IFERROR(L1253/L1193,"-")</f>
        <v>-</v>
      </c>
      <c r="M1304" s="1" t="str">
        <f t="shared" si="1460"/>
        <v>-</v>
      </c>
      <c r="N1304" s="1" t="str">
        <f t="shared" si="1460"/>
        <v>-</v>
      </c>
      <c r="O1304" s="1" t="str">
        <f t="shared" si="1460"/>
        <v>-</v>
      </c>
      <c r="P1304" s="1" t="str">
        <f t="shared" si="1452"/>
        <v>-</v>
      </c>
      <c r="Q1304" s="1" t="str">
        <f t="shared" si="1452"/>
        <v>-</v>
      </c>
      <c r="S1304" s="3"/>
    </row>
    <row r="1305" spans="2:19" x14ac:dyDescent="0.5">
      <c r="B1305" s="5" t="str">
        <f t="shared" si="1406"/>
        <v>SPS1</v>
      </c>
      <c r="C1305" s="5" t="str">
        <f t="shared" si="1407"/>
        <v>CH</v>
      </c>
      <c r="D1305" t="s">
        <v>1219</v>
      </c>
      <c r="E1305" t="str">
        <f t="shared" si="1408"/>
        <v>km/MJ</v>
      </c>
      <c r="F1305" s="1">
        <f t="shared" si="1450"/>
        <v>0.4660358475572437</v>
      </c>
      <c r="G1305" s="1">
        <f t="shared" si="1450"/>
        <v>0.45574534601311883</v>
      </c>
      <c r="H1305" s="1">
        <f t="shared" si="1450"/>
        <v>0.45677047102627355</v>
      </c>
      <c r="I1305" s="1">
        <f t="shared" si="1450"/>
        <v>0.46323156769139567</v>
      </c>
      <c r="J1305" s="1">
        <f t="shared" si="1450"/>
        <v>0.39158311063793688</v>
      </c>
      <c r="K1305" s="1">
        <f t="shared" si="1450"/>
        <v>0.42487988317662728</v>
      </c>
      <c r="L1305" s="1" t="str">
        <f t="shared" ref="L1305:O1305" si="1461">IFERROR(L1254/L1194,"-")</f>
        <v>-</v>
      </c>
      <c r="M1305" s="1" t="str">
        <f t="shared" si="1461"/>
        <v>-</v>
      </c>
      <c r="N1305" s="1" t="str">
        <f t="shared" si="1461"/>
        <v>-</v>
      </c>
      <c r="O1305" s="1" t="str">
        <f t="shared" si="1461"/>
        <v>-</v>
      </c>
      <c r="P1305" s="1" t="str">
        <f t="shared" si="1452"/>
        <v>-</v>
      </c>
      <c r="Q1305" s="1" t="str">
        <f t="shared" si="1452"/>
        <v>-</v>
      </c>
      <c r="S1305" s="3"/>
    </row>
    <row r="1306" spans="2:19" x14ac:dyDescent="0.5">
      <c r="B1306" s="5" t="str">
        <f t="shared" si="1406"/>
        <v>SPS1</v>
      </c>
      <c r="C1306" s="5" t="str">
        <f t="shared" si="1407"/>
        <v>CH</v>
      </c>
      <c r="D1306" t="s">
        <v>1220</v>
      </c>
      <c r="E1306" t="str">
        <f t="shared" si="1408"/>
        <v>km/MJ</v>
      </c>
      <c r="F1306" s="1" t="str">
        <f t="shared" si="1450"/>
        <v>-</v>
      </c>
      <c r="G1306" s="1">
        <f t="shared" si="1450"/>
        <v>0.56203544748554701</v>
      </c>
      <c r="H1306" s="1">
        <f t="shared" si="1450"/>
        <v>0.58511926943174841</v>
      </c>
      <c r="I1306" s="1">
        <f t="shared" si="1450"/>
        <v>0.60774058745179182</v>
      </c>
      <c r="J1306" s="1">
        <f t="shared" si="1450"/>
        <v>0.61283019294060126</v>
      </c>
      <c r="K1306" s="1">
        <f t="shared" si="1450"/>
        <v>0.63102374796316019</v>
      </c>
      <c r="L1306" s="1" t="str">
        <f t="shared" ref="L1306:O1306" si="1462">IFERROR(L1255/L1195,"-")</f>
        <v>-</v>
      </c>
      <c r="M1306" s="1" t="str">
        <f t="shared" si="1462"/>
        <v>-</v>
      </c>
      <c r="N1306" s="1" t="str">
        <f t="shared" si="1462"/>
        <v>-</v>
      </c>
      <c r="O1306" s="1" t="str">
        <f t="shared" si="1462"/>
        <v>-</v>
      </c>
      <c r="P1306" s="1" t="str">
        <f t="shared" si="1452"/>
        <v>-</v>
      </c>
      <c r="Q1306" s="1" t="str">
        <f t="shared" si="1452"/>
        <v>-</v>
      </c>
      <c r="S1306" s="3"/>
    </row>
    <row r="1307" spans="2:19" x14ac:dyDescent="0.5">
      <c r="B1307" s="5" t="str">
        <f t="shared" si="1406"/>
        <v>SPS1</v>
      </c>
      <c r="C1307" s="5" t="str">
        <f t="shared" si="1407"/>
        <v>CH</v>
      </c>
      <c r="D1307" t="s">
        <v>1221</v>
      </c>
      <c r="E1307" t="str">
        <f t="shared" si="1408"/>
        <v>km/MJ</v>
      </c>
      <c r="F1307" s="1" t="str">
        <f t="shared" si="1450"/>
        <v>-</v>
      </c>
      <c r="G1307" s="1">
        <f t="shared" si="1450"/>
        <v>0.45210145766281445</v>
      </c>
      <c r="H1307" s="1">
        <f t="shared" si="1450"/>
        <v>0.47169446956521205</v>
      </c>
      <c r="I1307" s="1">
        <f t="shared" si="1450"/>
        <v>0.49094262026624486</v>
      </c>
      <c r="J1307" s="1">
        <f t="shared" si="1450"/>
        <v>0.4953973082718342</v>
      </c>
      <c r="K1307" s="1">
        <f t="shared" si="1450"/>
        <v>0.51122361423263873</v>
      </c>
      <c r="L1307" s="1" t="str">
        <f t="shared" ref="L1307:O1307" si="1463">IFERROR(L1256/L1196,"-")</f>
        <v>-</v>
      </c>
      <c r="M1307" s="1" t="str">
        <f t="shared" si="1463"/>
        <v>-</v>
      </c>
      <c r="N1307" s="1" t="str">
        <f t="shared" si="1463"/>
        <v>-</v>
      </c>
      <c r="O1307" s="1" t="str">
        <f t="shared" si="1463"/>
        <v>-</v>
      </c>
      <c r="P1307" s="1" t="str">
        <f t="shared" si="1452"/>
        <v>-</v>
      </c>
      <c r="Q1307" s="1" t="str">
        <f t="shared" si="1452"/>
        <v>-</v>
      </c>
      <c r="S1307" s="3"/>
    </row>
    <row r="1308" spans="2:19" x14ac:dyDescent="0.5">
      <c r="B1308" s="5" t="str">
        <f t="shared" si="1406"/>
        <v>SPS1</v>
      </c>
      <c r="C1308" s="5" t="str">
        <f t="shared" si="1407"/>
        <v>CH</v>
      </c>
      <c r="D1308" t="s">
        <v>1222</v>
      </c>
      <c r="E1308" t="str">
        <f t="shared" si="1408"/>
        <v>km/MJ</v>
      </c>
      <c r="F1308" s="1" t="str">
        <f t="shared" si="1450"/>
        <v>-</v>
      </c>
      <c r="G1308" s="1">
        <f t="shared" si="1450"/>
        <v>0.4202814963287691</v>
      </c>
      <c r="H1308" s="1">
        <f t="shared" si="1450"/>
        <v>0.43712858517822312</v>
      </c>
      <c r="I1308" s="1">
        <f t="shared" si="1450"/>
        <v>0.4531041021617615</v>
      </c>
      <c r="J1308" s="1">
        <f t="shared" si="1450"/>
        <v>0.45833346981059914</v>
      </c>
      <c r="K1308" s="1">
        <f t="shared" si="1450"/>
        <v>0.47505533604134625</v>
      </c>
      <c r="L1308" s="1" t="str">
        <f t="shared" ref="L1308:O1308" si="1464">IFERROR(L1257/L1197,"-")</f>
        <v>-</v>
      </c>
      <c r="M1308" s="1" t="str">
        <f t="shared" si="1464"/>
        <v>-</v>
      </c>
      <c r="N1308" s="1" t="str">
        <f t="shared" si="1464"/>
        <v>-</v>
      </c>
      <c r="O1308" s="1" t="str">
        <f t="shared" si="1464"/>
        <v>-</v>
      </c>
      <c r="P1308" s="1" t="str">
        <f t="shared" si="1452"/>
        <v>-</v>
      </c>
      <c r="Q1308" s="1" t="str">
        <f t="shared" si="1452"/>
        <v>-</v>
      </c>
      <c r="S1308" s="3"/>
    </row>
    <row r="1309" spans="2:19" x14ac:dyDescent="0.5">
      <c r="B1309" s="5" t="str">
        <f t="shared" si="1406"/>
        <v>SPS1</v>
      </c>
      <c r="C1309" s="5" t="str">
        <f t="shared" si="1407"/>
        <v>CH</v>
      </c>
      <c r="D1309" t="s">
        <v>1223</v>
      </c>
      <c r="E1309" t="str">
        <f t="shared" si="1408"/>
        <v>km/MJ</v>
      </c>
      <c r="F1309" s="1" t="str">
        <f t="shared" si="1450"/>
        <v>-</v>
      </c>
      <c r="G1309" s="1">
        <f t="shared" si="1450"/>
        <v>0.39943403925494758</v>
      </c>
      <c r="H1309" s="1">
        <f t="shared" si="1450"/>
        <v>0.41377003401490076</v>
      </c>
      <c r="I1309" s="1">
        <f t="shared" si="1450"/>
        <v>0.43040559739246587</v>
      </c>
      <c r="J1309" s="1">
        <f t="shared" si="1450"/>
        <v>0.43587030399131843</v>
      </c>
      <c r="K1309" s="1">
        <f t="shared" si="1450"/>
        <v>0.45167718826412545</v>
      </c>
      <c r="L1309" s="1" t="str">
        <f t="shared" ref="L1309:O1309" si="1465">IFERROR(L1258/L1198,"-")</f>
        <v>-</v>
      </c>
      <c r="M1309" s="1" t="str">
        <f t="shared" si="1465"/>
        <v>-</v>
      </c>
      <c r="N1309" s="1" t="str">
        <f t="shared" si="1465"/>
        <v>-</v>
      </c>
      <c r="O1309" s="1" t="str">
        <f t="shared" si="1465"/>
        <v>-</v>
      </c>
      <c r="P1309" s="1" t="str">
        <f t="shared" si="1452"/>
        <v>-</v>
      </c>
      <c r="Q1309" s="1" t="str">
        <f t="shared" si="1452"/>
        <v>-</v>
      </c>
      <c r="S1309" s="3"/>
    </row>
    <row r="1310" spans="2:19" x14ac:dyDescent="0.5">
      <c r="B1310" s="5" t="str">
        <f t="shared" si="1406"/>
        <v>SPS1</v>
      </c>
      <c r="C1310" s="5" t="str">
        <f t="shared" si="1407"/>
        <v>CH</v>
      </c>
      <c r="D1310" t="s">
        <v>1224</v>
      </c>
      <c r="E1310" t="str">
        <f t="shared" si="1408"/>
        <v>km/MJ</v>
      </c>
      <c r="F1310" s="1" t="str">
        <f>IFERROR(F1259/F1208,"-")</f>
        <v>-</v>
      </c>
      <c r="G1310" s="1">
        <f t="shared" ref="G1310:K1314" si="1466">IFERROR(G1259/G1199,"-")</f>
        <v>0</v>
      </c>
      <c r="H1310" s="1">
        <f t="shared" si="1466"/>
        <v>0</v>
      </c>
      <c r="I1310" s="1">
        <f t="shared" si="1466"/>
        <v>0</v>
      </c>
      <c r="J1310" s="1">
        <f t="shared" si="1466"/>
        <v>0</v>
      </c>
      <c r="K1310" s="1">
        <f t="shared" si="1466"/>
        <v>0</v>
      </c>
      <c r="L1310" s="1">
        <f t="shared" ref="L1310:O1310" si="1467">IFERROR(L1259/L1199,"-")</f>
        <v>0</v>
      </c>
      <c r="M1310" s="1">
        <f t="shared" si="1467"/>
        <v>0</v>
      </c>
      <c r="N1310" s="1">
        <f t="shared" si="1467"/>
        <v>0</v>
      </c>
      <c r="O1310" s="1">
        <f t="shared" si="1467"/>
        <v>0</v>
      </c>
      <c r="P1310" s="1">
        <f t="shared" si="1452"/>
        <v>0</v>
      </c>
      <c r="Q1310" s="1">
        <f t="shared" si="1452"/>
        <v>0</v>
      </c>
      <c r="S1310" s="3"/>
    </row>
    <row r="1311" spans="2:19" x14ac:dyDescent="0.5">
      <c r="B1311" s="5" t="str">
        <f t="shared" si="1406"/>
        <v>SPS1</v>
      </c>
      <c r="C1311" s="5" t="str">
        <f t="shared" si="1407"/>
        <v>CH</v>
      </c>
      <c r="D1311" t="s">
        <v>1225</v>
      </c>
      <c r="E1311" t="str">
        <f t="shared" si="1408"/>
        <v>km/MJ</v>
      </c>
      <c r="F1311" s="1">
        <f>IFERROR(F1260/F1209,"-")</f>
        <v>0.61528519402897031</v>
      </c>
      <c r="G1311" s="1">
        <f t="shared" si="1466"/>
        <v>2.0852524008040993</v>
      </c>
      <c r="H1311" s="1">
        <f t="shared" si="1466"/>
        <v>0.58384572832949411</v>
      </c>
      <c r="I1311" s="1">
        <f t="shared" si="1466"/>
        <v>1.2365653889586412E-2</v>
      </c>
      <c r="J1311" s="1">
        <f t="shared" si="1466"/>
        <v>3.0102783280124444E-3</v>
      </c>
      <c r="K1311" s="1">
        <f t="shared" si="1466"/>
        <v>0</v>
      </c>
      <c r="L1311" s="1">
        <f t="shared" ref="L1311:O1311" si="1468">IFERROR(L1260/L1200,"-")</f>
        <v>0</v>
      </c>
      <c r="M1311" s="1">
        <f t="shared" si="1468"/>
        <v>0</v>
      </c>
      <c r="N1311" s="1">
        <f t="shared" si="1468"/>
        <v>0</v>
      </c>
      <c r="O1311" s="1">
        <f t="shared" si="1468"/>
        <v>0</v>
      </c>
      <c r="P1311" s="1">
        <f t="shared" si="1452"/>
        <v>0</v>
      </c>
      <c r="Q1311" s="1">
        <f t="shared" si="1452"/>
        <v>0</v>
      </c>
      <c r="S1311" s="3"/>
    </row>
    <row r="1312" spans="2:19" x14ac:dyDescent="0.5">
      <c r="B1312" s="5" t="str">
        <f t="shared" si="1406"/>
        <v>SPS1</v>
      </c>
      <c r="C1312" s="5" t="str">
        <f t="shared" si="1407"/>
        <v>CH</v>
      </c>
      <c r="D1312" t="s">
        <v>1226</v>
      </c>
      <c r="E1312" t="str">
        <f t="shared" si="1408"/>
        <v>km/MJ</v>
      </c>
      <c r="F1312" s="1">
        <f>IFERROR(F1261/F1210,"-")</f>
        <v>0.63139477835498381</v>
      </c>
      <c r="G1312" s="1">
        <f t="shared" si="1466"/>
        <v>4.7453288212069365E-2</v>
      </c>
      <c r="H1312" s="1">
        <f t="shared" si="1466"/>
        <v>2.5600880085627435E-2</v>
      </c>
      <c r="I1312" s="1">
        <f t="shared" si="1466"/>
        <v>0</v>
      </c>
      <c r="J1312" s="1">
        <f t="shared" si="1466"/>
        <v>0</v>
      </c>
      <c r="K1312" s="1">
        <f t="shared" si="1466"/>
        <v>0</v>
      </c>
      <c r="L1312" s="1">
        <f t="shared" ref="L1312:O1312" si="1469">IFERROR(L1261/L1201,"-")</f>
        <v>0</v>
      </c>
      <c r="M1312" s="1">
        <f t="shared" si="1469"/>
        <v>0</v>
      </c>
      <c r="N1312" s="1">
        <f t="shared" si="1469"/>
        <v>0</v>
      </c>
      <c r="O1312" s="1">
        <f t="shared" si="1469"/>
        <v>0</v>
      </c>
      <c r="P1312" s="1">
        <f t="shared" si="1452"/>
        <v>0</v>
      </c>
      <c r="Q1312" s="1">
        <f t="shared" si="1452"/>
        <v>0</v>
      </c>
      <c r="S1312" s="3"/>
    </row>
    <row r="1313" spans="2:19" x14ac:dyDescent="0.5">
      <c r="B1313" s="5" t="str">
        <f t="shared" si="1406"/>
        <v>SPS1</v>
      </c>
      <c r="C1313" s="5" t="str">
        <f t="shared" si="1407"/>
        <v>CH</v>
      </c>
      <c r="D1313" t="s">
        <v>1227</v>
      </c>
      <c r="E1313" t="str">
        <f t="shared" si="1408"/>
        <v>km/MJ</v>
      </c>
      <c r="F1313" s="1">
        <f>IFERROR(F1262/F1211,"-")</f>
        <v>0.46782534940239062</v>
      </c>
      <c r="G1313" s="1">
        <f t="shared" si="1466"/>
        <v>0.10461371493525734</v>
      </c>
      <c r="H1313" s="1">
        <f t="shared" si="1466"/>
        <v>0.11116195141374316</v>
      </c>
      <c r="I1313" s="1">
        <f t="shared" si="1466"/>
        <v>2.9895738365687324E-3</v>
      </c>
      <c r="J1313" s="1">
        <f t="shared" si="1466"/>
        <v>8.7500836510063455E-4</v>
      </c>
      <c r="K1313" s="1">
        <f t="shared" si="1466"/>
        <v>0</v>
      </c>
      <c r="L1313" s="1">
        <f t="shared" ref="L1313:O1313" si="1470">IFERROR(L1262/L1202,"-")</f>
        <v>0</v>
      </c>
      <c r="M1313" s="1">
        <f t="shared" si="1470"/>
        <v>0</v>
      </c>
      <c r="N1313" s="1">
        <f t="shared" si="1470"/>
        <v>0</v>
      </c>
      <c r="O1313" s="1">
        <f t="shared" si="1470"/>
        <v>0</v>
      </c>
      <c r="P1313" s="1">
        <f t="shared" si="1452"/>
        <v>0</v>
      </c>
      <c r="Q1313" s="1">
        <f t="shared" si="1452"/>
        <v>0</v>
      </c>
      <c r="S1313" s="3"/>
    </row>
    <row r="1314" spans="2:19" x14ac:dyDescent="0.5">
      <c r="B1314" s="5" t="str">
        <f t="shared" si="1406"/>
        <v>SPS1</v>
      </c>
      <c r="C1314" s="5" t="str">
        <f t="shared" si="1407"/>
        <v>CH</v>
      </c>
      <c r="D1314" t="s">
        <v>1228</v>
      </c>
      <c r="E1314" t="str">
        <f t="shared" si="1408"/>
        <v>km/MJ</v>
      </c>
      <c r="F1314" s="1">
        <f>IFERROR(F1263/F1212,"-")</f>
        <v>0.68268704597580421</v>
      </c>
      <c r="G1314" s="1">
        <f t="shared" si="1466"/>
        <v>0.30009127093586191</v>
      </c>
      <c r="H1314" s="1">
        <f t="shared" si="1466"/>
        <v>0.27223917502407974</v>
      </c>
      <c r="I1314" s="1">
        <f t="shared" si="1466"/>
        <v>0</v>
      </c>
      <c r="J1314" s="1">
        <f t="shared" si="1466"/>
        <v>0</v>
      </c>
      <c r="K1314" s="1" t="str">
        <f t="shared" si="1466"/>
        <v>-</v>
      </c>
      <c r="L1314" s="1" t="str">
        <f t="shared" ref="L1314:O1314" si="1471">IFERROR(L1263/L1203,"-")</f>
        <v>-</v>
      </c>
      <c r="M1314" s="1" t="str">
        <f t="shared" si="1471"/>
        <v>-</v>
      </c>
      <c r="N1314" s="1" t="str">
        <f t="shared" si="1471"/>
        <v>-</v>
      </c>
      <c r="O1314" s="1" t="str">
        <f t="shared" si="1471"/>
        <v>-</v>
      </c>
      <c r="P1314" s="1" t="str">
        <f t="shared" si="1452"/>
        <v>-</v>
      </c>
      <c r="Q1314" s="1" t="str">
        <f t="shared" si="1452"/>
        <v>-</v>
      </c>
      <c r="S1314" s="3"/>
    </row>
    <row r="1315" spans="2:19" x14ac:dyDescent="0.5">
      <c r="B1315" s="9" t="str">
        <f t="shared" ref="B1315" si="1472">B1314</f>
        <v>SPS1</v>
      </c>
      <c r="C1315" s="9" t="str">
        <f t="shared" ref="C1315" si="1473">C1314</f>
        <v>CH</v>
      </c>
      <c r="D1315" s="2" t="s">
        <v>1304</v>
      </c>
      <c r="E1315" s="2" t="s">
        <v>8</v>
      </c>
      <c r="F1315" s="3">
        <f>F1316+F1322+F1327+F1341</f>
        <v>0.7571434288339205</v>
      </c>
      <c r="G1315" s="3">
        <f t="shared" ref="G1315:K1315" si="1474">G1316+G1322+G1327+G1341</f>
        <v>1.334247687816565</v>
      </c>
      <c r="H1315" s="3">
        <f t="shared" si="1474"/>
        <v>2.3520107158411774</v>
      </c>
      <c r="I1315" s="3">
        <f t="shared" si="1474"/>
        <v>1.1899577124866363</v>
      </c>
      <c r="J1315" s="3">
        <f t="shared" si="1474"/>
        <v>1.1960550959860976</v>
      </c>
      <c r="K1315" s="3">
        <f t="shared" si="1474"/>
        <v>1.1826612560180971</v>
      </c>
      <c r="L1315" s="3">
        <f t="shared" ref="L1315:O1315" si="1475">L1316+L1322+L1327+L1341</f>
        <v>1.18354493007372</v>
      </c>
      <c r="M1315" s="3">
        <f t="shared" si="1475"/>
        <v>1.1486304707784716</v>
      </c>
      <c r="N1315" s="3">
        <f t="shared" si="1475"/>
        <v>1.1644408994816624</v>
      </c>
      <c r="O1315" s="3">
        <f t="shared" si="1475"/>
        <v>1.1927217509997063</v>
      </c>
      <c r="P1315" s="3">
        <f>P1316+P1322+P1327+P1341</f>
        <v>1.2291851718448619</v>
      </c>
      <c r="Q1315" s="3">
        <f>Q1316+Q1322+Q1327+Q1341</f>
        <v>1.2712607654511687</v>
      </c>
      <c r="S1315" s="3"/>
    </row>
    <row r="1316" spans="2:19" x14ac:dyDescent="0.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5.8031553249470501E-3</v>
      </c>
      <c r="G1316" s="1">
        <f t="shared" ref="G1316:K1316" si="1476">SUM(G1317:G1321)</f>
        <v>1.2592895309228653E-2</v>
      </c>
      <c r="H1316" s="1">
        <f t="shared" si="1476"/>
        <v>1.6952113768767752E-2</v>
      </c>
      <c r="I1316" s="1">
        <f t="shared" si="1476"/>
        <v>1.1899140436257132</v>
      </c>
      <c r="J1316" s="1">
        <f t="shared" si="1476"/>
        <v>1.1960550959860976</v>
      </c>
      <c r="K1316" s="1">
        <f t="shared" si="1476"/>
        <v>1.1826599727544951</v>
      </c>
      <c r="L1316" s="1">
        <f t="shared" ref="L1316:O1316" si="1477">SUM(L1317:L1321)</f>
        <v>1.1835446203948272</v>
      </c>
      <c r="M1316" s="1">
        <f t="shared" si="1477"/>
        <v>1.1486304707784716</v>
      </c>
      <c r="N1316" s="1">
        <f t="shared" si="1477"/>
        <v>1.1644408994816624</v>
      </c>
      <c r="O1316" s="1">
        <f t="shared" si="1477"/>
        <v>1.1927217509997063</v>
      </c>
      <c r="P1316" s="1">
        <f>SUM(P1317:P1321)</f>
        <v>1.2291851718448619</v>
      </c>
      <c r="Q1316" s="1">
        <f>SUM(Q1317:Q1321)</f>
        <v>1.2712607654511687</v>
      </c>
      <c r="S1316" s="3"/>
    </row>
    <row r="1317" spans="2:19" x14ac:dyDescent="0.5">
      <c r="B1317" s="5" t="str">
        <f t="shared" ref="B1317:B1350" si="1478">B1316</f>
        <v>SPS1</v>
      </c>
      <c r="C1317" s="5" t="str">
        <f t="shared" ref="C1317:C1350" si="1479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4.7411210980621745E-4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4.7533091495459103E-4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4.6653548803155632E-4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M1317" s="1" cm="1">
        <f t="array" ref="M1317">SUMPRODUCT(("T_B_u-BeVELCEXT"=[1]OUT_TransportEnergyCons!$A$3:$A$1000)*1,("Var_Fin"=[1]OUT_TransportEnergyCons!$B$3:$B$1000)*1,ISNUMBER(SEARCH("ELC",[1]OUT_TransportEnergyCons!$C$3:$C$1000))*1,[1]OUT_TransportEnergyCons!K$3:K$1000)</f>
        <v>0</v>
      </c>
      <c r="N1317" s="1" cm="1">
        <f t="array" ref="N1317">SUMPRODUCT(("T_B_u-BeVELCEXT"=[1]OUT_TransportEnergyCons!$A$3:$A$1000)*1,("Var_Fin"=[1]OUT_TransportEnergyCons!$B$3:$B$1000)*1,ISNUMBER(SEARCH("ELC",[1]OUT_TransportEnergyCons!$C$3:$C$1000))*1,[1]OUT_TransportEnergyCons!L$3:L$1000)</f>
        <v>0</v>
      </c>
      <c r="O1317" s="1" cm="1">
        <f t="array" ref="O1317">SUMPRODUCT(("T_B_u-BeVELCEXT"=[1]OUT_TransportEnergyCons!$A$3:$A$1000)*1,("Var_Fin"=[1]OUT_TransportEnergyCons!$B$3:$B$1000)*1,ISNUMBER(SEARCH("ELC",[1]OUT_TransportEnergyCons!$C$3:$C$1000))*1,[1]OUT_TransportEnergyCons!M$3:M$1000)</f>
        <v>0</v>
      </c>
      <c r="P1317" s="1" cm="1">
        <f t="array" ref="P1317">SUMPRODUCT(("T_B_u-BeVELCEXT"=[1]OUT_TransportEnergyCons!$A$3:$A$1000)*1,("Var_Fin"=[1]OUT_TransportEnergyCons!$B$3:$B$1000)*1,ISNUMBER(SEARCH("ELC",[1]OUT_TransportEnergyCons!$C$3:$C$1000))*1,[1]OUT_TransportEnergyCons!N$3:N$1000)</f>
        <v>0</v>
      </c>
      <c r="Q1317" s="1" cm="1">
        <f t="array" ref="Q1317">SUMPRODUCT(("T_B_u-BeVELCEXT"=[1]OUT_TransportEnergyCons!$A$3:$A$1000)*1,("Var_Fin"=[1]OUT_TransportEnergyCons!$B$3:$B$1000)*1,ISNUMBER(SEARCH("ELC",[1]OUT_TransportEnergyCons!$C$3:$C$1000))*1,[1]OUT_TransportEnergyCons!O$3:O$1000)</f>
        <v>0</v>
      </c>
      <c r="S1317" s="3"/>
    </row>
    <row r="1318" spans="2:19" x14ac:dyDescent="0.5">
      <c r="B1318" s="5" t="str">
        <f t="shared" si="1478"/>
        <v>SPS1</v>
      </c>
      <c r="C1318" s="5" t="str">
        <f t="shared" si="1479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3.5111042096261272E-7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7.1046122582411994E-4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1.8050090696778633E-3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0.24024105500029122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0.24410825705175912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0.25235320112934795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0.25023599546904518</v>
      </c>
      <c r="M1318" s="1" cm="1">
        <f t="array" ref="M1318">SUMPRODUCT(("T_B_u-BEVELC-S1"=[1]OUT_TransportEnergyCons!$A$3:$A$1000)*1,("Var_Fin"=[1]OUT_TransportEnergyCons!$B$3:$B$1000)*1,ISNUMBER(SEARCH("ELC",[1]OUT_TransportEnergyCons!$C$3:$C$1000))*1,[1]OUT_TransportEnergyCons!K$3:K$1000)</f>
        <v>0.24186289699085689</v>
      </c>
      <c r="N1318" s="1" cm="1">
        <f t="array" ref="N1318">SUMPRODUCT(("T_B_u-BEVELC-S1"=[1]OUT_TransportEnergyCons!$A$3:$A$1000)*1,("Var_Fin"=[1]OUT_TransportEnergyCons!$B$3:$B$1000)*1,ISNUMBER(SEARCH("ELC",[1]OUT_TransportEnergyCons!$C$3:$C$1000))*1,[1]OUT_TransportEnergyCons!L$3:L$1000)</f>
        <v>0.24523865561700942</v>
      </c>
      <c r="O1318" s="1" cm="1">
        <f t="array" ref="O1318">SUMPRODUCT(("T_B_u-BEVELC-S1"=[1]OUT_TransportEnergyCons!$A$3:$A$1000)*1,("Var_Fin"=[1]OUT_TransportEnergyCons!$B$3:$B$1000)*1,ISNUMBER(SEARCH("ELC",[1]OUT_TransportEnergyCons!$C$3:$C$1000))*1,[1]OUT_TransportEnergyCons!M$3:M$1000)</f>
        <v>0.25039011114187221</v>
      </c>
      <c r="P1318" s="1" cm="1">
        <f t="array" ref="P1318">SUMPRODUCT(("T_B_u-BEVELC-S1"=[1]OUT_TransportEnergyCons!$A$3:$A$1000)*1,("Var_Fin"=[1]OUT_TransportEnergyCons!$B$3:$B$1000)*1,ISNUMBER(SEARCH("ELC",[1]OUT_TransportEnergyCons!$C$3:$C$1000))*1,[1]OUT_TransportEnergyCons!N$3:N$1000)</f>
        <v>0.25803496732846903</v>
      </c>
      <c r="Q1318" s="1" cm="1">
        <f t="array" ref="Q1318">SUMPRODUCT(("T_B_u-BEVELC-S1"=[1]OUT_TransportEnergyCons!$A$3:$A$1000)*1,("Var_Fin"=[1]OUT_TransportEnergyCons!$B$3:$B$1000)*1,ISNUMBER(SEARCH("ELC",[1]OUT_TransportEnergyCons!$C$3:$C$1000))*1,[1]OUT_TransportEnergyCons!O$3:O$1000)</f>
        <v>0.26680039992357335</v>
      </c>
      <c r="S1318" s="3"/>
    </row>
    <row r="1319" spans="2:19" x14ac:dyDescent="0.5">
      <c r="B1319" s="5" t="str">
        <f t="shared" si="1478"/>
        <v>SPS1</v>
      </c>
      <c r="C1319" s="5" t="str">
        <f t="shared" si="1479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1.3159913661508291E-3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2.2817716344559974E-3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3.6659324601859898E-3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0.12299822349610479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0.12240068025908506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0.12619896262257022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0.12536669329653974</v>
      </c>
      <c r="M1319" s="1" cm="1">
        <f t="array" ref="M1319">SUMPRODUCT(("T_B_u-BEVELC-S2"=[1]OUT_TransportEnergyCons!$A$3:$A$1000)*1,("Var_Fin"=[1]OUT_TransportEnergyCons!$B$3:$B$1000)*1,ISNUMBER(SEARCH("ELC",[1]OUT_TransportEnergyCons!$C$3:$C$1000))*1,[1]OUT_TransportEnergyCons!K$3:K$1000)</f>
        <v>0.12085488335196533</v>
      </c>
      <c r="N1319" s="1" cm="1">
        <f t="array" ref="N1319">SUMPRODUCT(("T_B_u-BEVELC-S2"=[1]OUT_TransportEnergyCons!$A$3:$A$1000)*1,("Var_Fin"=[1]OUT_TransportEnergyCons!$B$3:$B$1000)*1,ISNUMBER(SEARCH("ELC",[1]OUT_TransportEnergyCons!$C$3:$C$1000))*1,[1]OUT_TransportEnergyCons!L$3:L$1000)</f>
        <v>0.12248717980952524</v>
      </c>
      <c r="O1319" s="1" cm="1">
        <f t="array" ref="O1319">SUMPRODUCT(("T_B_u-BEVELC-S2"=[1]OUT_TransportEnergyCons!$A$3:$A$1000)*1,("Var_Fin"=[1]OUT_TransportEnergyCons!$B$3:$B$1000)*1,ISNUMBER(SEARCH("ELC",[1]OUT_TransportEnergyCons!$C$3:$C$1000))*1,[1]OUT_TransportEnergyCons!M$3:M$1000)</f>
        <v>0.12492005754294633</v>
      </c>
      <c r="P1319" s="1" cm="1">
        <f t="array" ref="P1319">SUMPRODUCT(("T_B_u-BEVELC-S2"=[1]OUT_TransportEnergyCons!$A$3:$A$1000)*1,("Var_Fin"=[1]OUT_TransportEnergyCons!$B$3:$B$1000)*1,ISNUMBER(SEARCH("ELC",[1]OUT_TransportEnergyCons!$C$3:$C$1000))*1,[1]OUT_TransportEnergyCons!N$3:N$1000)</f>
        <v>0.12873654426536713</v>
      </c>
      <c r="Q1319" s="1" cm="1">
        <f t="array" ref="Q1319">SUMPRODUCT(("T_B_u-BEVELC-S2"=[1]OUT_TransportEnergyCons!$A$3:$A$1000)*1,("Var_Fin"=[1]OUT_TransportEnergyCons!$B$3:$B$1000)*1,ISNUMBER(SEARCH("ELC",[1]OUT_TransportEnergyCons!$C$3:$C$1000))*1,[1]OUT_TransportEnergyCons!O$3:O$1000)</f>
        <v>0.13313404634043483</v>
      </c>
      <c r="S1319" s="3"/>
    </row>
    <row r="1320" spans="2:19" x14ac:dyDescent="0.5">
      <c r="B1320" s="5" t="str">
        <f t="shared" si="1478"/>
        <v>SPS1</v>
      </c>
      <c r="C1320" s="5" t="str">
        <f t="shared" si="1479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3.8229962059645123E-3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8.9453146021083625E-3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1.0691040667230539E-2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0.80648070137597661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0.82808625263562208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0.80400927744083173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0.80785632567838239</v>
      </c>
      <c r="M1320" s="1" cm="1">
        <f t="array" ref="M1320">SUMPRODUCT(("T_B_u-BEVELC-S3"=[1]OUT_TransportEnergyCons!$A$3:$A$1000)*1,("Var_Fin"=[1]OUT_TransportEnergyCons!$B$3:$B$1000)*1,ISNUMBER(SEARCH("ELC",[1]OUT_TransportEnergyCons!$C$3:$C$1000))*1,[1]OUT_TransportEnergyCons!K$3:K$1000)</f>
        <v>0.78576711160347468</v>
      </c>
      <c r="N1320" s="1" cm="1">
        <f t="array" ref="N1320">SUMPRODUCT(("T_B_u-BEVELC-S3"=[1]OUT_TransportEnergyCons!$A$3:$A$1000)*1,("Var_Fin"=[1]OUT_TransportEnergyCons!$B$3:$B$1000)*1,ISNUMBER(SEARCH("ELC",[1]OUT_TransportEnergyCons!$C$3:$C$1000))*1,[1]OUT_TransportEnergyCons!L$3:L$1000)</f>
        <v>0.79657927258007744</v>
      </c>
      <c r="O1320" s="1" cm="1">
        <f t="array" ref="O1320">SUMPRODUCT(("T_B_u-BEVELC-S3"=[1]OUT_TransportEnergyCons!$A$3:$A$1000)*1,("Var_Fin"=[1]OUT_TransportEnergyCons!$B$3:$B$1000)*1,ISNUMBER(SEARCH("ELC",[1]OUT_TransportEnergyCons!$C$3:$C$1000))*1,[1]OUT_TransportEnergyCons!M$3:M$1000)</f>
        <v>0.81722320970239981</v>
      </c>
      <c r="P1320" s="1" cm="1">
        <f t="array" ref="P1320">SUMPRODUCT(("T_B_u-BEVELC-S3"=[1]OUT_TransportEnergyCons!$A$3:$A$1000)*1,("Var_Fin"=[1]OUT_TransportEnergyCons!$B$3:$B$1000)*1,ISNUMBER(SEARCH("ELC",[1]OUT_TransportEnergyCons!$C$3:$C$1000))*1,[1]OUT_TransportEnergyCons!N$3:N$1000)</f>
        <v>0.84219719457795217</v>
      </c>
      <c r="Q1320" s="1" cm="1">
        <f t="array" ref="Q1320">SUMPRODUCT(("T_B_u-BEVELC-S3"=[1]OUT_TransportEnergyCons!$A$3:$A$1000)*1,("Var_Fin"=[1]OUT_TransportEnergyCons!$B$3:$B$1000)*1,ISNUMBER(SEARCH("ELC",[1]OUT_TransportEnergyCons!$C$3:$C$1000))*1,[1]OUT_TransportEnergyCons!O$3:O$1000)</f>
        <v>0.87096035364626379</v>
      </c>
      <c r="S1320" s="3"/>
    </row>
    <row r="1321" spans="2:19" x14ac:dyDescent="0.5">
      <c r="B1321" s="5" t="str">
        <f t="shared" si="1478"/>
        <v>SPS1</v>
      </c>
      <c r="C1321" s="5" t="str">
        <f t="shared" si="1479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1.8970453260452891E-4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1.8001693188558326E-4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3.2359608364180523E-4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2.0194063753340388E-2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1.4599060396313652E-3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9.8531561745185899E-5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8.5605950859750425E-5</v>
      </c>
      <c r="M1321" s="1" cm="1">
        <f t="array" ref="M1321">SUMPRODUCT(("T_B_u-BEVELC-S4"=[1]OUT_TransportEnergyCons!$A$3:$A$1000)*1,("Var_Fin"=[1]OUT_TransportEnergyCons!$B$3:$B$1000)*1,ISNUMBER(SEARCH("ELC",[1]OUT_TransportEnergyCons!$C$3:$C$1000))*1,[1]OUT_TransportEnergyCons!K$3:K$1000)</f>
        <v>1.4557883217465901E-4</v>
      </c>
      <c r="N1321" s="1" cm="1">
        <f t="array" ref="N1321">SUMPRODUCT(("T_B_u-BEVELC-S4"=[1]OUT_TransportEnergyCons!$A$3:$A$1000)*1,("Var_Fin"=[1]OUT_TransportEnergyCons!$B$3:$B$1000)*1,ISNUMBER(SEARCH("ELC",[1]OUT_TransportEnergyCons!$C$3:$C$1000))*1,[1]OUT_TransportEnergyCons!L$3:L$1000)</f>
        <v>1.3579147505044336E-4</v>
      </c>
      <c r="O1321" s="1" cm="1">
        <f t="array" ref="O1321">SUMPRODUCT(("T_B_u-BEVELC-S4"=[1]OUT_TransportEnergyCons!$A$3:$A$1000)*1,("Var_Fin"=[1]OUT_TransportEnergyCons!$B$3:$B$1000)*1,ISNUMBER(SEARCH("ELC",[1]OUT_TransportEnergyCons!$C$3:$C$1000))*1,[1]OUT_TransportEnergyCons!M$3:M$1000)</f>
        <v>1.8837261248800182E-4</v>
      </c>
      <c r="P1321" s="1" cm="1">
        <f t="array" ref="P1321">SUMPRODUCT(("T_B_u-BEVELC-S4"=[1]OUT_TransportEnergyCons!$A$3:$A$1000)*1,("Var_Fin"=[1]OUT_TransportEnergyCons!$B$3:$B$1000)*1,ISNUMBER(SEARCH("ELC",[1]OUT_TransportEnergyCons!$C$3:$C$1000))*1,[1]OUT_TransportEnergyCons!N$3:N$1000)</f>
        <v>2.1646567307358083E-4</v>
      </c>
      <c r="Q1321" s="1" cm="1">
        <f t="array" ref="Q1321">SUMPRODUCT(("T_B_u-BEVELC-S4"=[1]OUT_TransportEnergyCons!$A$3:$A$1000)*1,("Var_Fin"=[1]OUT_TransportEnergyCons!$B$3:$B$1000)*1,ISNUMBER(SEARCH("ELC",[1]OUT_TransportEnergyCons!$C$3:$C$1000))*1,[1]OUT_TransportEnergyCons!O$3:O$1000)</f>
        <v>3.6596554089683155E-4</v>
      </c>
      <c r="S1321" s="3"/>
    </row>
    <row r="1322" spans="2:19" x14ac:dyDescent="0.5">
      <c r="B1322" s="5" t="str">
        <f t="shared" si="1478"/>
        <v>SPS1</v>
      </c>
      <c r="C1322" s="5" t="str">
        <f t="shared" si="1479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80">SUM(G1323:G1326)</f>
        <v>0</v>
      </c>
      <c r="H1322" s="1">
        <f t="shared" si="1480"/>
        <v>0</v>
      </c>
      <c r="I1322" s="1">
        <f t="shared" si="1480"/>
        <v>0</v>
      </c>
      <c r="J1322" s="1">
        <f t="shared" si="1480"/>
        <v>0</v>
      </c>
      <c r="K1322" s="1">
        <f t="shared" si="1480"/>
        <v>3.3803312681013865E-7</v>
      </c>
      <c r="L1322" s="1">
        <f t="shared" ref="L1322:O1322" si="1481">SUM(L1323:L1326)</f>
        <v>3.0967889274234752E-7</v>
      </c>
      <c r="M1322" s="1">
        <f t="shared" si="1481"/>
        <v>0</v>
      </c>
      <c r="N1322" s="1">
        <f t="shared" si="1481"/>
        <v>0</v>
      </c>
      <c r="O1322" s="1">
        <f t="shared" si="1481"/>
        <v>0</v>
      </c>
      <c r="P1322" s="1">
        <f>SUM(P1323:P1326)</f>
        <v>0</v>
      </c>
      <c r="Q1322" s="1">
        <f>SUM(Q1323:Q1326)</f>
        <v>0</v>
      </c>
      <c r="S1322" s="3"/>
    </row>
    <row r="1323" spans="2:19" x14ac:dyDescent="0.5">
      <c r="B1323" s="5" t="str">
        <f t="shared" si="1478"/>
        <v>SPS1</v>
      </c>
      <c r="C1323" s="5" t="str">
        <f t="shared" si="1479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0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0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0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0</v>
      </c>
      <c r="M1323" s="1" cm="1">
        <f t="array" ref="M1323">SUMPRODUCT(("T_B_u-FCLH2O-S1"=[1]OUT_TransportEnergyCons!$A$3:$A$1000)*1,("Var_Fin"=[1]OUT_TransportEnergyCons!$B$3:$B$1000)*1,ISNUMBER(SEARCH("H2",[1]OUT_TransportEnergyCons!$C$3:$C$1000))*1,[1]OUT_TransportEnergyCons!K$3:K$1000)</f>
        <v>0</v>
      </c>
      <c r="N1323" s="1" cm="1">
        <f t="array" ref="N1323">SUMPRODUCT(("T_B_u-FCLH2O-S1"=[1]OUT_TransportEnergyCons!$A$3:$A$1000)*1,("Var_Fin"=[1]OUT_TransportEnergyCons!$B$3:$B$1000)*1,ISNUMBER(SEARCH("H2",[1]OUT_TransportEnergyCons!$C$3:$C$1000))*1,[1]OUT_TransportEnergyCons!L$3:L$1000)</f>
        <v>0</v>
      </c>
      <c r="O1323" s="1" cm="1">
        <f t="array" ref="O1323">SUMPRODUCT(("T_B_u-FCLH2O-S1"=[1]OUT_TransportEnergyCons!$A$3:$A$1000)*1,("Var_Fin"=[1]OUT_TransportEnergyCons!$B$3:$B$1000)*1,ISNUMBER(SEARCH("H2",[1]OUT_TransportEnergyCons!$C$3:$C$1000))*1,[1]OUT_TransportEnergyCons!M$3:M$1000)</f>
        <v>0</v>
      </c>
      <c r="P1323" s="1" cm="1">
        <f t="array" ref="P1323">SUMPRODUCT(("T_B_u-FCLH2O-S1"=[1]OUT_TransportEnergyCons!$A$3:$A$1000)*1,("Var_Fin"=[1]OUT_TransportEnergyCons!$B$3:$B$1000)*1,ISNUMBER(SEARCH("H2",[1]OUT_TransportEnergyCons!$C$3:$C$1000))*1,[1]OUT_TransportEnergyCons!N$3:N$1000)</f>
        <v>0</v>
      </c>
      <c r="Q1323" s="1" cm="1">
        <f t="array" ref="Q1323">SUMPRODUCT(("T_B_u-FCLH2O-S1"=[1]OUT_TransportEnergyCons!$A$3:$A$1000)*1,("Var_Fin"=[1]OUT_TransportEnergyCons!$B$3:$B$1000)*1,ISNUMBER(SEARCH("H2",[1]OUT_TransportEnergyCons!$C$3:$C$1000))*1,[1]OUT_TransportEnergyCons!O$3:O$1000)</f>
        <v>0</v>
      </c>
      <c r="S1323" s="3"/>
    </row>
    <row r="1324" spans="2:19" x14ac:dyDescent="0.5">
      <c r="B1324" s="5" t="str">
        <f t="shared" si="1478"/>
        <v>SPS1</v>
      </c>
      <c r="C1324" s="5" t="str">
        <f t="shared" si="1479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0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0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0</v>
      </c>
      <c r="M1324" s="1" cm="1">
        <f t="array" ref="M1324">SUMPRODUCT(("T_B_u-FCLH2O-S2"=[1]OUT_TransportEnergyCons!$A$3:$A$1000)*1,("Var_Fin"=[1]OUT_TransportEnergyCons!$B$3:$B$1000)*1,ISNUMBER(SEARCH("H2",[1]OUT_TransportEnergyCons!$C$3:$C$1000))*1,[1]OUT_TransportEnergyCons!K$3:K$1000)</f>
        <v>0</v>
      </c>
      <c r="N1324" s="1" cm="1">
        <f t="array" ref="N1324">SUMPRODUCT(("T_B_u-FCLH2O-S2"=[1]OUT_TransportEnergyCons!$A$3:$A$1000)*1,("Var_Fin"=[1]OUT_TransportEnergyCons!$B$3:$B$1000)*1,ISNUMBER(SEARCH("H2",[1]OUT_TransportEnergyCons!$C$3:$C$1000))*1,[1]OUT_TransportEnergyCons!L$3:L$1000)</f>
        <v>0</v>
      </c>
      <c r="O1324" s="1" cm="1">
        <f t="array" ref="O1324">SUMPRODUCT(("T_B_u-FCLH2O-S2"=[1]OUT_TransportEnergyCons!$A$3:$A$1000)*1,("Var_Fin"=[1]OUT_TransportEnergyCons!$B$3:$B$1000)*1,ISNUMBER(SEARCH("H2",[1]OUT_TransportEnergyCons!$C$3:$C$1000))*1,[1]OUT_TransportEnergyCons!M$3:M$1000)</f>
        <v>0</v>
      </c>
      <c r="P1324" s="1" cm="1">
        <f t="array" ref="P1324">SUMPRODUCT(("T_B_u-FCLH2O-S2"=[1]OUT_TransportEnergyCons!$A$3:$A$1000)*1,("Var_Fin"=[1]OUT_TransportEnergyCons!$B$3:$B$1000)*1,ISNUMBER(SEARCH("H2",[1]OUT_TransportEnergyCons!$C$3:$C$1000))*1,[1]OUT_TransportEnergyCons!N$3:N$1000)</f>
        <v>0</v>
      </c>
      <c r="Q1324" s="1" cm="1">
        <f t="array" ref="Q1324">SUMPRODUCT(("T_B_u-FCLH2O-S2"=[1]OUT_TransportEnergyCons!$A$3:$A$1000)*1,("Var_Fin"=[1]OUT_TransportEnergyCons!$B$3:$B$1000)*1,ISNUMBER(SEARCH("H2",[1]OUT_TransportEnergyCons!$C$3:$C$1000))*1,[1]OUT_TransportEnergyCons!O$3:O$1000)</f>
        <v>0</v>
      </c>
      <c r="S1324" s="3"/>
    </row>
    <row r="1325" spans="2:19" x14ac:dyDescent="0.5">
      <c r="B1325" s="5" t="str">
        <f t="shared" si="1478"/>
        <v>SPS1</v>
      </c>
      <c r="C1325" s="5" t="str">
        <f t="shared" si="1479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0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3.3803312681013865E-7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3.0967889274234752E-7</v>
      </c>
      <c r="M1325" s="1" cm="1">
        <f t="array" ref="M1325">SUMPRODUCT(("T_B_u-FCLH2O-S3"=[1]OUT_TransportEnergyCons!$A$3:$A$1000)*1,("Var_Fin"=[1]OUT_TransportEnergyCons!$B$3:$B$1000)*1,ISNUMBER(SEARCH("H2",[1]OUT_TransportEnergyCons!$C$3:$C$1000))*1,[1]OUT_TransportEnergyCons!K$3:K$1000)</f>
        <v>0</v>
      </c>
      <c r="N1325" s="1" cm="1">
        <f t="array" ref="N1325">SUMPRODUCT(("T_B_u-FCLH2O-S3"=[1]OUT_TransportEnergyCons!$A$3:$A$1000)*1,("Var_Fin"=[1]OUT_TransportEnergyCons!$B$3:$B$1000)*1,ISNUMBER(SEARCH("H2",[1]OUT_TransportEnergyCons!$C$3:$C$1000))*1,[1]OUT_TransportEnergyCons!L$3:L$1000)</f>
        <v>0</v>
      </c>
      <c r="O1325" s="1" cm="1">
        <f t="array" ref="O1325">SUMPRODUCT(("T_B_u-FCLH2O-S3"=[1]OUT_TransportEnergyCons!$A$3:$A$1000)*1,("Var_Fin"=[1]OUT_TransportEnergyCons!$B$3:$B$1000)*1,ISNUMBER(SEARCH("H2",[1]OUT_TransportEnergyCons!$C$3:$C$1000))*1,[1]OUT_TransportEnergyCons!M$3:M$1000)</f>
        <v>0</v>
      </c>
      <c r="P1325" s="1" cm="1">
        <f t="array" ref="P1325">SUMPRODUCT(("T_B_u-FCLH2O-S3"=[1]OUT_TransportEnergyCons!$A$3:$A$1000)*1,("Var_Fin"=[1]OUT_TransportEnergyCons!$B$3:$B$1000)*1,ISNUMBER(SEARCH("H2",[1]OUT_TransportEnergyCons!$C$3:$C$1000))*1,[1]OUT_TransportEnergyCons!N$3:N$1000)</f>
        <v>0</v>
      </c>
      <c r="Q1325" s="1" cm="1">
        <f t="array" ref="Q1325">SUMPRODUCT(("T_B_u-FCLH2O-S3"=[1]OUT_TransportEnergyCons!$A$3:$A$1000)*1,("Var_Fin"=[1]OUT_TransportEnergyCons!$B$3:$B$1000)*1,ISNUMBER(SEARCH("H2",[1]OUT_TransportEnergyCons!$C$3:$C$1000))*1,[1]OUT_TransportEnergyCons!O$3:O$1000)</f>
        <v>0</v>
      </c>
      <c r="S1325" s="3"/>
    </row>
    <row r="1326" spans="2:19" x14ac:dyDescent="0.5">
      <c r="B1326" s="5" t="str">
        <f t="shared" si="1478"/>
        <v>SPS1</v>
      </c>
      <c r="C1326" s="5" t="str">
        <f t="shared" si="1479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0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0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0</v>
      </c>
      <c r="M1326" s="1" cm="1">
        <f t="array" ref="M1326">SUMPRODUCT(("T_B_u-FCLH2O-S4"=[1]OUT_TransportEnergyCons!$A$3:$A$1000)*1,("Var_Fin"=[1]OUT_TransportEnergyCons!$B$3:$B$1000)*1,ISNUMBER(SEARCH("H2",[1]OUT_TransportEnergyCons!$C$3:$C$1000))*1,[1]OUT_TransportEnergyCons!K$3:K$1000)</f>
        <v>0</v>
      </c>
      <c r="N1326" s="1" cm="1">
        <f t="array" ref="N1326">SUMPRODUCT(("T_B_u-FCLH2O-S4"=[1]OUT_TransportEnergyCons!$A$3:$A$1000)*1,("Var_Fin"=[1]OUT_TransportEnergyCons!$B$3:$B$1000)*1,ISNUMBER(SEARCH("H2",[1]OUT_TransportEnergyCons!$C$3:$C$1000))*1,[1]OUT_TransportEnergyCons!L$3:L$1000)</f>
        <v>0</v>
      </c>
      <c r="O1326" s="1" cm="1">
        <f t="array" ref="O1326">SUMPRODUCT(("T_B_u-FCLH2O-S4"=[1]OUT_TransportEnergyCons!$A$3:$A$1000)*1,("Var_Fin"=[1]OUT_TransportEnergyCons!$B$3:$B$1000)*1,ISNUMBER(SEARCH("H2",[1]OUT_TransportEnergyCons!$C$3:$C$1000))*1,[1]OUT_TransportEnergyCons!M$3:M$1000)</f>
        <v>0</v>
      </c>
      <c r="P1326" s="1" cm="1">
        <f t="array" ref="P1326">SUMPRODUCT(("T_B_u-FCLH2O-S4"=[1]OUT_TransportEnergyCons!$A$3:$A$1000)*1,("Var_Fin"=[1]OUT_TransportEnergyCons!$B$3:$B$1000)*1,ISNUMBER(SEARCH("H2",[1]OUT_TransportEnergyCons!$C$3:$C$1000))*1,[1]OUT_TransportEnergyCons!N$3:N$1000)</f>
        <v>0</v>
      </c>
      <c r="Q1326" s="1" cm="1">
        <f t="array" ref="Q1326">SUMPRODUCT(("T_B_u-FCLH2O-S4"=[1]OUT_TransportEnergyCons!$A$3:$A$1000)*1,("Var_Fin"=[1]OUT_TransportEnergyCons!$B$3:$B$1000)*1,ISNUMBER(SEARCH("H2",[1]OUT_TransportEnergyCons!$C$3:$C$1000))*1,[1]OUT_TransportEnergyCons!O$3:O$1000)</f>
        <v>0</v>
      </c>
      <c r="S1326" s="3"/>
    </row>
    <row r="1327" spans="2:19" x14ac:dyDescent="0.5">
      <c r="B1327" s="5" t="str">
        <f t="shared" si="1478"/>
        <v>SPS1</v>
      </c>
      <c r="C1327" s="5" t="str">
        <f t="shared" si="1479"/>
        <v>CH</v>
      </c>
      <c r="D1327" t="s">
        <v>1317</v>
      </c>
      <c r="E1327" t="s">
        <v>8</v>
      </c>
      <c r="F1327" s="1">
        <f>SUM(F1332:F1340)</f>
        <v>0.75102449041107355</v>
      </c>
      <c r="G1327" s="1">
        <f t="shared" ref="G1327:K1327" si="1482">SUM(G1332:G1340)</f>
        <v>1.3209461356971164</v>
      </c>
      <c r="H1327" s="1">
        <f t="shared" si="1482"/>
        <v>2.3140666760030904</v>
      </c>
      <c r="I1327" s="1">
        <f t="shared" si="1482"/>
        <v>4.3668860923091405E-5</v>
      </c>
      <c r="J1327" s="1">
        <f t="shared" si="1482"/>
        <v>0</v>
      </c>
      <c r="K1327" s="1">
        <f t="shared" si="1482"/>
        <v>0</v>
      </c>
      <c r="L1327" s="1">
        <f t="shared" ref="L1327:O1327" si="1483">SUM(L1332:L1340)</f>
        <v>0</v>
      </c>
      <c r="M1327" s="1">
        <f t="shared" si="1483"/>
        <v>0</v>
      </c>
      <c r="N1327" s="1">
        <f t="shared" si="1483"/>
        <v>0</v>
      </c>
      <c r="O1327" s="1">
        <f t="shared" si="1483"/>
        <v>0</v>
      </c>
      <c r="P1327" s="1">
        <f>SUM(P1332:P1340)</f>
        <v>0</v>
      </c>
      <c r="Q1327" s="1">
        <f>SUM(Q1332:Q1340)</f>
        <v>0</v>
      </c>
      <c r="S1327" s="3"/>
    </row>
    <row r="1328" spans="2:19" x14ac:dyDescent="0.5">
      <c r="B1328" s="5" t="str">
        <f t="shared" si="1478"/>
        <v>SPS1</v>
      </c>
      <c r="C1328" s="5" t="str">
        <f t="shared" si="1479"/>
        <v>CH</v>
      </c>
      <c r="D1328" t="s">
        <v>1318</v>
      </c>
      <c r="E1328" t="s">
        <v>8</v>
      </c>
      <c r="F1328" s="1">
        <f>IF(F1327-F1329&lt;0,0,F1327-F1329)</f>
        <v>0.73238885290227695</v>
      </c>
      <c r="G1328" s="1">
        <f t="shared" ref="G1328:K1328" si="1484">IF(G1327-G1329&lt;0,0,G1327-G1329)</f>
        <v>1.2862604932849933</v>
      </c>
      <c r="H1328" s="1">
        <f t="shared" si="1484"/>
        <v>2.2102286126245501</v>
      </c>
      <c r="I1328" s="1">
        <f t="shared" si="1484"/>
        <v>4.1643806160957719E-5</v>
      </c>
      <c r="J1328" s="1">
        <f t="shared" si="1484"/>
        <v>0</v>
      </c>
      <c r="K1328" s="1">
        <f t="shared" si="1484"/>
        <v>0</v>
      </c>
      <c r="L1328" s="1">
        <f t="shared" ref="L1328:O1328" si="1485">IF(L1327-L1329&lt;0,0,L1327-L1329)</f>
        <v>0</v>
      </c>
      <c r="M1328" s="1">
        <f t="shared" si="1485"/>
        <v>0</v>
      </c>
      <c r="N1328" s="1">
        <f t="shared" si="1485"/>
        <v>0</v>
      </c>
      <c r="O1328" s="1">
        <f t="shared" si="1485"/>
        <v>0</v>
      </c>
      <c r="P1328" s="1">
        <f>IF(P1327-P1329&lt;0,0,P1327-P1329)</f>
        <v>0</v>
      </c>
      <c r="Q1328" s="1">
        <f>IF(Q1327-Q1329&lt;0,0,Q1327-Q1329)</f>
        <v>0</v>
      </c>
      <c r="S1328" s="3"/>
    </row>
    <row r="1329" spans="2:19" x14ac:dyDescent="0.5">
      <c r="B1329" s="5" t="str">
        <f t="shared" si="1478"/>
        <v>SPS1</v>
      </c>
      <c r="C1329" s="5" t="str">
        <f t="shared" si="1479"/>
        <v>CH</v>
      </c>
      <c r="D1329" t="s">
        <v>1319</v>
      </c>
      <c r="E1329" t="s">
        <v>8</v>
      </c>
      <c r="F1329" s="1">
        <f>SUM(F1330:F1331)</f>
        <v>1.8635637508796592E-2</v>
      </c>
      <c r="G1329" s="1">
        <f t="shared" ref="G1329" si="1486">SUM(G1330:G1331)</f>
        <v>3.4685642412123151E-2</v>
      </c>
      <c r="H1329" s="1">
        <f t="shared" ref="H1329" si="1487">SUM(H1330:H1331)</f>
        <v>0.10383806337854021</v>
      </c>
      <c r="I1329" s="1">
        <f t="shared" ref="I1329" si="1488">SUM(I1330:I1331)</f>
        <v>2.0250547621336858E-6</v>
      </c>
      <c r="J1329" s="1">
        <f t="shared" ref="J1329" si="1489">SUM(J1330:J1331)</f>
        <v>0</v>
      </c>
      <c r="K1329" s="1">
        <f t="shared" ref="K1329" si="1490">SUM(K1330:K1331)</f>
        <v>0</v>
      </c>
      <c r="L1329" s="1">
        <f t="shared" ref="L1329:O1329" si="1491">SUM(L1330:L1331)</f>
        <v>0</v>
      </c>
      <c r="M1329" s="1">
        <f t="shared" si="1491"/>
        <v>0</v>
      </c>
      <c r="N1329" s="1">
        <f t="shared" si="1491"/>
        <v>0</v>
      </c>
      <c r="O1329" s="1">
        <f t="shared" si="1491"/>
        <v>0</v>
      </c>
      <c r="P1329" s="1">
        <f>SUM(P1330:P1331)</f>
        <v>0</v>
      </c>
      <c r="Q1329" s="1">
        <f>SUM(Q1330:Q1331)</f>
        <v>0</v>
      </c>
      <c r="S1329" s="3"/>
    </row>
    <row r="1330" spans="2:19" x14ac:dyDescent="0.5">
      <c r="B1330" s="5" t="str">
        <f t="shared" si="1478"/>
        <v>SPS1</v>
      </c>
      <c r="C1330" s="5" t="str">
        <f t="shared" si="1479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1.8635637508796592E-2</v>
      </c>
      <c r="G1330" s="1">
        <f>[1]Transport!C$26/SUM([1]Transport!C$22,[1]Transport!C$26)*G1327*(G$34+G$582)/(G$34+G$582+G$38)</f>
        <v>3.4685642412123151E-2</v>
      </c>
      <c r="H1330" s="1">
        <f>[1]Transport!D$26/SUM([1]Transport!D$22,[1]Transport!D$26)*H1327*(H$34+H$582)/(H$34+H$582+H$38)</f>
        <v>0.10383806337854021</v>
      </c>
      <c r="I1330" s="1">
        <f>[1]Transport!E$26/SUM([1]Transport!E$22,[1]Transport!E$26)*I1327*(I$34+I$582)/(I$34+I$582+I$38)</f>
        <v>2.0250547621336858E-6</v>
      </c>
      <c r="J1330" s="1">
        <f>[1]Transport!F$26/SUM([1]Transport!F$22,[1]Transport!F$26)*J1327*(J$34+J$582)/(J$34+J$582+J$38)</f>
        <v>0</v>
      </c>
      <c r="K1330" s="1">
        <f>[1]Transport!G$26/SUM([1]Transport!G$22,[1]Transport!G$26)*K1327*(K$34+K$582)/(K$34+K$582+K$38)</f>
        <v>0</v>
      </c>
      <c r="L1330" s="1">
        <f>[1]Transport!H$26/SUM([1]Transport!H$22,[1]Transport!H$26)*L1327*(L$34+L$582)/(L$34+L$582+L$38)</f>
        <v>0</v>
      </c>
      <c r="M1330" s="1">
        <f>[1]Transport!I$26/SUM([1]Transport!I$22,[1]Transport!I$26)*M1327*(M$34+M$582)/(M$34+M$582+M$38)</f>
        <v>0</v>
      </c>
      <c r="N1330" s="1">
        <f>[1]Transport!J$26/SUM([1]Transport!J$22,[1]Transport!J$26)*N1327*(N$34+N$582)/(N$34+N$582+N$38)</f>
        <v>0</v>
      </c>
      <c r="O1330" s="1">
        <f>[1]Transport!K$26/SUM([1]Transport!K$22,[1]Transport!K$26)*O1327*(O$34+O$582)/(O$34+O$582+O$38)</f>
        <v>0</v>
      </c>
      <c r="P1330" s="1">
        <f>[1]Transport!L$26/SUM([1]Transport!L$22,[1]Transport!L$26)*P1327*(P$34+P$582)/(P$34+P$582+P$38)</f>
        <v>0</v>
      </c>
      <c r="Q1330" s="1">
        <f>[1]Transport!M$26/SUM([1]Transport!M$22,[1]Transport!M$26)*Q1327*(Q$34+Q$582)/(Q$34+Q$582+Q$38)</f>
        <v>0</v>
      </c>
      <c r="S1330" s="3"/>
    </row>
    <row r="1331" spans="2:19" x14ac:dyDescent="0.5">
      <c r="B1331" s="5" t="str">
        <f t="shared" si="1478"/>
        <v>SPS1</v>
      </c>
      <c r="C1331" s="5" t="str">
        <f t="shared" si="1479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0</v>
      </c>
      <c r="K1331" s="1">
        <f>(K$38+K$718)/([1]Transport!G$22+[1]Transport!G$26)*K1327</f>
        <v>0</v>
      </c>
      <c r="L1331" s="1">
        <f>(L$38+L$718)/([1]Transport!H$22+[1]Transport!H$26)*L1327</f>
        <v>0</v>
      </c>
      <c r="M1331" s="1">
        <f>(M$38+M$718)/([1]Transport!I$22+[1]Transport!I$26)*M1327</f>
        <v>0</v>
      </c>
      <c r="N1331" s="1">
        <f>(N$38+N$718)/([1]Transport!J$22+[1]Transport!J$26)*N1327</f>
        <v>0</v>
      </c>
      <c r="O1331" s="1">
        <f>(O$38+O$718)/([1]Transport!K$22+[1]Transport!K$26)*O1327</f>
        <v>0</v>
      </c>
      <c r="P1331" s="1">
        <f>(P$38+P$718)/([1]Transport!L$22+[1]Transport!L$26)*P1327</f>
        <v>0</v>
      </c>
      <c r="Q1331" s="1">
        <f>(Q$38+Q$718)/([1]Transport!M$22+[1]Transport!M$26)*Q1327</f>
        <v>0</v>
      </c>
      <c r="S1331" s="3"/>
    </row>
    <row r="1332" spans="2:19" x14ac:dyDescent="0.5">
      <c r="B1332" s="5" t="str">
        <f t="shared" si="1478"/>
        <v>SPS1</v>
      </c>
      <c r="C1332" s="5" t="str">
        <f t="shared" si="1479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5.5460610012091537E-2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5.5803983760838519E-2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0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0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0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0</v>
      </c>
      <c r="M1332" s="1" cm="1">
        <f t="array" ref="M1332">SUMPRODUCT(("T_B_u-HYBDSL-S1"=[1]OUT_TransportEnergyCons!$A$3:$A$1000)*1,("Var_Fin"=[1]OUT_TransportEnergyCons!$B$3:$B$1000)*1,ISNUMBER(SEARCH("DSL",[1]OUT_TransportEnergyCons!$C$3:$C$1000))*1,[1]OUT_TransportEnergyCons!K$3:K$1000)</f>
        <v>0</v>
      </c>
      <c r="N1332" s="1" cm="1">
        <f t="array" ref="N1332">SUMPRODUCT(("T_B_u-HYBDSL-S1"=[1]OUT_TransportEnergyCons!$A$3:$A$1000)*1,("Var_Fin"=[1]OUT_TransportEnergyCons!$B$3:$B$1000)*1,ISNUMBER(SEARCH("DSL",[1]OUT_TransportEnergyCons!$C$3:$C$1000))*1,[1]OUT_TransportEnergyCons!L$3:L$1000)</f>
        <v>0</v>
      </c>
      <c r="O1332" s="1" cm="1">
        <f t="array" ref="O1332">SUMPRODUCT(("T_B_u-HYBDSL-S1"=[1]OUT_TransportEnergyCons!$A$3:$A$1000)*1,("Var_Fin"=[1]OUT_TransportEnergyCons!$B$3:$B$1000)*1,ISNUMBER(SEARCH("DSL",[1]OUT_TransportEnergyCons!$C$3:$C$1000))*1,[1]OUT_TransportEnergyCons!M$3:M$1000)</f>
        <v>0</v>
      </c>
      <c r="P1332" s="1" cm="1">
        <f t="array" ref="P1332">SUMPRODUCT(("T_B_u-HYBDSL-S1"=[1]OUT_TransportEnergyCons!$A$3:$A$1000)*1,("Var_Fin"=[1]OUT_TransportEnergyCons!$B$3:$B$1000)*1,ISNUMBER(SEARCH("DSL",[1]OUT_TransportEnergyCons!$C$3:$C$1000))*1,[1]OUT_TransportEnergyCons!N$3:N$1000)</f>
        <v>0</v>
      </c>
      <c r="Q1332" s="1" cm="1">
        <f t="array" ref="Q1332">SUMPRODUCT(("T_B_u-HYBDSL-S1"=[1]OUT_TransportEnergyCons!$A$3:$A$1000)*1,("Var_Fin"=[1]OUT_TransportEnergyCons!$B$3:$B$1000)*1,ISNUMBER(SEARCH("DSL",[1]OUT_TransportEnergyCons!$C$3:$C$1000))*1,[1]OUT_TransportEnergyCons!O$3:O$1000)</f>
        <v>0</v>
      </c>
      <c r="S1332" s="3"/>
    </row>
    <row r="1333" spans="2:19" x14ac:dyDescent="0.5">
      <c r="B1333" s="5" t="str">
        <f t="shared" si="1478"/>
        <v>SPS1</v>
      </c>
      <c r="C1333" s="5" t="str">
        <f t="shared" si="1479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4.5481634208396649E-4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6.7734881196581981E-4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0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0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0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0</v>
      </c>
      <c r="M1333" s="1" cm="1">
        <f t="array" ref="M1333">SUMPRODUCT(("T_B_u-HYBDSL-S2"=[1]OUT_TransportEnergyCons!$A$3:$A$1000)*1,("Var_Fin"=[1]OUT_TransportEnergyCons!$B$3:$B$1000)*1,ISNUMBER(SEARCH("DSL",[1]OUT_TransportEnergyCons!$C$3:$C$1000))*1,[1]OUT_TransportEnergyCons!K$3:K$1000)</f>
        <v>0</v>
      </c>
      <c r="N1333" s="1" cm="1">
        <f t="array" ref="N1333">SUMPRODUCT(("T_B_u-HYBDSL-S2"=[1]OUT_TransportEnergyCons!$A$3:$A$1000)*1,("Var_Fin"=[1]OUT_TransportEnergyCons!$B$3:$B$1000)*1,ISNUMBER(SEARCH("DSL",[1]OUT_TransportEnergyCons!$C$3:$C$1000))*1,[1]OUT_TransportEnergyCons!L$3:L$1000)</f>
        <v>0</v>
      </c>
      <c r="O1333" s="1" cm="1">
        <f t="array" ref="O1333">SUMPRODUCT(("T_B_u-HYBDSL-S2"=[1]OUT_TransportEnergyCons!$A$3:$A$1000)*1,("Var_Fin"=[1]OUT_TransportEnergyCons!$B$3:$B$1000)*1,ISNUMBER(SEARCH("DSL",[1]OUT_TransportEnergyCons!$C$3:$C$1000))*1,[1]OUT_TransportEnergyCons!M$3:M$1000)</f>
        <v>0</v>
      </c>
      <c r="P1333" s="1" cm="1">
        <f t="array" ref="P1333">SUMPRODUCT(("T_B_u-HYBDSL-S2"=[1]OUT_TransportEnergyCons!$A$3:$A$1000)*1,("Var_Fin"=[1]OUT_TransportEnergyCons!$B$3:$B$1000)*1,ISNUMBER(SEARCH("DSL",[1]OUT_TransportEnergyCons!$C$3:$C$1000))*1,[1]OUT_TransportEnergyCons!N$3:N$1000)</f>
        <v>0</v>
      </c>
      <c r="Q1333" s="1" cm="1">
        <f t="array" ref="Q1333">SUMPRODUCT(("T_B_u-HYBDSL-S2"=[1]OUT_TransportEnergyCons!$A$3:$A$1000)*1,("Var_Fin"=[1]OUT_TransportEnergyCons!$B$3:$B$1000)*1,ISNUMBER(SEARCH("DSL",[1]OUT_TransportEnergyCons!$C$3:$C$1000))*1,[1]OUT_TransportEnergyCons!O$3:O$1000)</f>
        <v>0</v>
      </c>
      <c r="S1333" s="3"/>
    </row>
    <row r="1334" spans="2:19" x14ac:dyDescent="0.5">
      <c r="B1334" s="5" t="str">
        <f t="shared" si="1478"/>
        <v>SPS1</v>
      </c>
      <c r="C1334" s="5" t="str">
        <f t="shared" si="1479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4.8269431651878355E-4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6.9885866707486389E-4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0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0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0</v>
      </c>
      <c r="M1334" s="1" cm="1">
        <f t="array" ref="M1334">SUMPRODUCT(("T_B_u-HYBDSL-S3"=[1]OUT_TransportEnergyCons!$A$3:$A$1000)*1,("Var_Fin"=[1]OUT_TransportEnergyCons!$B$3:$B$1000)*1,ISNUMBER(SEARCH("DSL",[1]OUT_TransportEnergyCons!$C$3:$C$1000))*1,[1]OUT_TransportEnergyCons!K$3:K$1000)</f>
        <v>0</v>
      </c>
      <c r="N1334" s="1" cm="1">
        <f t="array" ref="N1334">SUMPRODUCT(("T_B_u-HYBDSL-S3"=[1]OUT_TransportEnergyCons!$A$3:$A$1000)*1,("Var_Fin"=[1]OUT_TransportEnergyCons!$B$3:$B$1000)*1,ISNUMBER(SEARCH("DSL",[1]OUT_TransportEnergyCons!$C$3:$C$1000))*1,[1]OUT_TransportEnergyCons!L$3:L$1000)</f>
        <v>0</v>
      </c>
      <c r="O1334" s="1" cm="1">
        <f t="array" ref="O1334">SUMPRODUCT(("T_B_u-HYBDSL-S3"=[1]OUT_TransportEnergyCons!$A$3:$A$1000)*1,("Var_Fin"=[1]OUT_TransportEnergyCons!$B$3:$B$1000)*1,ISNUMBER(SEARCH("DSL",[1]OUT_TransportEnergyCons!$C$3:$C$1000))*1,[1]OUT_TransportEnergyCons!M$3:M$1000)</f>
        <v>0</v>
      </c>
      <c r="P1334" s="1" cm="1">
        <f t="array" ref="P1334">SUMPRODUCT(("T_B_u-HYBDSL-S3"=[1]OUT_TransportEnergyCons!$A$3:$A$1000)*1,("Var_Fin"=[1]OUT_TransportEnergyCons!$B$3:$B$1000)*1,ISNUMBER(SEARCH("DSL",[1]OUT_TransportEnergyCons!$C$3:$C$1000))*1,[1]OUT_TransportEnergyCons!N$3:N$1000)</f>
        <v>0</v>
      </c>
      <c r="Q1334" s="1" cm="1">
        <f t="array" ref="Q1334">SUMPRODUCT(("T_B_u-HYBDSL-S3"=[1]OUT_TransportEnergyCons!$A$3:$A$1000)*1,("Var_Fin"=[1]OUT_TransportEnergyCons!$B$3:$B$1000)*1,ISNUMBER(SEARCH("DSL",[1]OUT_TransportEnergyCons!$C$3:$C$1000))*1,[1]OUT_TransportEnergyCons!O$3:O$1000)</f>
        <v>0</v>
      </c>
      <c r="S1334" s="3"/>
    </row>
    <row r="1335" spans="2:19" x14ac:dyDescent="0.5">
      <c r="B1335" s="5" t="str">
        <f t="shared" si="1478"/>
        <v>SPS1</v>
      </c>
      <c r="C1335" s="5" t="str">
        <f t="shared" si="1479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2.4319791913905432E-5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4.6419846070074546E-5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0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0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0</v>
      </c>
      <c r="M1335" s="1" cm="1">
        <f t="array" ref="M1335">SUMPRODUCT(("T_B_u-HYBDSL-S4"=[1]OUT_TransportEnergyCons!$A$3:$A$1000)*1,("Var_Fin"=[1]OUT_TransportEnergyCons!$B$3:$B$1000)*1,ISNUMBER(SEARCH("DSL",[1]OUT_TransportEnergyCons!$C$3:$C$1000))*1,[1]OUT_TransportEnergyCons!K$3:K$1000)</f>
        <v>0</v>
      </c>
      <c r="N1335" s="1" cm="1">
        <f t="array" ref="N1335">SUMPRODUCT(("T_B_u-HYBDSL-S4"=[1]OUT_TransportEnergyCons!$A$3:$A$1000)*1,("Var_Fin"=[1]OUT_TransportEnergyCons!$B$3:$B$1000)*1,ISNUMBER(SEARCH("DSL",[1]OUT_TransportEnergyCons!$C$3:$C$1000))*1,[1]OUT_TransportEnergyCons!L$3:L$1000)</f>
        <v>0</v>
      </c>
      <c r="O1335" s="1" cm="1">
        <f t="array" ref="O1335">SUMPRODUCT(("T_B_u-HYBDSL-S4"=[1]OUT_TransportEnergyCons!$A$3:$A$1000)*1,("Var_Fin"=[1]OUT_TransportEnergyCons!$B$3:$B$1000)*1,ISNUMBER(SEARCH("DSL",[1]OUT_TransportEnergyCons!$C$3:$C$1000))*1,[1]OUT_TransportEnergyCons!M$3:M$1000)</f>
        <v>0</v>
      </c>
      <c r="P1335" s="1" cm="1">
        <f t="array" ref="P1335">SUMPRODUCT(("T_B_u-HYBDSL-S4"=[1]OUT_TransportEnergyCons!$A$3:$A$1000)*1,("Var_Fin"=[1]OUT_TransportEnergyCons!$B$3:$B$1000)*1,ISNUMBER(SEARCH("DSL",[1]OUT_TransportEnergyCons!$C$3:$C$1000))*1,[1]OUT_TransportEnergyCons!N$3:N$1000)</f>
        <v>0</v>
      </c>
      <c r="Q1335" s="1" cm="1">
        <f t="array" ref="Q1335">SUMPRODUCT(("T_B_u-HYBDSL-S4"=[1]OUT_TransportEnergyCons!$A$3:$A$1000)*1,("Var_Fin"=[1]OUT_TransportEnergyCons!$B$3:$B$1000)*1,ISNUMBER(SEARCH("DSL",[1]OUT_TransportEnergyCons!$C$3:$C$1000))*1,[1]OUT_TransportEnergyCons!O$3:O$1000)</f>
        <v>0</v>
      </c>
      <c r="S1335" s="3"/>
    </row>
    <row r="1336" spans="2:19" x14ac:dyDescent="0.5">
      <c r="B1336" s="5" t="str">
        <f t="shared" si="1478"/>
        <v>SPS1</v>
      </c>
      <c r="C1336" s="5" t="str">
        <f t="shared" si="1479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1.73387049912564E-2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1.731808720991395E-2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1.7250154776656711E-2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M1336" s="1" cm="1">
        <f t="array" ref="M1336">SUMPRODUCT(("T_B_u-ICEDSLEXT"=[1]OUT_TransportEnergyCons!$A$3:$A$1000)*1,("Var_Fin"=[1]OUT_TransportEnergyCons!$B$3:$B$1000)*1,ISNUMBER(SEARCH("DSL",[1]OUT_TransportEnergyCons!$C$3:$C$1000))*1,[1]OUT_TransportEnergyCons!K$3:K$1000)</f>
        <v>0</v>
      </c>
      <c r="N1336" s="1" cm="1">
        <f t="array" ref="N1336">SUMPRODUCT(("T_B_u-ICEDSLEXT"=[1]OUT_TransportEnergyCons!$A$3:$A$1000)*1,("Var_Fin"=[1]OUT_TransportEnergyCons!$B$3:$B$1000)*1,ISNUMBER(SEARCH("DSL",[1]OUT_TransportEnergyCons!$C$3:$C$1000))*1,[1]OUT_TransportEnergyCons!L$3:L$1000)</f>
        <v>0</v>
      </c>
      <c r="O1336" s="1" cm="1">
        <f t="array" ref="O1336">SUMPRODUCT(("T_B_u-ICEDSLEXT"=[1]OUT_TransportEnergyCons!$A$3:$A$1000)*1,("Var_Fin"=[1]OUT_TransportEnergyCons!$B$3:$B$1000)*1,ISNUMBER(SEARCH("DSL",[1]OUT_TransportEnergyCons!$C$3:$C$1000))*1,[1]OUT_TransportEnergyCons!M$3:M$1000)</f>
        <v>0</v>
      </c>
      <c r="P1336" s="1" cm="1">
        <f t="array" ref="P1336">SUMPRODUCT(("T_B_u-ICEDSLEXT"=[1]OUT_TransportEnergyCons!$A$3:$A$1000)*1,("Var_Fin"=[1]OUT_TransportEnergyCons!$B$3:$B$1000)*1,ISNUMBER(SEARCH("DSL",[1]OUT_TransportEnergyCons!$C$3:$C$1000))*1,[1]OUT_TransportEnergyCons!N$3:N$1000)</f>
        <v>0</v>
      </c>
      <c r="Q1336" s="1" cm="1">
        <f t="array" ref="Q1336">SUMPRODUCT(("T_B_u-ICEDSLEXT"=[1]OUT_TransportEnergyCons!$A$3:$A$1000)*1,("Var_Fin"=[1]OUT_TransportEnergyCons!$B$3:$B$1000)*1,ISNUMBER(SEARCH("DSL",[1]OUT_TransportEnergyCons!$C$3:$C$1000))*1,[1]OUT_TransportEnergyCons!O$3:O$1000)</f>
        <v>0</v>
      </c>
      <c r="S1336" s="3"/>
    </row>
    <row r="1337" spans="2:19" x14ac:dyDescent="0.5">
      <c r="B1337" s="5" t="str">
        <f t="shared" si="1478"/>
        <v>SPS1</v>
      </c>
      <c r="C1337" s="5" t="str">
        <f t="shared" si="1479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2.6016570735706748E-4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0.19790858941761841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0.40285978531412459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4.3668860923091405E-5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0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0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0</v>
      </c>
      <c r="M1337" s="1" cm="1">
        <f t="array" ref="M1337">SUMPRODUCT(("T_B_u-ICEDSL-S1"=[1]OUT_TransportEnergyCons!$A$3:$A$1000)*1,("Var_Fin"=[1]OUT_TransportEnergyCons!$B$3:$B$1000)*1,ISNUMBER(SEARCH("DSL",[1]OUT_TransportEnergyCons!$C$3:$C$1000))*1,[1]OUT_TransportEnergyCons!K$3:K$1000)</f>
        <v>0</v>
      </c>
      <c r="N1337" s="1" cm="1">
        <f t="array" ref="N1337">SUMPRODUCT(("T_B_u-ICEDSL-S1"=[1]OUT_TransportEnergyCons!$A$3:$A$1000)*1,("Var_Fin"=[1]OUT_TransportEnergyCons!$B$3:$B$1000)*1,ISNUMBER(SEARCH("DSL",[1]OUT_TransportEnergyCons!$C$3:$C$1000))*1,[1]OUT_TransportEnergyCons!L$3:L$1000)</f>
        <v>0</v>
      </c>
      <c r="O1337" s="1" cm="1">
        <f t="array" ref="O1337">SUMPRODUCT(("T_B_u-ICEDSL-S1"=[1]OUT_TransportEnergyCons!$A$3:$A$1000)*1,("Var_Fin"=[1]OUT_TransportEnergyCons!$B$3:$B$1000)*1,ISNUMBER(SEARCH("DSL",[1]OUT_TransportEnergyCons!$C$3:$C$1000))*1,[1]OUT_TransportEnergyCons!M$3:M$1000)</f>
        <v>0</v>
      </c>
      <c r="P1337" s="1" cm="1">
        <f t="array" ref="P1337">SUMPRODUCT(("T_B_u-ICEDSL-S1"=[1]OUT_TransportEnergyCons!$A$3:$A$1000)*1,("Var_Fin"=[1]OUT_TransportEnergyCons!$B$3:$B$1000)*1,ISNUMBER(SEARCH("DSL",[1]OUT_TransportEnergyCons!$C$3:$C$1000))*1,[1]OUT_TransportEnergyCons!N$3:N$1000)</f>
        <v>0</v>
      </c>
      <c r="Q1337" s="1" cm="1">
        <f t="array" ref="Q1337">SUMPRODUCT(("T_B_u-ICEDSL-S1"=[1]OUT_TransportEnergyCons!$A$3:$A$1000)*1,("Var_Fin"=[1]OUT_TransportEnergyCons!$B$3:$B$1000)*1,ISNUMBER(SEARCH("DSL",[1]OUT_TransportEnergyCons!$C$3:$C$1000))*1,[1]OUT_TransportEnergyCons!O$3:O$1000)</f>
        <v>0</v>
      </c>
      <c r="S1337" s="3"/>
    </row>
    <row r="1338" spans="2:19" x14ac:dyDescent="0.5">
      <c r="B1338" s="5" t="str">
        <f t="shared" si="1478"/>
        <v>SPS1</v>
      </c>
      <c r="C1338" s="5" t="str">
        <f t="shared" si="1479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0.10955970962826785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0.13510699046448787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0.23683922307868099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0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0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0</v>
      </c>
      <c r="M1338" s="1" cm="1">
        <f t="array" ref="M1338">SUMPRODUCT(("T_B_u-ICEDSL-S2"=[1]OUT_TransportEnergyCons!$A$3:$A$1000)*1,("Var_Fin"=[1]OUT_TransportEnergyCons!$B$3:$B$1000)*1,ISNUMBER(SEARCH("DSL",[1]OUT_TransportEnergyCons!$C$3:$C$1000))*1,[1]OUT_TransportEnergyCons!K$3:K$1000)</f>
        <v>0</v>
      </c>
      <c r="N1338" s="1" cm="1">
        <f t="array" ref="N1338">SUMPRODUCT(("T_B_u-ICEDSL-S2"=[1]OUT_TransportEnergyCons!$A$3:$A$1000)*1,("Var_Fin"=[1]OUT_TransportEnergyCons!$B$3:$B$1000)*1,ISNUMBER(SEARCH("DSL",[1]OUT_TransportEnergyCons!$C$3:$C$1000))*1,[1]OUT_TransportEnergyCons!L$3:L$1000)</f>
        <v>0</v>
      </c>
      <c r="O1338" s="1" cm="1">
        <f t="array" ref="O1338">SUMPRODUCT(("T_B_u-ICEDSL-S2"=[1]OUT_TransportEnergyCons!$A$3:$A$1000)*1,("Var_Fin"=[1]OUT_TransportEnergyCons!$B$3:$B$1000)*1,ISNUMBER(SEARCH("DSL",[1]OUT_TransportEnergyCons!$C$3:$C$1000))*1,[1]OUT_TransportEnergyCons!M$3:M$1000)</f>
        <v>0</v>
      </c>
      <c r="P1338" s="1" cm="1">
        <f t="array" ref="P1338">SUMPRODUCT(("T_B_u-ICEDSL-S2"=[1]OUT_TransportEnergyCons!$A$3:$A$1000)*1,("Var_Fin"=[1]OUT_TransportEnergyCons!$B$3:$B$1000)*1,ISNUMBER(SEARCH("DSL",[1]OUT_TransportEnergyCons!$C$3:$C$1000))*1,[1]OUT_TransportEnergyCons!N$3:N$1000)</f>
        <v>0</v>
      </c>
      <c r="Q1338" s="1" cm="1">
        <f t="array" ref="Q1338">SUMPRODUCT(("T_B_u-ICEDSL-S2"=[1]OUT_TransportEnergyCons!$A$3:$A$1000)*1,("Var_Fin"=[1]OUT_TransportEnergyCons!$B$3:$B$1000)*1,ISNUMBER(SEARCH("DSL",[1]OUT_TransportEnergyCons!$C$3:$C$1000))*1,[1]OUT_TransportEnergyCons!O$3:O$1000)</f>
        <v>0</v>
      </c>
      <c r="S1338" s="3"/>
    </row>
    <row r="1339" spans="2:19" x14ac:dyDescent="0.5">
      <c r="B1339" s="5" t="str">
        <f t="shared" si="1478"/>
        <v>SPS1</v>
      </c>
      <c r="C1339" s="5" t="str">
        <f t="shared" si="1479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0.61982763606868907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0.91378400502612833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1.5995057980629883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0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0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0</v>
      </c>
      <c r="M1339" s="1" cm="1">
        <f t="array" ref="M1339">SUMPRODUCT(("T_B_u-ICEDSL-S3"=[1]OUT_TransportEnergyCons!$A$3:$A$1000)*1,("Var_Fin"=[1]OUT_TransportEnergyCons!$B$3:$B$1000)*1,ISNUMBER(SEARCH("DSL",[1]OUT_TransportEnergyCons!$C$3:$C$1000))*1,[1]OUT_TransportEnergyCons!K$3:K$1000)</f>
        <v>0</v>
      </c>
      <c r="N1339" s="1" cm="1">
        <f t="array" ref="N1339">SUMPRODUCT(("T_B_u-ICEDSL-S3"=[1]OUT_TransportEnergyCons!$A$3:$A$1000)*1,("Var_Fin"=[1]OUT_TransportEnergyCons!$B$3:$B$1000)*1,ISNUMBER(SEARCH("DSL",[1]OUT_TransportEnergyCons!$C$3:$C$1000))*1,[1]OUT_TransportEnergyCons!L$3:L$1000)</f>
        <v>0</v>
      </c>
      <c r="O1339" s="1" cm="1">
        <f t="array" ref="O1339">SUMPRODUCT(("T_B_u-ICEDSL-S3"=[1]OUT_TransportEnergyCons!$A$3:$A$1000)*1,("Var_Fin"=[1]OUT_TransportEnergyCons!$B$3:$B$1000)*1,ISNUMBER(SEARCH("DSL",[1]OUT_TransportEnergyCons!$C$3:$C$1000))*1,[1]OUT_TransportEnergyCons!M$3:M$1000)</f>
        <v>0</v>
      </c>
      <c r="P1339" s="1" cm="1">
        <f t="array" ref="P1339">SUMPRODUCT(("T_B_u-ICEDSL-S3"=[1]OUT_TransportEnergyCons!$A$3:$A$1000)*1,("Var_Fin"=[1]OUT_TransportEnergyCons!$B$3:$B$1000)*1,ISNUMBER(SEARCH("DSL",[1]OUT_TransportEnergyCons!$C$3:$C$1000))*1,[1]OUT_TransportEnergyCons!N$3:N$1000)</f>
        <v>0</v>
      </c>
      <c r="Q1339" s="1" cm="1">
        <f t="array" ref="Q1339">SUMPRODUCT(("T_B_u-ICEDSL-S3"=[1]OUT_TransportEnergyCons!$A$3:$A$1000)*1,("Var_Fin"=[1]OUT_TransportEnergyCons!$B$3:$B$1000)*1,ISNUMBER(SEARCH("DSL",[1]OUT_TransportEnergyCons!$C$3:$C$1000))*1,[1]OUT_TransportEnergyCons!O$3:O$1000)</f>
        <v>0</v>
      </c>
      <c r="S1339" s="3"/>
    </row>
    <row r="1340" spans="2:19" x14ac:dyDescent="0.5">
      <c r="B1340" s="5" t="str">
        <f t="shared" si="1478"/>
        <v>SPS1</v>
      </c>
      <c r="C1340" s="5" t="str">
        <f t="shared" si="1479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4.0382740155032078E-3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4.0602311635965985E-4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3.8510368469066135E-4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0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0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0</v>
      </c>
      <c r="M1340" s="1" cm="1">
        <f t="array" ref="M1340">SUMPRODUCT(("T_B_u-ICEDSL-S4"=[1]OUT_TransportEnergyCons!$A$3:$A$1000)*1,("Var_Fin"=[1]OUT_TransportEnergyCons!$B$3:$B$1000)*1,ISNUMBER(SEARCH("DSL",[1]OUT_TransportEnergyCons!$C$3:$C$1000))*1,[1]OUT_TransportEnergyCons!K$3:K$1000)</f>
        <v>0</v>
      </c>
      <c r="N1340" s="1" cm="1">
        <f t="array" ref="N1340">SUMPRODUCT(("T_B_u-ICEDSL-S4"=[1]OUT_TransportEnergyCons!$A$3:$A$1000)*1,("Var_Fin"=[1]OUT_TransportEnergyCons!$B$3:$B$1000)*1,ISNUMBER(SEARCH("DSL",[1]OUT_TransportEnergyCons!$C$3:$C$1000))*1,[1]OUT_TransportEnergyCons!L$3:L$1000)</f>
        <v>0</v>
      </c>
      <c r="O1340" s="1" cm="1">
        <f t="array" ref="O1340">SUMPRODUCT(("T_B_u-ICEDSL-S4"=[1]OUT_TransportEnergyCons!$A$3:$A$1000)*1,("Var_Fin"=[1]OUT_TransportEnergyCons!$B$3:$B$1000)*1,ISNUMBER(SEARCH("DSL",[1]OUT_TransportEnergyCons!$C$3:$C$1000))*1,[1]OUT_TransportEnergyCons!M$3:M$1000)</f>
        <v>0</v>
      </c>
      <c r="P1340" s="1" cm="1">
        <f t="array" ref="P1340">SUMPRODUCT(("T_B_u-ICEDSL-S4"=[1]OUT_TransportEnergyCons!$A$3:$A$1000)*1,("Var_Fin"=[1]OUT_TransportEnergyCons!$B$3:$B$1000)*1,ISNUMBER(SEARCH("DSL",[1]OUT_TransportEnergyCons!$C$3:$C$1000))*1,[1]OUT_TransportEnergyCons!N$3:N$1000)</f>
        <v>0</v>
      </c>
      <c r="Q1340" s="1" cm="1">
        <f t="array" ref="Q1340">SUMPRODUCT(("T_B_u-ICEDSL-S4"=[1]OUT_TransportEnergyCons!$A$3:$A$1000)*1,("Var_Fin"=[1]OUT_TransportEnergyCons!$B$3:$B$1000)*1,ISNUMBER(SEARCH("DSL",[1]OUT_TransportEnergyCons!$C$3:$C$1000))*1,[1]OUT_TransportEnergyCons!O$3:O$1000)</f>
        <v>0</v>
      </c>
      <c r="S1340" s="3"/>
    </row>
    <row r="1341" spans="2:19" x14ac:dyDescent="0.5">
      <c r="B1341" s="5" t="str">
        <f t="shared" si="1478"/>
        <v>SPS1</v>
      </c>
      <c r="C1341" s="5" t="str">
        <f t="shared" si="1479"/>
        <v>CH</v>
      </c>
      <c r="D1341" t="s">
        <v>1343</v>
      </c>
      <c r="E1341" t="s">
        <v>8</v>
      </c>
      <c r="F1341" s="1">
        <f>SUM(F1346:F1350)</f>
        <v>3.1578309789989271E-4</v>
      </c>
      <c r="G1341" s="1">
        <f t="shared" ref="G1341:K1341" si="1492">SUM(G1346:G1350)</f>
        <v>7.0865681021995319E-4</v>
      </c>
      <c r="H1341" s="1">
        <f t="shared" si="1492"/>
        <v>2.0991926069319291E-2</v>
      </c>
      <c r="I1341" s="1">
        <f t="shared" si="1492"/>
        <v>0</v>
      </c>
      <c r="J1341" s="1">
        <f t="shared" si="1492"/>
        <v>0</v>
      </c>
      <c r="K1341" s="1">
        <f t="shared" si="1492"/>
        <v>9.4523047523234789E-7</v>
      </c>
      <c r="L1341" s="1">
        <f t="shared" ref="L1341:O1341" si="1493">SUM(L1346:L1350)</f>
        <v>0</v>
      </c>
      <c r="M1341" s="1">
        <f t="shared" si="1493"/>
        <v>0</v>
      </c>
      <c r="N1341" s="1">
        <f t="shared" si="1493"/>
        <v>0</v>
      </c>
      <c r="O1341" s="1">
        <f t="shared" si="1493"/>
        <v>0</v>
      </c>
      <c r="P1341" s="1">
        <f>SUM(P1346:P1350)</f>
        <v>0</v>
      </c>
      <c r="Q1341" s="1">
        <f>SUM(Q1346:Q1350)</f>
        <v>0</v>
      </c>
      <c r="S1341" s="3"/>
    </row>
    <row r="1342" spans="2:19" x14ac:dyDescent="0.5">
      <c r="B1342" s="5" t="str">
        <f t="shared" si="1478"/>
        <v>SPS1</v>
      </c>
      <c r="C1342" s="5" t="str">
        <f t="shared" si="1479"/>
        <v>CH</v>
      </c>
      <c r="D1342" t="s">
        <v>1344</v>
      </c>
      <c r="E1342" t="s">
        <v>8</v>
      </c>
      <c r="F1342" s="1">
        <f>IF(F1341-F1343&lt;0,0,F1341-F1343)</f>
        <v>2.9177210564036254E-4</v>
      </c>
      <c r="G1342" s="1">
        <f t="shared" ref="G1342:K1342" si="1494">IF(G1341-G1343&lt;0,0,G1341-G1343)</f>
        <v>6.2049408119592322E-4</v>
      </c>
      <c r="H1342" s="1">
        <f t="shared" si="1494"/>
        <v>2.0737666725295974E-2</v>
      </c>
      <c r="I1342" s="1">
        <f t="shared" si="1494"/>
        <v>0</v>
      </c>
      <c r="J1342" s="1">
        <f t="shared" si="1494"/>
        <v>0</v>
      </c>
      <c r="K1342" s="1">
        <f t="shared" si="1494"/>
        <v>0</v>
      </c>
      <c r="L1342" s="1">
        <f t="shared" ref="L1342:O1342" si="1495">IF(L1341-L1343&lt;0,0,L1341-L1343)</f>
        <v>0</v>
      </c>
      <c r="M1342" s="1">
        <f t="shared" si="1495"/>
        <v>0</v>
      </c>
      <c r="N1342" s="1">
        <f t="shared" si="1495"/>
        <v>0</v>
      </c>
      <c r="O1342" s="1">
        <f t="shared" si="1495"/>
        <v>0</v>
      </c>
      <c r="P1342" s="1">
        <f>IF(P1341-P1343&lt;0,0,P1341-P1343)</f>
        <v>0</v>
      </c>
      <c r="Q1342" s="1">
        <f>IF(Q1341-Q1343&lt;0,0,Q1341-Q1343)</f>
        <v>0</v>
      </c>
      <c r="S1342" s="3"/>
    </row>
    <row r="1343" spans="2:19" x14ac:dyDescent="0.5">
      <c r="B1343" s="5" t="str">
        <f t="shared" si="1478"/>
        <v>SPS1</v>
      </c>
      <c r="C1343" s="5" t="str">
        <f t="shared" si="1479"/>
        <v>CH</v>
      </c>
      <c r="D1343" t="s">
        <v>1345</v>
      </c>
      <c r="E1343" t="s">
        <v>8</v>
      </c>
      <c r="F1343" s="1">
        <f>SUM(F1344:F1345)</f>
        <v>2.4010992259530183E-5</v>
      </c>
      <c r="G1343" s="1">
        <f t="shared" ref="G1343" si="1496">SUM(G1344:G1345)</f>
        <v>8.8162729024029933E-5</v>
      </c>
      <c r="H1343" s="1">
        <f t="shared" ref="H1343" si="1497">SUM(H1344:H1345)</f>
        <v>2.5425934402331521E-4</v>
      </c>
      <c r="I1343" s="1">
        <f t="shared" ref="I1343" si="1498">SUM(I1344:I1345)</f>
        <v>0</v>
      </c>
      <c r="J1343" s="1">
        <f t="shared" ref="J1343" si="1499">SUM(J1344:J1345)</f>
        <v>0</v>
      </c>
      <c r="K1343" s="1">
        <f t="shared" ref="K1343" si="1500">SUM(K1344:K1345)</f>
        <v>7.8496258952907871E-4</v>
      </c>
      <c r="L1343" s="1">
        <f t="shared" ref="L1343:O1343" si="1501">SUM(L1344:L1345)</f>
        <v>0</v>
      </c>
      <c r="M1343" s="1">
        <f t="shared" si="1501"/>
        <v>0</v>
      </c>
      <c r="N1343" s="1">
        <f t="shared" si="1501"/>
        <v>0</v>
      </c>
      <c r="O1343" s="1">
        <f t="shared" si="1501"/>
        <v>0</v>
      </c>
      <c r="P1343" s="1">
        <f>SUM(P1344:P1345)</f>
        <v>0</v>
      </c>
      <c r="Q1343" s="1">
        <f>SUM(Q1344:Q1345)</f>
        <v>0</v>
      </c>
      <c r="S1343" s="3"/>
    </row>
    <row r="1344" spans="2:19" x14ac:dyDescent="0.5">
      <c r="B1344" s="5" t="str">
        <f t="shared" si="1478"/>
        <v>SPS1</v>
      </c>
      <c r="C1344" s="5" t="str">
        <f t="shared" si="1479"/>
        <v>CH</v>
      </c>
      <c r="D1344" t="s">
        <v>1346</v>
      </c>
      <c r="E1344" t="s">
        <v>8</v>
      </c>
      <c r="F1344" s="1">
        <f>IF(SUM([1]Transport!B$24,[1]Transport!B$27)=0,0,[1]Transport!B$27/SUM([1]Transport!B$24,[1]Transport!B$27)*F1341*(F$47+F$614)/(F$47+F$614+F$49))</f>
        <v>2.4010992259530183E-5</v>
      </c>
      <c r="G1344" s="1">
        <f>IF(SUM([1]Transport!C$24,[1]Transport!C$27)=0,0,[1]Transport!C$27/SUM([1]Transport!C$24,[1]Transport!C$27)*G1341*(G$47+G$614)/(G$47+G$614+G$49))</f>
        <v>8.8162729024029933E-5</v>
      </c>
      <c r="H1344" s="1">
        <f>IF(SUM([1]Transport!D$24,[1]Transport!D$27)=0,0,[1]Transport!D$27/SUM([1]Transport!D$24,[1]Transport!D$27)*H1341*(H$47+H$614)/(H$47+H$614+H$49))</f>
        <v>2.5425934402331521E-4</v>
      </c>
      <c r="I1344" s="1">
        <f>IF(SUM([1]Transport!E$24,[1]Transport!E$27)=0,0,[1]Transport!E$27/SUM([1]Transport!E$24,[1]Transport!E$27)*I1341*(I$47+I$614)/(I$47+I$614+I$49))</f>
        <v>0</v>
      </c>
      <c r="J1344" s="1">
        <f>IF(SUM([1]Transport!F$24,[1]Transport!F$27)=0,0,[1]Transport!F$27/SUM([1]Transport!F$24,[1]Transport!F$27)*J1341*(J$47+J$614)/(J$47+J$614+J$49))</f>
        <v>0</v>
      </c>
      <c r="K1344" s="1">
        <f>IF(SUM([1]Transport!G$24,[1]Transport!G$27)=0,0,[1]Transport!G$27/SUM([1]Transport!G$24,[1]Transport!G$27)*K1341*(K$47+K$614)/(K$47+K$614+K$49))</f>
        <v>5.3367563051062532E-7</v>
      </c>
      <c r="L1344" s="1">
        <f>IF(SUM([1]Transport!H$24,[1]Transport!H$27)=0,0,[1]Transport!H$27/SUM([1]Transport!H$24,[1]Transport!H$27)*L1341*(L$47+L$614)/(L$47+L$614+L$49))</f>
        <v>0</v>
      </c>
      <c r="M1344" s="1">
        <f>IF(SUM([1]Transport!I$24,[1]Transport!I$27)=0,0,[1]Transport!I$27/SUM([1]Transport!I$24,[1]Transport!I$27)*M1341*(M$47+M$614)/(M$47+M$614+M$49))</f>
        <v>0</v>
      </c>
      <c r="N1344" s="1">
        <f>IF(SUM([1]Transport!J$24,[1]Transport!J$27)=0,0,[1]Transport!J$27/SUM([1]Transport!J$24,[1]Transport!J$27)*N1341*(N$47+N$614)/(N$47+N$614+N$49))</f>
        <v>0</v>
      </c>
      <c r="O1344" s="1">
        <f>IF(SUM([1]Transport!K$24,[1]Transport!K$27)=0,0,[1]Transport!K$27/SUM([1]Transport!K$24,[1]Transport!K$27)*O1341*(O$47+O$614)/(O$47+O$614+O$49))</f>
        <v>0</v>
      </c>
      <c r="P1344" s="1">
        <f>IF(SUM([1]Transport!L$24,[1]Transport!L$27)=0,0,[1]Transport!L$27/SUM([1]Transport!L$24,[1]Transport!L$27)*P1341*(P$47+P$614)/(P$47+P$614+P$49))</f>
        <v>0</v>
      </c>
      <c r="Q1344" s="1">
        <f>IF(SUM([1]Transport!M$24,[1]Transport!M$27)=0,0,[1]Transport!M$27/SUM([1]Transport!M$24,[1]Transport!M$27)*Q1341*(Q$47+Q$614)/(Q$47+Q$614+Q$49))</f>
        <v>0</v>
      </c>
      <c r="S1344" s="3"/>
    </row>
    <row r="1345" spans="2:19" x14ac:dyDescent="0.5">
      <c r="B1345" s="5" t="str">
        <f t="shared" si="1478"/>
        <v>SPS1</v>
      </c>
      <c r="C1345" s="5" t="str">
        <f t="shared" si="1479"/>
        <v>CH</v>
      </c>
      <c r="D1345" t="s">
        <v>1347</v>
      </c>
      <c r="E1345" t="s">
        <v>8</v>
      </c>
      <c r="F1345" s="1">
        <f>IF(([1]Transport!B$24+[1]Transport!B$27)=0,0,(F$49+F$716)/([1]Transport!B$24+[1]Transport!B$27)*F1341)</f>
        <v>0</v>
      </c>
      <c r="G1345" s="1">
        <f>IF(([1]Transport!C$24+[1]Transport!C$27)=0,0,(G$49+G$716)/([1]Transport!C$24+[1]Transport!C$27)*G1341)</f>
        <v>0</v>
      </c>
      <c r="H1345" s="1">
        <f>IF(([1]Transport!D$24+[1]Transport!D$27)=0,0,(H$49+H$716)/([1]Transport!D$24+[1]Transport!D$27)*H1341)</f>
        <v>0</v>
      </c>
      <c r="I1345" s="1">
        <f>IF(([1]Transport!E$24+[1]Transport!E$27)=0,0,(I$49+I$716)/([1]Transport!E$24+[1]Transport!E$27)*I1341)</f>
        <v>0</v>
      </c>
      <c r="J1345" s="1">
        <f>IF(([1]Transport!F$24+[1]Transport!F$27)=0,0,(J$49+J$716)/([1]Transport!F$24+[1]Transport!F$27)*J1341)</f>
        <v>0</v>
      </c>
      <c r="K1345" s="1">
        <f>IF(([1]Transport!G$24+[1]Transport!G$27)=0,0,(K$49+K$716)/([1]Transport!G$24+[1]Transport!G$27)*K1341)</f>
        <v>7.8442891389856803E-4</v>
      </c>
      <c r="L1345" s="1">
        <f>IF(([1]Transport!H$24+[1]Transport!H$27)=0,0,(L$49+L$716)/([1]Transport!H$24+[1]Transport!H$27)*L1341)</f>
        <v>0</v>
      </c>
      <c r="M1345" s="1">
        <f>IF(([1]Transport!I$24+[1]Transport!I$27)=0,0,(M$49+M$716)/([1]Transport!I$24+[1]Transport!I$27)*M1341)</f>
        <v>0</v>
      </c>
      <c r="N1345" s="1">
        <f>IF(([1]Transport!J$24+[1]Transport!J$27)=0,0,(N$49+N$716)/([1]Transport!J$24+[1]Transport!J$27)*N1341)</f>
        <v>0</v>
      </c>
      <c r="O1345" s="1">
        <f>IF(([1]Transport!K$24+[1]Transport!K$27)=0,0,(O$49+O$716)/([1]Transport!K$24+[1]Transport!K$27)*O1341)</f>
        <v>0</v>
      </c>
      <c r="P1345" s="1">
        <f>IF(([1]Transport!L$24+[1]Transport!L$27)=0,0,(P$49+P$716)/([1]Transport!L$24+[1]Transport!L$27)*P1341)</f>
        <v>0</v>
      </c>
      <c r="Q1345" s="1">
        <f>IF(([1]Transport!M$24+[1]Transport!M$27)=0,0,(Q$49+Q$716)/([1]Transport!M$24+[1]Transport!M$27)*Q1341)</f>
        <v>0</v>
      </c>
      <c r="S1345" s="3"/>
    </row>
    <row r="1346" spans="2:19" x14ac:dyDescent="0.5">
      <c r="B1346" s="5" t="str">
        <f t="shared" si="1478"/>
        <v>SPS1</v>
      </c>
      <c r="C1346" s="5" t="str">
        <f t="shared" si="1479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3.1578309789989271E-4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3.169888082465362E-4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3.1597689634146311E-4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M1346" s="1" cm="1">
        <f t="array" ref="M1346">SUMPRODUCT(("T_B_u-ICEngaEXT"=[1]OUT_TransportEnergyCons!$A$3:$A$1000)*1,("Var_Fin"=[1]OUT_TransportEnergyCons!$B$3:$B$1000)*1,ISNUMBER(SEARCH("nga",[1]OUT_TransportEnergyCons!$C$3:$C$1000))*1,[1]OUT_TransportEnergyCons!K$3:K$1000)</f>
        <v>0</v>
      </c>
      <c r="N1346" s="1" cm="1">
        <f t="array" ref="N1346">SUMPRODUCT(("T_B_u-ICEngaEXT"=[1]OUT_TransportEnergyCons!$A$3:$A$1000)*1,("Var_Fin"=[1]OUT_TransportEnergyCons!$B$3:$B$1000)*1,ISNUMBER(SEARCH("nga",[1]OUT_TransportEnergyCons!$C$3:$C$1000))*1,[1]OUT_TransportEnergyCons!L$3:L$1000)</f>
        <v>0</v>
      </c>
      <c r="O1346" s="1" cm="1">
        <f t="array" ref="O1346">SUMPRODUCT(("T_B_u-ICEngaEXT"=[1]OUT_TransportEnergyCons!$A$3:$A$1000)*1,("Var_Fin"=[1]OUT_TransportEnergyCons!$B$3:$B$1000)*1,ISNUMBER(SEARCH("nga",[1]OUT_TransportEnergyCons!$C$3:$C$1000))*1,[1]OUT_TransportEnergyCons!M$3:M$1000)</f>
        <v>0</v>
      </c>
      <c r="P1346" s="1" cm="1">
        <f t="array" ref="P1346">SUMPRODUCT(("T_B_u-ICEngaEXT"=[1]OUT_TransportEnergyCons!$A$3:$A$1000)*1,("Var_Fin"=[1]OUT_TransportEnergyCons!$B$3:$B$1000)*1,ISNUMBER(SEARCH("nga",[1]OUT_TransportEnergyCons!$C$3:$C$1000))*1,[1]OUT_TransportEnergyCons!N$3:N$1000)</f>
        <v>0</v>
      </c>
      <c r="Q1346" s="1" cm="1">
        <f t="array" ref="Q1346">SUMPRODUCT(("T_B_u-ICEngaEXT"=[1]OUT_TransportEnergyCons!$A$3:$A$1000)*1,("Var_Fin"=[1]OUT_TransportEnergyCons!$B$3:$B$1000)*1,ISNUMBER(SEARCH("nga",[1]OUT_TransportEnergyCons!$C$3:$C$1000))*1,[1]OUT_TransportEnergyCons!O$3:O$1000)</f>
        <v>0</v>
      </c>
      <c r="S1346" s="3"/>
    </row>
    <row r="1347" spans="2:19" x14ac:dyDescent="0.5">
      <c r="B1347" s="5" t="str">
        <f t="shared" si="1478"/>
        <v>SPS1</v>
      </c>
      <c r="C1347" s="5" t="str">
        <f t="shared" si="1479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1.433046194131056E-4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6.2113718911194237E-4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0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0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0</v>
      </c>
      <c r="M1347" s="1" cm="1">
        <f t="array" ref="M1347">SUMPRODUCT(("T_B_u-ICEnga-S1"=[1]OUT_TransportEnergyCons!$A$3:$A$1000)*1,("Var_Fin"=[1]OUT_TransportEnergyCons!$B$3:$B$1000)*1,ISNUMBER(SEARCH("nga",[1]OUT_TransportEnergyCons!$C$3:$C$1000))*1,[1]OUT_TransportEnergyCons!K$3:K$1000)</f>
        <v>0</v>
      </c>
      <c r="N1347" s="1" cm="1">
        <f t="array" ref="N1347">SUMPRODUCT(("T_B_u-ICEnga-S1"=[1]OUT_TransportEnergyCons!$A$3:$A$1000)*1,("Var_Fin"=[1]OUT_TransportEnergyCons!$B$3:$B$1000)*1,ISNUMBER(SEARCH("nga",[1]OUT_TransportEnergyCons!$C$3:$C$1000))*1,[1]OUT_TransportEnergyCons!L$3:L$1000)</f>
        <v>0</v>
      </c>
      <c r="O1347" s="1" cm="1">
        <f t="array" ref="O1347">SUMPRODUCT(("T_B_u-ICEnga-S1"=[1]OUT_TransportEnergyCons!$A$3:$A$1000)*1,("Var_Fin"=[1]OUT_TransportEnergyCons!$B$3:$B$1000)*1,ISNUMBER(SEARCH("nga",[1]OUT_TransportEnergyCons!$C$3:$C$1000))*1,[1]OUT_TransportEnergyCons!M$3:M$1000)</f>
        <v>0</v>
      </c>
      <c r="P1347" s="1" cm="1">
        <f t="array" ref="P1347">SUMPRODUCT(("T_B_u-ICEnga-S1"=[1]OUT_TransportEnergyCons!$A$3:$A$1000)*1,("Var_Fin"=[1]OUT_TransportEnergyCons!$B$3:$B$1000)*1,ISNUMBER(SEARCH("nga",[1]OUT_TransportEnergyCons!$C$3:$C$1000))*1,[1]OUT_TransportEnergyCons!N$3:N$1000)</f>
        <v>0</v>
      </c>
      <c r="Q1347" s="1" cm="1">
        <f t="array" ref="Q1347">SUMPRODUCT(("T_B_u-ICEnga-S1"=[1]OUT_TransportEnergyCons!$A$3:$A$1000)*1,("Var_Fin"=[1]OUT_TransportEnergyCons!$B$3:$B$1000)*1,ISNUMBER(SEARCH("nga",[1]OUT_TransportEnergyCons!$C$3:$C$1000))*1,[1]OUT_TransportEnergyCons!O$3:O$1000)</f>
        <v>0</v>
      </c>
      <c r="S1347" s="3"/>
    </row>
    <row r="1348" spans="2:19" x14ac:dyDescent="0.5">
      <c r="B1348" s="5" t="str">
        <f t="shared" si="1478"/>
        <v>SPS1</v>
      </c>
      <c r="C1348" s="5" t="str">
        <f t="shared" si="1479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1.182717235557012E-4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1.3422340948095026E-3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0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0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0</v>
      </c>
      <c r="M1348" s="1" cm="1">
        <f t="array" ref="M1348">SUMPRODUCT(("T_B_u-ICEnga-S2"=[1]OUT_TransportEnergyCons!$A$3:$A$1000)*1,("Var_Fin"=[1]OUT_TransportEnergyCons!$B$3:$B$1000)*1,ISNUMBER(SEARCH("nga",[1]OUT_TransportEnergyCons!$C$3:$C$1000))*1,[1]OUT_TransportEnergyCons!K$3:K$1000)</f>
        <v>0</v>
      </c>
      <c r="N1348" s="1" cm="1">
        <f t="array" ref="N1348">SUMPRODUCT(("T_B_u-ICEnga-S2"=[1]OUT_TransportEnergyCons!$A$3:$A$1000)*1,("Var_Fin"=[1]OUT_TransportEnergyCons!$B$3:$B$1000)*1,ISNUMBER(SEARCH("nga",[1]OUT_TransportEnergyCons!$C$3:$C$1000))*1,[1]OUT_TransportEnergyCons!L$3:L$1000)</f>
        <v>0</v>
      </c>
      <c r="O1348" s="1" cm="1">
        <f t="array" ref="O1348">SUMPRODUCT(("T_B_u-ICEnga-S2"=[1]OUT_TransportEnergyCons!$A$3:$A$1000)*1,("Var_Fin"=[1]OUT_TransportEnergyCons!$B$3:$B$1000)*1,ISNUMBER(SEARCH("nga",[1]OUT_TransportEnergyCons!$C$3:$C$1000))*1,[1]OUT_TransportEnergyCons!M$3:M$1000)</f>
        <v>0</v>
      </c>
      <c r="P1348" s="1" cm="1">
        <f t="array" ref="P1348">SUMPRODUCT(("T_B_u-ICEnga-S2"=[1]OUT_TransportEnergyCons!$A$3:$A$1000)*1,("Var_Fin"=[1]OUT_TransportEnergyCons!$B$3:$B$1000)*1,ISNUMBER(SEARCH("nga",[1]OUT_TransportEnergyCons!$C$3:$C$1000))*1,[1]OUT_TransportEnergyCons!N$3:N$1000)</f>
        <v>0</v>
      </c>
      <c r="Q1348" s="1" cm="1">
        <f t="array" ref="Q1348">SUMPRODUCT(("T_B_u-ICEnga-S2"=[1]OUT_TransportEnergyCons!$A$3:$A$1000)*1,("Var_Fin"=[1]OUT_TransportEnergyCons!$B$3:$B$1000)*1,ISNUMBER(SEARCH("nga",[1]OUT_TransportEnergyCons!$C$3:$C$1000))*1,[1]OUT_TransportEnergyCons!O$3:O$1000)</f>
        <v>0</v>
      </c>
      <c r="S1348" s="3"/>
    </row>
    <row r="1349" spans="2:19" x14ac:dyDescent="0.5">
      <c r="B1349" s="5" t="str">
        <f t="shared" si="1478"/>
        <v>SPS1</v>
      </c>
      <c r="C1349" s="5" t="str">
        <f t="shared" si="1479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1.1649307592664012E-4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1.8664403597776151E-2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0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0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0</v>
      </c>
      <c r="M1349" s="1" cm="1">
        <f t="array" ref="M1349">SUMPRODUCT(("T_B_u-ICEnga-S3"=[1]OUT_TransportEnergyCons!$A$3:$A$1000)*1,("Var_Fin"=[1]OUT_TransportEnergyCons!$B$3:$B$1000)*1,ISNUMBER(SEARCH("nga",[1]OUT_TransportEnergyCons!$C$3:$C$1000))*1,[1]OUT_TransportEnergyCons!K$3:K$1000)</f>
        <v>0</v>
      </c>
      <c r="N1349" s="1" cm="1">
        <f t="array" ref="N1349">SUMPRODUCT(("T_B_u-ICEnga-S3"=[1]OUT_TransportEnergyCons!$A$3:$A$1000)*1,("Var_Fin"=[1]OUT_TransportEnergyCons!$B$3:$B$1000)*1,ISNUMBER(SEARCH("nga",[1]OUT_TransportEnergyCons!$C$3:$C$1000))*1,[1]OUT_TransportEnergyCons!L$3:L$1000)</f>
        <v>0</v>
      </c>
      <c r="O1349" s="1" cm="1">
        <f t="array" ref="O1349">SUMPRODUCT(("T_B_u-ICEnga-S3"=[1]OUT_TransportEnergyCons!$A$3:$A$1000)*1,("Var_Fin"=[1]OUT_TransportEnergyCons!$B$3:$B$1000)*1,ISNUMBER(SEARCH("nga",[1]OUT_TransportEnergyCons!$C$3:$C$1000))*1,[1]OUT_TransportEnergyCons!M$3:M$1000)</f>
        <v>0</v>
      </c>
      <c r="P1349" s="1" cm="1">
        <f t="array" ref="P1349">SUMPRODUCT(("T_B_u-ICEnga-S3"=[1]OUT_TransportEnergyCons!$A$3:$A$1000)*1,("Var_Fin"=[1]OUT_TransportEnergyCons!$B$3:$B$1000)*1,ISNUMBER(SEARCH("nga",[1]OUT_TransportEnergyCons!$C$3:$C$1000))*1,[1]OUT_TransportEnergyCons!N$3:N$1000)</f>
        <v>0</v>
      </c>
      <c r="Q1349" s="1" cm="1">
        <f t="array" ref="Q1349">SUMPRODUCT(("T_B_u-ICEnga-S3"=[1]OUT_TransportEnergyCons!$A$3:$A$1000)*1,("Var_Fin"=[1]OUT_TransportEnergyCons!$B$3:$B$1000)*1,ISNUMBER(SEARCH("nga",[1]OUT_TransportEnergyCons!$C$3:$C$1000))*1,[1]OUT_TransportEnergyCons!O$3:O$1000)</f>
        <v>0</v>
      </c>
      <c r="S1349" s="3"/>
    </row>
    <row r="1350" spans="2:19" x14ac:dyDescent="0.5">
      <c r="B1350" s="5" t="str">
        <f t="shared" si="1478"/>
        <v>SPS1</v>
      </c>
      <c r="C1350" s="5" t="str">
        <f t="shared" si="1479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1.3598583077969948E-5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4.8174291280231702E-5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0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9.4523047523234789E-7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0</v>
      </c>
      <c r="M1350" s="1" cm="1">
        <f t="array" ref="M1350">SUMPRODUCT(("T_B_u-ICEnga-S4"=[1]OUT_TransportEnergyCons!$A$3:$A$1000)*1,("Var_Fin"=[1]OUT_TransportEnergyCons!$B$3:$B$1000)*1,ISNUMBER(SEARCH("nga",[1]OUT_TransportEnergyCons!$C$3:$C$1000))*1,[1]OUT_TransportEnergyCons!K$3:K$1000)</f>
        <v>0</v>
      </c>
      <c r="N1350" s="1" cm="1">
        <f t="array" ref="N1350">SUMPRODUCT(("T_B_u-ICEnga-S4"=[1]OUT_TransportEnergyCons!$A$3:$A$1000)*1,("Var_Fin"=[1]OUT_TransportEnergyCons!$B$3:$B$1000)*1,ISNUMBER(SEARCH("nga",[1]OUT_TransportEnergyCons!$C$3:$C$1000))*1,[1]OUT_TransportEnergyCons!L$3:L$1000)</f>
        <v>0</v>
      </c>
      <c r="O1350" s="1" cm="1">
        <f t="array" ref="O1350">SUMPRODUCT(("T_B_u-ICEnga-S4"=[1]OUT_TransportEnergyCons!$A$3:$A$1000)*1,("Var_Fin"=[1]OUT_TransportEnergyCons!$B$3:$B$1000)*1,ISNUMBER(SEARCH("nga",[1]OUT_TransportEnergyCons!$C$3:$C$1000))*1,[1]OUT_TransportEnergyCons!M$3:M$1000)</f>
        <v>0</v>
      </c>
      <c r="P1350" s="1" cm="1">
        <f t="array" ref="P1350">SUMPRODUCT(("T_B_u-ICEnga-S4"=[1]OUT_TransportEnergyCons!$A$3:$A$1000)*1,("Var_Fin"=[1]OUT_TransportEnergyCons!$B$3:$B$1000)*1,ISNUMBER(SEARCH("nga",[1]OUT_TransportEnergyCons!$C$3:$C$1000))*1,[1]OUT_TransportEnergyCons!N$3:N$1000)</f>
        <v>0</v>
      </c>
      <c r="Q1350" s="1" cm="1">
        <f t="array" ref="Q1350">SUMPRODUCT(("T_B_u-ICEnga-S4"=[1]OUT_TransportEnergyCons!$A$3:$A$1000)*1,("Var_Fin"=[1]OUT_TransportEnergyCons!$B$3:$B$1000)*1,ISNUMBER(SEARCH("nga",[1]OUT_TransportEnergyCons!$C$3:$C$1000))*1,[1]OUT_TransportEnergyCons!O$3:O$1000)</f>
        <v>0</v>
      </c>
      <c r="S1350" s="3"/>
    </row>
    <row r="1351" spans="2:19" x14ac:dyDescent="0.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0.29537138498848536</v>
      </c>
      <c r="G1351" s="3">
        <f t="shared" ref="G1351:K1351" si="1502">SUM(G1352:G1374)</f>
        <v>0.30114394978625936</v>
      </c>
      <c r="H1351" s="3">
        <f t="shared" si="1502"/>
        <v>0.30982575536302343</v>
      </c>
      <c r="I1351" s="3">
        <f t="shared" si="1502"/>
        <v>0.32430143305174725</v>
      </c>
      <c r="J1351" s="3">
        <f t="shared" si="1502"/>
        <v>0.33845457397361378</v>
      </c>
      <c r="K1351" s="3">
        <f t="shared" si="1502"/>
        <v>0.35284646447694018</v>
      </c>
      <c r="L1351" s="3">
        <f t="shared" ref="L1351:O1351" si="1503">SUM(L1352:L1374)</f>
        <v>0.36514471248545144</v>
      </c>
      <c r="M1351" s="3">
        <f t="shared" si="1503"/>
        <v>0.3774453705801003</v>
      </c>
      <c r="N1351" s="3">
        <f t="shared" si="1503"/>
        <v>0.38803800545047112</v>
      </c>
      <c r="O1351" s="3">
        <f t="shared" si="1503"/>
        <v>0.39908375804304075</v>
      </c>
      <c r="P1351" s="3">
        <f>SUM(P1352:P1374)</f>
        <v>0.4112793317000184</v>
      </c>
      <c r="Q1351" s="3">
        <f>SUM(Q1352:Q1374)</f>
        <v>0.42532526655790581</v>
      </c>
      <c r="S1351" s="3"/>
    </row>
    <row r="1352" spans="2:19" x14ac:dyDescent="0.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1.9868162054833176E-3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1.6036480225953774E-3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1.0023377379092928E-3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M1352" s="1" cm="1">
        <f t="array" ref="M1352">SUMPRODUCT(("T_B_u-BeVELCEXT"=[1]OUT_TransportEnergyCons!$A$3:$A$1000)*1,("var_fout"=[1]OUT_TransportEnergyCons!$B$3:$B$1000)*1,ISNUMBER(SEARCH("tpbsu",[1]OUT_TransportEnergyCons!$C$3:$C$1000))*1,[1]OUT_TransportEnergyCons!K$3:K$1000)</f>
        <v>0</v>
      </c>
      <c r="N1352" s="1" cm="1">
        <f t="array" ref="N1352">SUMPRODUCT(("T_B_u-BeVELCEXT"=[1]OUT_TransportEnergyCons!$A$3:$A$1000)*1,("var_fout"=[1]OUT_TransportEnergyCons!$B$3:$B$1000)*1,ISNUMBER(SEARCH("tpbsu",[1]OUT_TransportEnergyCons!$C$3:$C$1000))*1,[1]OUT_TransportEnergyCons!L$3:L$1000)</f>
        <v>0</v>
      </c>
      <c r="O1352" s="1" cm="1">
        <f t="array" ref="O1352">SUMPRODUCT(("T_B_u-BeVELCEXT"=[1]OUT_TransportEnergyCons!$A$3:$A$1000)*1,("var_fout"=[1]OUT_TransportEnergyCons!$B$3:$B$1000)*1,ISNUMBER(SEARCH("tpbsu",[1]OUT_TransportEnergyCons!$C$3:$C$1000))*1,[1]OUT_TransportEnergyCons!M$3:M$1000)</f>
        <v>0</v>
      </c>
      <c r="P1352" s="1" cm="1">
        <f t="array" ref="P1352">SUMPRODUCT(("T_B_u-BeVELCEXT"=[1]OUT_TransportEnergyCons!$A$3:$A$1000)*1,("var_fout"=[1]OUT_TransportEnergyCons!$B$3:$B$1000)*1,ISNUMBER(SEARCH("tpbsu",[1]OUT_TransportEnergyCons!$C$3:$C$1000))*1,[1]OUT_TransportEnergyCons!N$3:N$1000)</f>
        <v>0</v>
      </c>
      <c r="Q1352" s="1" cm="1">
        <f t="array" ref="Q1352">SUMPRODUCT(("T_B_u-BeVELCEXT"=[1]OUT_TransportEnergyCons!$A$3:$A$1000)*1,("var_fout"=[1]OUT_TransportEnergyCons!$B$3:$B$1000)*1,ISNUMBER(SEARCH("tpbsu",[1]OUT_TransportEnergyCons!$C$3:$C$1000))*1,[1]OUT_TransportEnergyCons!O$3:O$1000)</f>
        <v>0</v>
      </c>
      <c r="S1352" s="3"/>
    </row>
    <row r="1353" spans="2:19" x14ac:dyDescent="0.5">
      <c r="B1353" s="5" t="str">
        <f t="shared" ref="B1353:B1374" si="1504">B1352</f>
        <v>SPS1</v>
      </c>
      <c r="C1353" s="5" t="str">
        <f t="shared" ref="C1353:C1374" si="1505">C1352</f>
        <v>CH</v>
      </c>
      <c r="D1353" t="s">
        <v>1350</v>
      </c>
      <c r="E1353" t="str">
        <f t="shared" ref="E1353:E1374" si="150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1.3296313484312829E-7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2.7879828539263002E-4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7.3100649780800031E-4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0.10746071046217494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0.11498621692409877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0.12008006101322363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0.12426803357642656</v>
      </c>
      <c r="M1353" s="1" cm="1">
        <f t="array" ref="M1353">SUMPRODUCT(("T_B_u-BEVELC-S1"=[1]OUT_TransportEnergyCons!$A$3:$A$1000)*1,("var_fout"=[1]OUT_TransportEnergyCons!$B$3:$B$1000)*1,ISNUMBER(SEARCH("tpbsu",[1]OUT_TransportEnergyCons!$C$3:$C$1000))*1,[1]OUT_TransportEnergyCons!K$3:K$1000)</f>
        <v>0.12844399670759885</v>
      </c>
      <c r="N1353" s="1" cm="1">
        <f t="array" ref="N1353">SUMPRODUCT(("T_B_u-BEVELC-S1"=[1]OUT_TransportEnergyCons!$A$3:$A$1000)*1,("var_fout"=[1]OUT_TransportEnergyCons!$B$3:$B$1000)*1,ISNUMBER(SEARCH("tpbsu",[1]OUT_TransportEnergyCons!$C$3:$C$1000))*1,[1]OUT_TransportEnergyCons!L$3:L$1000)</f>
        <v>0.13205068231562436</v>
      </c>
      <c r="O1353" s="1" cm="1">
        <f t="array" ref="O1353">SUMPRODUCT(("T_B_u-BEVELC-S1"=[1]OUT_TransportEnergyCons!$A$3:$A$1000)*1,("var_fout"=[1]OUT_TransportEnergyCons!$B$3:$B$1000)*1,ISNUMBER(SEARCH("tpbsu",[1]OUT_TransportEnergyCons!$C$3:$C$1000))*1,[1]OUT_TransportEnergyCons!M$3:M$1000)</f>
        <v>0.13580087028135562</v>
      </c>
      <c r="P1353" s="1" cm="1">
        <f t="array" ref="P1353">SUMPRODUCT(("T_B_u-BEVELC-S1"=[1]OUT_TransportEnergyCons!$A$3:$A$1000)*1,("var_fout"=[1]OUT_TransportEnergyCons!$B$3:$B$1000)*1,ISNUMBER(SEARCH("tpbsu",[1]OUT_TransportEnergyCons!$C$3:$C$1000))*1,[1]OUT_TransportEnergyCons!N$3:N$1000)</f>
        <v>0.13994711279301553</v>
      </c>
      <c r="Q1353" s="1" cm="1">
        <f t="array" ref="Q1353">SUMPRODUCT(("T_B_u-BEVELC-S1"=[1]OUT_TransportEnergyCons!$A$3:$A$1000)*1,("var_fout"=[1]OUT_TransportEnergyCons!$B$3:$B$1000)*1,ISNUMBER(SEARCH("tpbsu",[1]OUT_TransportEnergyCons!$C$3:$C$1000))*1,[1]OUT_TransportEnergyCons!O$3:O$1000)</f>
        <v>0.14470110794633531</v>
      </c>
      <c r="S1353" s="3"/>
    </row>
    <row r="1354" spans="2:19" x14ac:dyDescent="0.5">
      <c r="B1354" s="5" t="str">
        <f t="shared" si="1504"/>
        <v>SPS1</v>
      </c>
      <c r="C1354" s="5" t="str">
        <f t="shared" si="1505"/>
        <v>CH</v>
      </c>
      <c r="D1354" t="s">
        <v>1351</v>
      </c>
      <c r="E1354" t="str">
        <f t="shared" si="150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3.6213543186511645E-4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6.3294632547901701E-4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1.047536085583741E-3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3.9833425168436846E-2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4.1571888247198575E-2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4.3340187784540248E-2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4.4850157398553706E-2</v>
      </c>
      <c r="M1354" s="1" cm="1">
        <f t="array" ref="M1354">SUMPRODUCT(("T_B_u-BEVELC-S2"=[1]OUT_TransportEnergyCons!$A$3:$A$1000)*1,("var_fout"=[1]OUT_TransportEnergyCons!$B$3:$B$1000)*1,ISNUMBER(SEARCH("tpbsu",[1]OUT_TransportEnergyCons!$C$3:$C$1000))*1,[1]OUT_TransportEnergyCons!K$3:K$1000)</f>
        <v>4.6361552913122953E-2</v>
      </c>
      <c r="N1354" s="1" cm="1">
        <f t="array" ref="N1354">SUMPRODUCT(("T_B_u-BEVELC-S2"=[1]OUT_TransportEnergyCons!$A$3:$A$1000)*1,("var_fout"=[1]OUT_TransportEnergyCons!$B$3:$B$1000)*1,ISNUMBER(SEARCH("tpbsu",[1]OUT_TransportEnergyCons!$C$3:$C$1000))*1,[1]OUT_TransportEnergyCons!L$3:L$1000)</f>
        <v>4.7663453106534318E-2</v>
      </c>
      <c r="O1354" s="1" cm="1">
        <f t="array" ref="O1354">SUMPRODUCT(("T_B_u-BEVELC-S2"=[1]OUT_TransportEnergyCons!$A$3:$A$1000)*1,("var_fout"=[1]OUT_TransportEnergyCons!$B$3:$B$1000)*1,ISNUMBER(SEARCH("tpbsu",[1]OUT_TransportEnergyCons!$C$3:$C$1000))*1,[1]OUT_TransportEnergyCons!M$3:M$1000)</f>
        <v>4.9020637435230947E-2</v>
      </c>
      <c r="P1354" s="1" cm="1">
        <f t="array" ref="P1354">SUMPRODUCT(("T_B_u-BEVELC-S2"=[1]OUT_TransportEnergyCons!$A$3:$A$1000)*1,("var_fout"=[1]OUT_TransportEnergyCons!$B$3:$B$1000)*1,ISNUMBER(SEARCH("tpbsu",[1]OUT_TransportEnergyCons!$C$3:$C$1000))*1,[1]OUT_TransportEnergyCons!N$3:N$1000)</f>
        <v>5.0518288137415733E-2</v>
      </c>
      <c r="Q1354" s="1" cm="1">
        <f t="array" ref="Q1354">SUMPRODUCT(("T_B_u-BEVELC-S2"=[1]OUT_TransportEnergyCons!$A$3:$A$1000)*1,("var_fout"=[1]OUT_TransportEnergyCons!$B$3:$B$1000)*1,ISNUMBER(SEARCH("tpbsu",[1]OUT_TransportEnergyCons!$C$3:$C$1000))*1,[1]OUT_TransportEnergyCons!O$3:O$1000)</f>
        <v>5.2243938598058953E-2</v>
      </c>
      <c r="S1354" s="3"/>
    </row>
    <row r="1355" spans="2:19" x14ac:dyDescent="0.5">
      <c r="B1355" s="5" t="str">
        <f t="shared" si="1504"/>
        <v>SPS1</v>
      </c>
      <c r="C1355" s="5" t="str">
        <f t="shared" si="1505"/>
        <v>CH</v>
      </c>
      <c r="D1355" t="s">
        <v>1352</v>
      </c>
      <c r="E1355" t="str">
        <f t="shared" si="150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6.9949517227858979E-4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1.6499997303170127E-3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1.997593880502226E-3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0.17409077892827343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0.18168506075063123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0.18941068565993438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0.19601237852064818</v>
      </c>
      <c r="M1355" s="1" cm="1">
        <f t="array" ref="M1355">SUMPRODUCT(("T_B_u-BEVELC-S3"=[1]OUT_TransportEnergyCons!$A$3:$A$1000)*1,("var_fout"=[1]OUT_TransportEnergyCons!$B$3:$B$1000)*1,ISNUMBER(SEARCH("tpbsu",[1]OUT_TransportEnergyCons!$C$3:$C$1000))*1,[1]OUT_TransportEnergyCons!K$3:K$1000)</f>
        <v>0.20261472939928774</v>
      </c>
      <c r="N1355" s="1" cm="1">
        <f t="array" ref="N1355">SUMPRODUCT(("T_B_u-BEVELC-S3"=[1]OUT_TransportEnergyCons!$A$3:$A$1000)*1,("var_fout"=[1]OUT_TransportEnergyCons!$B$3:$B$1000)*1,ISNUMBER(SEARCH("tpbsu",[1]OUT_TransportEnergyCons!$C$3:$C$1000))*1,[1]OUT_TransportEnergyCons!L$3:L$1000)</f>
        <v>0.20830004186362741</v>
      </c>
      <c r="O1355" s="1" cm="1">
        <f t="array" ref="O1355">SUMPRODUCT(("T_B_u-BEVELC-S3"=[1]OUT_TransportEnergyCons!$A$3:$A$1000)*1,("var_fout"=[1]OUT_TransportEnergyCons!$B$3:$B$1000)*1,ISNUMBER(SEARCH("tpbsu",[1]OUT_TransportEnergyCons!$C$3:$C$1000))*1,[1]OUT_TransportEnergyCons!M$3:M$1000)</f>
        <v>0.21422919542642571</v>
      </c>
      <c r="P1355" s="1" cm="1">
        <f t="array" ref="P1355">SUMPRODUCT(("T_B_u-BEVELC-S3"=[1]OUT_TransportEnergyCons!$A$3:$A$1000)*1,("var_fout"=[1]OUT_TransportEnergyCons!$B$3:$B$1000)*1,ISNUMBER(SEARCH("tpbsu",[1]OUT_TransportEnergyCons!$C$3:$C$1000))*1,[1]OUT_TransportEnergyCons!N$3:N$1000)</f>
        <v>0.22077594620756116</v>
      </c>
      <c r="Q1355" s="1" cm="1">
        <f t="array" ref="Q1355">SUMPRODUCT(("T_B_u-BEVELC-S3"=[1]OUT_TransportEnergyCons!$A$3:$A$1000)*1,("var_fout"=[1]OUT_TransportEnergyCons!$B$3:$B$1000)*1,ISNUMBER(SEARCH("tpbsu",[1]OUT_TransportEnergyCons!$C$3:$C$1000))*1,[1]OUT_TransportEnergyCons!O$3:O$1000)</f>
        <v>0.22831600179087064</v>
      </c>
      <c r="S1355" s="3"/>
    </row>
    <row r="1356" spans="2:19" x14ac:dyDescent="0.5">
      <c r="B1356" s="5" t="str">
        <f t="shared" si="1504"/>
        <v>SPS1</v>
      </c>
      <c r="C1356" s="5" t="str">
        <f t="shared" si="1505"/>
        <v>CH</v>
      </c>
      <c r="D1356" t="s">
        <v>1353</v>
      </c>
      <c r="E1356" t="str">
        <f t="shared" si="150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2.31415070144073E-5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2.2339473911113292E-5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4.1229297940220355E-5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2.9111070839714184E-3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2.1140805168520335E-4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1.5444057732681608E-5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1.4100186165224025E-5</v>
      </c>
      <c r="M1356" s="1" cm="1">
        <f t="array" ref="M1356">SUMPRODUCT(("T_B_u-BEVELC-S4"=[1]OUT_TransportEnergyCons!$A$3:$A$1000)*1,("var_fout"=[1]OUT_TransportEnergyCons!$B$3:$B$1000)*1,ISNUMBER(SEARCH("tpbsu",[1]OUT_TransportEnergyCons!$C$3:$C$1000))*1,[1]OUT_TransportEnergyCons!K$3:K$1000)</f>
        <v>2.5091560090797855E-5</v>
      </c>
      <c r="N1356" s="1" cm="1">
        <f t="array" ref="N1356">SUMPRODUCT(("T_B_u-BEVELC-S4"=[1]OUT_TransportEnergyCons!$A$3:$A$1000)*1,("var_fout"=[1]OUT_TransportEnergyCons!$B$3:$B$1000)*1,ISNUMBER(SEARCH("tpbsu",[1]OUT_TransportEnergyCons!$C$3:$C$1000))*1,[1]OUT_TransportEnergyCons!L$3:L$1000)</f>
        <v>2.3828164685008689E-5</v>
      </c>
      <c r="O1356" s="1" cm="1">
        <f t="array" ref="O1356">SUMPRODUCT(("T_B_u-BEVELC-S4"=[1]OUT_TransportEnergyCons!$A$3:$A$1000)*1,("var_fout"=[1]OUT_TransportEnergyCons!$B$3:$B$1000)*1,ISNUMBER(SEARCH("tpbsu",[1]OUT_TransportEnergyCons!$C$3:$C$1000))*1,[1]OUT_TransportEnergyCons!M$3:M$1000)</f>
        <v>3.3054900028459319E-5</v>
      </c>
      <c r="P1356" s="1" cm="1">
        <f t="array" ref="P1356">SUMPRODUCT(("T_B_u-BEVELC-S4"=[1]OUT_TransportEnergyCons!$A$3:$A$1000)*1,("var_fout"=[1]OUT_TransportEnergyCons!$B$3:$B$1000)*1,ISNUMBER(SEARCH("tpbsu",[1]OUT_TransportEnergyCons!$C$3:$C$1000))*1,[1]OUT_TransportEnergyCons!N$3:N$1000)</f>
        <v>3.7984562025948026E-5</v>
      </c>
      <c r="Q1356" s="1" cm="1">
        <f t="array" ref="Q1356">SUMPRODUCT(("T_B_u-BEVELC-S4"=[1]OUT_TransportEnergyCons!$A$3:$A$1000)*1,("var_fout"=[1]OUT_TransportEnergyCons!$B$3:$B$1000)*1,ISNUMBER(SEARCH("tpbsu",[1]OUT_TransportEnergyCons!$C$3:$C$1000))*1,[1]OUT_TransportEnergyCons!O$3:O$1000)</f>
        <v>6.4218222640917679E-5</v>
      </c>
      <c r="S1356" s="3"/>
    </row>
    <row r="1357" spans="2:19" x14ac:dyDescent="0.5">
      <c r="B1357" s="5" t="str">
        <f t="shared" si="1504"/>
        <v>SPS1</v>
      </c>
      <c r="C1357" s="5" t="str">
        <f t="shared" si="1505"/>
        <v>CH</v>
      </c>
      <c r="D1357" t="s">
        <v>1354</v>
      </c>
      <c r="E1357" t="str">
        <f t="shared" si="150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0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0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0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0</v>
      </c>
      <c r="M1357" s="1" cm="1">
        <f t="array" ref="M1357">SUMPRODUCT(("T_B_u-FCLH2O-S1"=[1]OUT_TransportEnergyCons!$A$3:$A$1000)*1,("var_fout"=[1]OUT_TransportEnergyCons!$B$3:$B$1000)*1,ISNUMBER(SEARCH("tpbsu",[1]OUT_TransportEnergyCons!$C$3:$C$1000))*1,[1]OUT_TransportEnergyCons!K$3:K$1000)</f>
        <v>0</v>
      </c>
      <c r="N1357" s="1" cm="1">
        <f t="array" ref="N1357">SUMPRODUCT(("T_B_u-FCLH2O-S1"=[1]OUT_TransportEnergyCons!$A$3:$A$1000)*1,("var_fout"=[1]OUT_TransportEnergyCons!$B$3:$B$1000)*1,ISNUMBER(SEARCH("tpbsu",[1]OUT_TransportEnergyCons!$C$3:$C$1000))*1,[1]OUT_TransportEnergyCons!L$3:L$1000)</f>
        <v>0</v>
      </c>
      <c r="O1357" s="1" cm="1">
        <f t="array" ref="O1357">SUMPRODUCT(("T_B_u-FCLH2O-S1"=[1]OUT_TransportEnergyCons!$A$3:$A$1000)*1,("var_fout"=[1]OUT_TransportEnergyCons!$B$3:$B$1000)*1,ISNUMBER(SEARCH("tpbsu",[1]OUT_TransportEnergyCons!$C$3:$C$1000))*1,[1]OUT_TransportEnergyCons!M$3:M$1000)</f>
        <v>0</v>
      </c>
      <c r="P1357" s="1" cm="1">
        <f t="array" ref="P1357">SUMPRODUCT(("T_B_u-FCLH2O-S1"=[1]OUT_TransportEnergyCons!$A$3:$A$1000)*1,("var_fout"=[1]OUT_TransportEnergyCons!$B$3:$B$1000)*1,ISNUMBER(SEARCH("tpbsu",[1]OUT_TransportEnergyCons!$C$3:$C$1000))*1,[1]OUT_TransportEnergyCons!N$3:N$1000)</f>
        <v>0</v>
      </c>
      <c r="Q1357" s="1" cm="1">
        <f t="array" ref="Q1357">SUMPRODUCT(("T_B_u-FCLH2O-S1"=[1]OUT_TransportEnergyCons!$A$3:$A$1000)*1,("var_fout"=[1]OUT_TransportEnergyCons!$B$3:$B$1000)*1,ISNUMBER(SEARCH("tpbsu",[1]OUT_TransportEnergyCons!$C$3:$C$1000))*1,[1]OUT_TransportEnergyCons!O$3:O$1000)</f>
        <v>0</v>
      </c>
      <c r="S1357" s="3"/>
    </row>
    <row r="1358" spans="2:19" x14ac:dyDescent="0.5">
      <c r="B1358" s="5" t="str">
        <f t="shared" si="1504"/>
        <v>SPS1</v>
      </c>
      <c r="C1358" s="5" t="str">
        <f t="shared" si="1505"/>
        <v>CH</v>
      </c>
      <c r="D1358" t="s">
        <v>1355</v>
      </c>
      <c r="E1358" t="str">
        <f t="shared" si="150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0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0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0</v>
      </c>
      <c r="M1358" s="1" cm="1">
        <f t="array" ref="M1358">SUMPRODUCT(("T_B_u-FCLH2O-S2"=[1]OUT_TransportEnergyCons!$A$3:$A$1000)*1,("var_fout"=[1]OUT_TransportEnergyCons!$B$3:$B$1000)*1,ISNUMBER(SEARCH("tpbsu",[1]OUT_TransportEnergyCons!$C$3:$C$1000))*1,[1]OUT_TransportEnergyCons!K$3:K$1000)</f>
        <v>0</v>
      </c>
      <c r="N1358" s="1" cm="1">
        <f t="array" ref="N1358">SUMPRODUCT(("T_B_u-FCLH2O-S2"=[1]OUT_TransportEnergyCons!$A$3:$A$1000)*1,("var_fout"=[1]OUT_TransportEnergyCons!$B$3:$B$1000)*1,ISNUMBER(SEARCH("tpbsu",[1]OUT_TransportEnergyCons!$C$3:$C$1000))*1,[1]OUT_TransportEnergyCons!L$3:L$1000)</f>
        <v>0</v>
      </c>
      <c r="O1358" s="1" cm="1">
        <f t="array" ref="O1358">SUMPRODUCT(("T_B_u-FCLH2O-S2"=[1]OUT_TransportEnergyCons!$A$3:$A$1000)*1,("var_fout"=[1]OUT_TransportEnergyCons!$B$3:$B$1000)*1,ISNUMBER(SEARCH("tpbsu",[1]OUT_TransportEnergyCons!$C$3:$C$1000))*1,[1]OUT_TransportEnergyCons!M$3:M$1000)</f>
        <v>0</v>
      </c>
      <c r="P1358" s="1" cm="1">
        <f t="array" ref="P1358">SUMPRODUCT(("T_B_u-FCLH2O-S2"=[1]OUT_TransportEnergyCons!$A$3:$A$1000)*1,("var_fout"=[1]OUT_TransportEnergyCons!$B$3:$B$1000)*1,ISNUMBER(SEARCH("tpbsu",[1]OUT_TransportEnergyCons!$C$3:$C$1000))*1,[1]OUT_TransportEnergyCons!N$3:N$1000)</f>
        <v>0</v>
      </c>
      <c r="Q1358" s="1" cm="1">
        <f t="array" ref="Q1358">SUMPRODUCT(("T_B_u-FCLH2O-S2"=[1]OUT_TransportEnergyCons!$A$3:$A$1000)*1,("var_fout"=[1]OUT_TransportEnergyCons!$B$3:$B$1000)*1,ISNUMBER(SEARCH("tpbsu",[1]OUT_TransportEnergyCons!$C$3:$C$1000))*1,[1]OUT_TransportEnergyCons!O$3:O$1000)</f>
        <v>0</v>
      </c>
      <c r="S1358" s="3"/>
    </row>
    <row r="1359" spans="2:19" x14ac:dyDescent="0.5">
      <c r="B1359" s="5" t="str">
        <f t="shared" si="1504"/>
        <v>SPS1</v>
      </c>
      <c r="C1359" s="5" t="str">
        <f t="shared" si="1505"/>
        <v>CH</v>
      </c>
      <c r="D1359" t="s">
        <v>1356</v>
      </c>
      <c r="E1359" t="str">
        <f t="shared" si="150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0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4.1063843962099001E-8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4.2803657781686404E-8</v>
      </c>
      <c r="M1359" s="1" cm="1">
        <f t="array" ref="M1359">SUMPRODUCT(("T_B_u-FCLH2O-S3"=[1]OUT_TransportEnergyCons!$A$3:$A$1000)*1,("var_fout"=[1]OUT_TransportEnergyCons!$B$3:$B$1000)*1,ISNUMBER(SEARCH("tpbsu",[1]OUT_TransportEnergyCons!$C$3:$C$1000))*1,[1]OUT_TransportEnergyCons!K$3:K$1000)</f>
        <v>0</v>
      </c>
      <c r="N1359" s="1" cm="1">
        <f t="array" ref="N1359">SUMPRODUCT(("T_B_u-FCLH2O-S3"=[1]OUT_TransportEnergyCons!$A$3:$A$1000)*1,("var_fout"=[1]OUT_TransportEnergyCons!$B$3:$B$1000)*1,ISNUMBER(SEARCH("tpbsu",[1]OUT_TransportEnergyCons!$C$3:$C$1000))*1,[1]OUT_TransportEnergyCons!L$3:L$1000)</f>
        <v>0</v>
      </c>
      <c r="O1359" s="1" cm="1">
        <f t="array" ref="O1359">SUMPRODUCT(("T_B_u-FCLH2O-S3"=[1]OUT_TransportEnergyCons!$A$3:$A$1000)*1,("var_fout"=[1]OUT_TransportEnergyCons!$B$3:$B$1000)*1,ISNUMBER(SEARCH("tpbsu",[1]OUT_TransportEnergyCons!$C$3:$C$1000))*1,[1]OUT_TransportEnergyCons!M$3:M$1000)</f>
        <v>0</v>
      </c>
      <c r="P1359" s="1" cm="1">
        <f t="array" ref="P1359">SUMPRODUCT(("T_B_u-FCLH2O-S3"=[1]OUT_TransportEnergyCons!$A$3:$A$1000)*1,("var_fout"=[1]OUT_TransportEnergyCons!$B$3:$B$1000)*1,ISNUMBER(SEARCH("tpbsu",[1]OUT_TransportEnergyCons!$C$3:$C$1000))*1,[1]OUT_TransportEnergyCons!N$3:N$1000)</f>
        <v>0</v>
      </c>
      <c r="Q1359" s="1" cm="1">
        <f t="array" ref="Q1359">SUMPRODUCT(("T_B_u-FCLH2O-S3"=[1]OUT_TransportEnergyCons!$A$3:$A$1000)*1,("var_fout"=[1]OUT_TransportEnergyCons!$B$3:$B$1000)*1,ISNUMBER(SEARCH("tpbsu",[1]OUT_TransportEnergyCons!$C$3:$C$1000))*1,[1]OUT_TransportEnergyCons!O$3:O$1000)</f>
        <v>0</v>
      </c>
      <c r="S1359" s="3"/>
    </row>
    <row r="1360" spans="2:19" x14ac:dyDescent="0.5">
      <c r="B1360" s="5" t="str">
        <f t="shared" si="1504"/>
        <v>SPS1</v>
      </c>
      <c r="C1360" s="5" t="str">
        <f t="shared" si="1505"/>
        <v>CH</v>
      </c>
      <c r="D1360" t="s">
        <v>1357</v>
      </c>
      <c r="E1360" t="str">
        <f t="shared" si="150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0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0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0</v>
      </c>
      <c r="M1360" s="1" cm="1">
        <f t="array" ref="M1360">SUMPRODUCT(("T_B_u-FCLH2O-S4"=[1]OUT_TransportEnergyCons!$A$3:$A$1000)*1,("var_fout"=[1]OUT_TransportEnergyCons!$B$3:$B$1000)*1,ISNUMBER(SEARCH("tpbsu",[1]OUT_TransportEnergyCons!$C$3:$C$1000))*1,[1]OUT_TransportEnergyCons!K$3:K$1000)</f>
        <v>0</v>
      </c>
      <c r="N1360" s="1" cm="1">
        <f t="array" ref="N1360">SUMPRODUCT(("T_B_u-FCLH2O-S4"=[1]OUT_TransportEnergyCons!$A$3:$A$1000)*1,("var_fout"=[1]OUT_TransportEnergyCons!$B$3:$B$1000)*1,ISNUMBER(SEARCH("tpbsu",[1]OUT_TransportEnergyCons!$C$3:$C$1000))*1,[1]OUT_TransportEnergyCons!L$3:L$1000)</f>
        <v>0</v>
      </c>
      <c r="O1360" s="1" cm="1">
        <f t="array" ref="O1360">SUMPRODUCT(("T_B_u-FCLH2O-S4"=[1]OUT_TransportEnergyCons!$A$3:$A$1000)*1,("var_fout"=[1]OUT_TransportEnergyCons!$B$3:$B$1000)*1,ISNUMBER(SEARCH("tpbsu",[1]OUT_TransportEnergyCons!$C$3:$C$1000))*1,[1]OUT_TransportEnergyCons!M$3:M$1000)</f>
        <v>0</v>
      </c>
      <c r="P1360" s="1" cm="1">
        <f t="array" ref="P1360">SUMPRODUCT(("T_B_u-FCLH2O-S4"=[1]OUT_TransportEnergyCons!$A$3:$A$1000)*1,("var_fout"=[1]OUT_TransportEnergyCons!$B$3:$B$1000)*1,ISNUMBER(SEARCH("tpbsu",[1]OUT_TransportEnergyCons!$C$3:$C$1000))*1,[1]OUT_TransportEnergyCons!N$3:N$1000)</f>
        <v>0</v>
      </c>
      <c r="Q1360" s="1" cm="1">
        <f t="array" ref="Q1360">SUMPRODUCT(("T_B_u-FCLH2O-S4"=[1]OUT_TransportEnergyCons!$A$3:$A$1000)*1,("var_fout"=[1]OUT_TransportEnergyCons!$B$3:$B$1000)*1,ISNUMBER(SEARCH("tpbsu",[1]OUT_TransportEnergyCons!$C$3:$C$1000))*1,[1]OUT_TransportEnergyCons!O$3:O$1000)</f>
        <v>0</v>
      </c>
      <c r="S1360" s="3"/>
    </row>
    <row r="1361" spans="2:19" x14ac:dyDescent="0.5">
      <c r="B1361" s="5" t="str">
        <f t="shared" si="1504"/>
        <v>SPS1</v>
      </c>
      <c r="C1361" s="5" t="str">
        <f t="shared" si="1505"/>
        <v>CH</v>
      </c>
      <c r="D1361" t="s">
        <v>1358</v>
      </c>
      <c r="E1361" t="str">
        <f t="shared" si="150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9.0131089200648322E-3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9.0718416395093576E-3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0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0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0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0</v>
      </c>
      <c r="M1361" s="1" cm="1">
        <f t="array" ref="M1361">SUMPRODUCT(("T_B_u-HYBDSL-S1"=[1]OUT_TransportEnergyCons!$A$3:$A$1000)*1,("var_fout"=[1]OUT_TransportEnergyCons!$B$3:$B$1000)*1,ISNUMBER(SEARCH("tpbsu",[1]OUT_TransportEnergyCons!$C$3:$C$1000))*1,[1]OUT_TransportEnergyCons!K$3:K$1000)</f>
        <v>0</v>
      </c>
      <c r="N1361" s="1" cm="1">
        <f t="array" ref="N1361">SUMPRODUCT(("T_B_u-HYBDSL-S1"=[1]OUT_TransportEnergyCons!$A$3:$A$1000)*1,("var_fout"=[1]OUT_TransportEnergyCons!$B$3:$B$1000)*1,ISNUMBER(SEARCH("tpbsu",[1]OUT_TransportEnergyCons!$C$3:$C$1000))*1,[1]OUT_TransportEnergyCons!L$3:L$1000)</f>
        <v>0</v>
      </c>
      <c r="O1361" s="1" cm="1">
        <f t="array" ref="O1361">SUMPRODUCT(("T_B_u-HYBDSL-S1"=[1]OUT_TransportEnergyCons!$A$3:$A$1000)*1,("var_fout"=[1]OUT_TransportEnergyCons!$B$3:$B$1000)*1,ISNUMBER(SEARCH("tpbsu",[1]OUT_TransportEnergyCons!$C$3:$C$1000))*1,[1]OUT_TransportEnergyCons!M$3:M$1000)</f>
        <v>0</v>
      </c>
      <c r="P1361" s="1" cm="1">
        <f t="array" ref="P1361">SUMPRODUCT(("T_B_u-HYBDSL-S1"=[1]OUT_TransportEnergyCons!$A$3:$A$1000)*1,("var_fout"=[1]OUT_TransportEnergyCons!$B$3:$B$1000)*1,ISNUMBER(SEARCH("tpbsu",[1]OUT_TransportEnergyCons!$C$3:$C$1000))*1,[1]OUT_TransportEnergyCons!N$3:N$1000)</f>
        <v>0</v>
      </c>
      <c r="Q1361" s="1" cm="1">
        <f t="array" ref="Q1361">SUMPRODUCT(("T_B_u-HYBDSL-S1"=[1]OUT_TransportEnergyCons!$A$3:$A$1000)*1,("var_fout"=[1]OUT_TransportEnergyCons!$B$3:$B$1000)*1,ISNUMBER(SEARCH("tpbsu",[1]OUT_TransportEnergyCons!$C$3:$C$1000))*1,[1]OUT_TransportEnergyCons!O$3:O$1000)</f>
        <v>0</v>
      </c>
      <c r="S1361" s="3"/>
    </row>
    <row r="1362" spans="2:19" x14ac:dyDescent="0.5">
      <c r="B1362" s="5" t="str">
        <f t="shared" si="1504"/>
        <v>SPS1</v>
      </c>
      <c r="C1362" s="5" t="str">
        <f t="shared" si="1505"/>
        <v>CH</v>
      </c>
      <c r="D1362" t="s">
        <v>1359</v>
      </c>
      <c r="E1362" t="str">
        <f t="shared" si="150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5.2983345099421232E-5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8.0185566802369802E-5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0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0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0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0</v>
      </c>
      <c r="M1362" s="1" cm="1">
        <f t="array" ref="M1362">SUMPRODUCT(("T_B_u-HYBDSL-S2"=[1]OUT_TransportEnergyCons!$A$3:$A$1000)*1,("var_fout"=[1]OUT_TransportEnergyCons!$B$3:$B$1000)*1,ISNUMBER(SEARCH("tpbsu",[1]OUT_TransportEnergyCons!$C$3:$C$1000))*1,[1]OUT_TransportEnergyCons!K$3:K$1000)</f>
        <v>0</v>
      </c>
      <c r="N1362" s="1" cm="1">
        <f t="array" ref="N1362">SUMPRODUCT(("T_B_u-HYBDSL-S2"=[1]OUT_TransportEnergyCons!$A$3:$A$1000)*1,("var_fout"=[1]OUT_TransportEnergyCons!$B$3:$B$1000)*1,ISNUMBER(SEARCH("tpbsu",[1]OUT_TransportEnergyCons!$C$3:$C$1000))*1,[1]OUT_TransportEnergyCons!L$3:L$1000)</f>
        <v>0</v>
      </c>
      <c r="O1362" s="1" cm="1">
        <f t="array" ref="O1362">SUMPRODUCT(("T_B_u-HYBDSL-S2"=[1]OUT_TransportEnergyCons!$A$3:$A$1000)*1,("var_fout"=[1]OUT_TransportEnergyCons!$B$3:$B$1000)*1,ISNUMBER(SEARCH("tpbsu",[1]OUT_TransportEnergyCons!$C$3:$C$1000))*1,[1]OUT_TransportEnergyCons!M$3:M$1000)</f>
        <v>0</v>
      </c>
      <c r="P1362" s="1" cm="1">
        <f t="array" ref="P1362">SUMPRODUCT(("T_B_u-HYBDSL-S2"=[1]OUT_TransportEnergyCons!$A$3:$A$1000)*1,("var_fout"=[1]OUT_TransportEnergyCons!$B$3:$B$1000)*1,ISNUMBER(SEARCH("tpbsu",[1]OUT_TransportEnergyCons!$C$3:$C$1000))*1,[1]OUT_TransportEnergyCons!N$3:N$1000)</f>
        <v>0</v>
      </c>
      <c r="Q1362" s="1" cm="1">
        <f t="array" ref="Q1362">SUMPRODUCT(("T_B_u-HYBDSL-S2"=[1]OUT_TransportEnergyCons!$A$3:$A$1000)*1,("var_fout"=[1]OUT_TransportEnergyCons!$B$3:$B$1000)*1,ISNUMBER(SEARCH("tpbsu",[1]OUT_TransportEnergyCons!$C$3:$C$1000))*1,[1]OUT_TransportEnergyCons!O$3:O$1000)</f>
        <v>0</v>
      </c>
      <c r="S1362" s="3"/>
    </row>
    <row r="1363" spans="2:19" x14ac:dyDescent="0.5">
      <c r="B1363" s="5" t="str">
        <f t="shared" si="1504"/>
        <v>SPS1</v>
      </c>
      <c r="C1363" s="5" t="str">
        <f t="shared" si="1505"/>
        <v>CH</v>
      </c>
      <c r="D1363" t="s">
        <v>1360</v>
      </c>
      <c r="E1363" t="str">
        <f t="shared" si="150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3.7763989603182417E-5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5.551184598837994E-5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0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0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0</v>
      </c>
      <c r="M1363" s="1" cm="1">
        <f t="array" ref="M1363">SUMPRODUCT(("T_B_u-HYBDSL-S3"=[1]OUT_TransportEnergyCons!$A$3:$A$1000)*1,("var_fout"=[1]OUT_TransportEnergyCons!$B$3:$B$1000)*1,ISNUMBER(SEARCH("tpbsu",[1]OUT_TransportEnergyCons!$C$3:$C$1000))*1,[1]OUT_TransportEnergyCons!K$3:K$1000)</f>
        <v>0</v>
      </c>
      <c r="N1363" s="1" cm="1">
        <f t="array" ref="N1363">SUMPRODUCT(("T_B_u-HYBDSL-S3"=[1]OUT_TransportEnergyCons!$A$3:$A$1000)*1,("var_fout"=[1]OUT_TransportEnergyCons!$B$3:$B$1000)*1,ISNUMBER(SEARCH("tpbsu",[1]OUT_TransportEnergyCons!$C$3:$C$1000))*1,[1]OUT_TransportEnergyCons!L$3:L$1000)</f>
        <v>0</v>
      </c>
      <c r="O1363" s="1" cm="1">
        <f t="array" ref="O1363">SUMPRODUCT(("T_B_u-HYBDSL-S3"=[1]OUT_TransportEnergyCons!$A$3:$A$1000)*1,("var_fout"=[1]OUT_TransportEnergyCons!$B$3:$B$1000)*1,ISNUMBER(SEARCH("tpbsu",[1]OUT_TransportEnergyCons!$C$3:$C$1000))*1,[1]OUT_TransportEnergyCons!M$3:M$1000)</f>
        <v>0</v>
      </c>
      <c r="P1363" s="1" cm="1">
        <f t="array" ref="P1363">SUMPRODUCT(("T_B_u-HYBDSL-S3"=[1]OUT_TransportEnergyCons!$A$3:$A$1000)*1,("var_fout"=[1]OUT_TransportEnergyCons!$B$3:$B$1000)*1,ISNUMBER(SEARCH("tpbsu",[1]OUT_TransportEnergyCons!$C$3:$C$1000))*1,[1]OUT_TransportEnergyCons!N$3:N$1000)</f>
        <v>0</v>
      </c>
      <c r="Q1363" s="1" cm="1">
        <f t="array" ref="Q1363">SUMPRODUCT(("T_B_u-HYBDSL-S3"=[1]OUT_TransportEnergyCons!$A$3:$A$1000)*1,("var_fout"=[1]OUT_TransportEnergyCons!$B$3:$B$1000)*1,ISNUMBER(SEARCH("tpbsu",[1]OUT_TransportEnergyCons!$C$3:$C$1000))*1,[1]OUT_TransportEnergyCons!O$3:O$1000)</f>
        <v>0</v>
      </c>
      <c r="S1363" s="3"/>
    </row>
    <row r="1364" spans="2:19" x14ac:dyDescent="0.5">
      <c r="B1364" s="5" t="str">
        <f t="shared" si="1504"/>
        <v>SPS1</v>
      </c>
      <c r="C1364" s="5" t="str">
        <f t="shared" si="1505"/>
        <v>CH</v>
      </c>
      <c r="D1364" t="s">
        <v>1361</v>
      </c>
      <c r="E1364" t="str">
        <f t="shared" si="150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1.2829040398366072E-6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2.5045797086508095E-6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0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0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0</v>
      </c>
      <c r="M1364" s="1" cm="1">
        <f t="array" ref="M1364">SUMPRODUCT(("T_B_u-HYBDSL-S4"=[1]OUT_TransportEnergyCons!$A$3:$A$1000)*1,("var_fout"=[1]OUT_TransportEnergyCons!$B$3:$B$1000)*1,ISNUMBER(SEARCH("tpbsu",[1]OUT_TransportEnergyCons!$C$3:$C$1000))*1,[1]OUT_TransportEnergyCons!K$3:K$1000)</f>
        <v>0</v>
      </c>
      <c r="N1364" s="1" cm="1">
        <f t="array" ref="N1364">SUMPRODUCT(("T_B_u-HYBDSL-S4"=[1]OUT_TransportEnergyCons!$A$3:$A$1000)*1,("var_fout"=[1]OUT_TransportEnergyCons!$B$3:$B$1000)*1,ISNUMBER(SEARCH("tpbsu",[1]OUT_TransportEnergyCons!$C$3:$C$1000))*1,[1]OUT_TransportEnergyCons!L$3:L$1000)</f>
        <v>0</v>
      </c>
      <c r="O1364" s="1" cm="1">
        <f t="array" ref="O1364">SUMPRODUCT(("T_B_u-HYBDSL-S4"=[1]OUT_TransportEnergyCons!$A$3:$A$1000)*1,("var_fout"=[1]OUT_TransportEnergyCons!$B$3:$B$1000)*1,ISNUMBER(SEARCH("tpbsu",[1]OUT_TransportEnergyCons!$C$3:$C$1000))*1,[1]OUT_TransportEnergyCons!M$3:M$1000)</f>
        <v>0</v>
      </c>
      <c r="P1364" s="1" cm="1">
        <f t="array" ref="P1364">SUMPRODUCT(("T_B_u-HYBDSL-S4"=[1]OUT_TransportEnergyCons!$A$3:$A$1000)*1,("var_fout"=[1]OUT_TransportEnergyCons!$B$3:$B$1000)*1,ISNUMBER(SEARCH("tpbsu",[1]OUT_TransportEnergyCons!$C$3:$C$1000))*1,[1]OUT_TransportEnergyCons!N$3:N$1000)</f>
        <v>0</v>
      </c>
      <c r="Q1364" s="1" cm="1">
        <f t="array" ref="Q1364">SUMPRODUCT(("T_B_u-HYBDSL-S4"=[1]OUT_TransportEnergyCons!$A$3:$A$1000)*1,("var_fout"=[1]OUT_TransportEnergyCons!$B$3:$B$1000)*1,ISNUMBER(SEARCH("tpbsu",[1]OUT_TransportEnergyCons!$C$3:$C$1000))*1,[1]OUT_TransportEnergyCons!O$3:O$1000)</f>
        <v>0</v>
      </c>
      <c r="S1364" s="3"/>
    </row>
    <row r="1365" spans="2:19" x14ac:dyDescent="0.5">
      <c r="B1365" s="5" t="str">
        <f t="shared" si="1504"/>
        <v>SPS1</v>
      </c>
      <c r="C1365" s="5" t="str">
        <f t="shared" si="1505"/>
        <v>CH</v>
      </c>
      <c r="D1365" t="s">
        <v>2001</v>
      </c>
      <c r="E1365" t="str">
        <f t="shared" si="150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0.24219883403247472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0.19378240874949418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0.12111282403691284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M1365" s="1" cm="1">
        <f t="array" ref="M1365">SUMPRODUCT(("T_B_u-ICEDSLEXT"=[1]OUT_TransportEnergyCons!$A$3:$A$1000)*1,("var_fout"=[1]OUT_TransportEnergyCons!$B$3:$B$1000)*1,ISNUMBER(SEARCH("tpbsu",[1]OUT_TransportEnergyCons!$C$3:$C$1000))*1,[1]OUT_TransportEnergyCons!K$3:K$1000)</f>
        <v>0</v>
      </c>
      <c r="N1365" s="1" cm="1">
        <f t="array" ref="N1365">SUMPRODUCT(("T_B_u-ICEDSLEXT"=[1]OUT_TransportEnergyCons!$A$3:$A$1000)*1,("var_fout"=[1]OUT_TransportEnergyCons!$B$3:$B$1000)*1,ISNUMBER(SEARCH("tpbsu",[1]OUT_TransportEnergyCons!$C$3:$C$1000))*1,[1]OUT_TransportEnergyCons!L$3:L$1000)</f>
        <v>0</v>
      </c>
      <c r="O1365" s="1" cm="1">
        <f t="array" ref="O1365">SUMPRODUCT(("T_B_u-ICEDSLEXT"=[1]OUT_TransportEnergyCons!$A$3:$A$1000)*1,("var_fout"=[1]OUT_TransportEnergyCons!$B$3:$B$1000)*1,ISNUMBER(SEARCH("tpbsu",[1]OUT_TransportEnergyCons!$C$3:$C$1000))*1,[1]OUT_TransportEnergyCons!M$3:M$1000)</f>
        <v>0</v>
      </c>
      <c r="P1365" s="1" cm="1">
        <f t="array" ref="P1365">SUMPRODUCT(("T_B_u-ICEDSLEXT"=[1]OUT_TransportEnergyCons!$A$3:$A$1000)*1,("var_fout"=[1]OUT_TransportEnergyCons!$B$3:$B$1000)*1,ISNUMBER(SEARCH("tpbsu",[1]OUT_TransportEnergyCons!$C$3:$C$1000))*1,[1]OUT_TransportEnergyCons!N$3:N$1000)</f>
        <v>0</v>
      </c>
      <c r="Q1365" s="1" cm="1">
        <f t="array" ref="Q1365">SUMPRODUCT(("T_B_u-ICEDSLEXT"=[1]OUT_TransportEnergyCons!$A$3:$A$1000)*1,("var_fout"=[1]OUT_TransportEnergyCons!$B$3:$B$1000)*1,ISNUMBER(SEARCH("tpbsu",[1]OUT_TransportEnergyCons!$C$3:$C$1000))*1,[1]OUT_TransportEnergyCons!O$3:O$1000)</f>
        <v>0</v>
      </c>
      <c r="S1365" s="3"/>
    </row>
    <row r="1366" spans="2:19" x14ac:dyDescent="0.5">
      <c r="B1366" s="5" t="str">
        <f t="shared" si="1504"/>
        <v>SPS1</v>
      </c>
      <c r="C1366" s="5" t="str">
        <f t="shared" si="1505"/>
        <v>CH</v>
      </c>
      <c r="D1366" t="s">
        <v>1362</v>
      </c>
      <c r="E1366" t="str">
        <f t="shared" si="150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3.2239517864087632E-5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2.543311669694015E-2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5.318541014485411E-2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5.4114088906503149E-6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0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0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0</v>
      </c>
      <c r="M1366" s="1" cm="1">
        <f t="array" ref="M1366">SUMPRODUCT(("T_B_u-ICEDSL-S1"=[1]OUT_TransportEnergyCons!$A$3:$A$1000)*1,("var_fout"=[1]OUT_TransportEnergyCons!$B$3:$B$1000)*1,ISNUMBER(SEARCH("tpbsu",[1]OUT_TransportEnergyCons!$C$3:$C$1000))*1,[1]OUT_TransportEnergyCons!K$3:K$1000)</f>
        <v>0</v>
      </c>
      <c r="N1366" s="1" cm="1">
        <f t="array" ref="N1366">SUMPRODUCT(("T_B_u-ICEDSL-S1"=[1]OUT_TransportEnergyCons!$A$3:$A$1000)*1,("var_fout"=[1]OUT_TransportEnergyCons!$B$3:$B$1000)*1,ISNUMBER(SEARCH("tpbsu",[1]OUT_TransportEnergyCons!$C$3:$C$1000))*1,[1]OUT_TransportEnergyCons!L$3:L$1000)</f>
        <v>0</v>
      </c>
      <c r="O1366" s="1" cm="1">
        <f t="array" ref="O1366">SUMPRODUCT(("T_B_u-ICEDSL-S1"=[1]OUT_TransportEnergyCons!$A$3:$A$1000)*1,("var_fout"=[1]OUT_TransportEnergyCons!$B$3:$B$1000)*1,ISNUMBER(SEARCH("tpbsu",[1]OUT_TransportEnergyCons!$C$3:$C$1000))*1,[1]OUT_TransportEnergyCons!M$3:M$1000)</f>
        <v>0</v>
      </c>
      <c r="P1366" s="1" cm="1">
        <f t="array" ref="P1366">SUMPRODUCT(("T_B_u-ICEDSL-S1"=[1]OUT_TransportEnergyCons!$A$3:$A$1000)*1,("var_fout"=[1]OUT_TransportEnergyCons!$B$3:$B$1000)*1,ISNUMBER(SEARCH("tpbsu",[1]OUT_TransportEnergyCons!$C$3:$C$1000))*1,[1]OUT_TransportEnergyCons!N$3:N$1000)</f>
        <v>0</v>
      </c>
      <c r="Q1366" s="1" cm="1">
        <f t="array" ref="Q1366">SUMPRODUCT(("T_B_u-ICEDSL-S1"=[1]OUT_TransportEnergyCons!$A$3:$A$1000)*1,("var_fout"=[1]OUT_TransportEnergyCons!$B$3:$B$1000)*1,ISNUMBER(SEARCH("tpbsu",[1]OUT_TransportEnergyCons!$C$3:$C$1000))*1,[1]OUT_TransportEnergyCons!O$3:O$1000)</f>
        <v>0</v>
      </c>
      <c r="S1366" s="3"/>
    </row>
    <row r="1367" spans="2:19" x14ac:dyDescent="0.5">
      <c r="B1367" s="5" t="str">
        <f t="shared" si="1504"/>
        <v>SPS1</v>
      </c>
      <c r="C1367" s="5" t="str">
        <f t="shared" si="1505"/>
        <v>CH</v>
      </c>
      <c r="D1367" t="s">
        <v>1363</v>
      </c>
      <c r="E1367" t="str">
        <f t="shared" si="150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9.5827328638704769E-3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1.1860206646961994E-2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2.1539148082160713E-2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0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0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0</v>
      </c>
      <c r="M1367" s="1" cm="1">
        <f t="array" ref="M1367">SUMPRODUCT(("T_B_u-ICEDSL-S2"=[1]OUT_TransportEnergyCons!$A$3:$A$1000)*1,("var_fout"=[1]OUT_TransportEnergyCons!$B$3:$B$1000)*1,ISNUMBER(SEARCH("tpbsu",[1]OUT_TransportEnergyCons!$C$3:$C$1000))*1,[1]OUT_TransportEnergyCons!K$3:K$1000)</f>
        <v>0</v>
      </c>
      <c r="N1367" s="1" cm="1">
        <f t="array" ref="N1367">SUMPRODUCT(("T_B_u-ICEDSL-S2"=[1]OUT_TransportEnergyCons!$A$3:$A$1000)*1,("var_fout"=[1]OUT_TransportEnergyCons!$B$3:$B$1000)*1,ISNUMBER(SEARCH("tpbsu",[1]OUT_TransportEnergyCons!$C$3:$C$1000))*1,[1]OUT_TransportEnergyCons!L$3:L$1000)</f>
        <v>0</v>
      </c>
      <c r="O1367" s="1" cm="1">
        <f t="array" ref="O1367">SUMPRODUCT(("T_B_u-ICEDSL-S2"=[1]OUT_TransportEnergyCons!$A$3:$A$1000)*1,("var_fout"=[1]OUT_TransportEnergyCons!$B$3:$B$1000)*1,ISNUMBER(SEARCH("tpbsu",[1]OUT_TransportEnergyCons!$C$3:$C$1000))*1,[1]OUT_TransportEnergyCons!M$3:M$1000)</f>
        <v>0</v>
      </c>
      <c r="P1367" s="1" cm="1">
        <f t="array" ref="P1367">SUMPRODUCT(("T_B_u-ICEDSL-S2"=[1]OUT_TransportEnergyCons!$A$3:$A$1000)*1,("var_fout"=[1]OUT_TransportEnergyCons!$B$3:$B$1000)*1,ISNUMBER(SEARCH("tpbsu",[1]OUT_TransportEnergyCons!$C$3:$C$1000))*1,[1]OUT_TransportEnergyCons!N$3:N$1000)</f>
        <v>0</v>
      </c>
      <c r="Q1367" s="1" cm="1">
        <f t="array" ref="Q1367">SUMPRODUCT(("T_B_u-ICEDSL-S2"=[1]OUT_TransportEnergyCons!$A$3:$A$1000)*1,("var_fout"=[1]OUT_TransportEnergyCons!$B$3:$B$1000)*1,ISNUMBER(SEARCH("tpbsu",[1]OUT_TransportEnergyCons!$C$3:$C$1000))*1,[1]OUT_TransportEnergyCons!O$3:O$1000)</f>
        <v>0</v>
      </c>
      <c r="S1367" s="3"/>
    </row>
    <row r="1368" spans="2:19" x14ac:dyDescent="0.5">
      <c r="B1368" s="5" t="str">
        <f t="shared" si="1504"/>
        <v>SPS1</v>
      </c>
      <c r="C1368" s="5" t="str">
        <f t="shared" si="1505"/>
        <v>CH</v>
      </c>
      <c r="D1368" t="s">
        <v>1364</v>
      </c>
      <c r="E1368" t="str">
        <f t="shared" si="150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3.5918718943198827E-2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5.3179039523846297E-2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9.6420732050989028E-2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0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0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0</v>
      </c>
      <c r="M1368" s="1" cm="1">
        <f t="array" ref="M1368">SUMPRODUCT(("T_B_u-ICEDSL-S3"=[1]OUT_TransportEnergyCons!$A$3:$A$1000)*1,("var_fout"=[1]OUT_TransportEnergyCons!$B$3:$B$1000)*1,ISNUMBER(SEARCH("tpbsu",[1]OUT_TransportEnergyCons!$C$3:$C$1000))*1,[1]OUT_TransportEnergyCons!K$3:K$1000)</f>
        <v>0</v>
      </c>
      <c r="N1368" s="1" cm="1">
        <f t="array" ref="N1368">SUMPRODUCT(("T_B_u-ICEDSL-S3"=[1]OUT_TransportEnergyCons!$A$3:$A$1000)*1,("var_fout"=[1]OUT_TransportEnergyCons!$B$3:$B$1000)*1,ISNUMBER(SEARCH("tpbsu",[1]OUT_TransportEnergyCons!$C$3:$C$1000))*1,[1]OUT_TransportEnergyCons!L$3:L$1000)</f>
        <v>0</v>
      </c>
      <c r="O1368" s="1" cm="1">
        <f t="array" ref="O1368">SUMPRODUCT(("T_B_u-ICEDSL-S3"=[1]OUT_TransportEnergyCons!$A$3:$A$1000)*1,("var_fout"=[1]OUT_TransportEnergyCons!$B$3:$B$1000)*1,ISNUMBER(SEARCH("tpbsu",[1]OUT_TransportEnergyCons!$C$3:$C$1000))*1,[1]OUT_TransportEnergyCons!M$3:M$1000)</f>
        <v>0</v>
      </c>
      <c r="P1368" s="1" cm="1">
        <f t="array" ref="P1368">SUMPRODUCT(("T_B_u-ICEDSL-S3"=[1]OUT_TransportEnergyCons!$A$3:$A$1000)*1,("var_fout"=[1]OUT_TransportEnergyCons!$B$3:$B$1000)*1,ISNUMBER(SEARCH("tpbsu",[1]OUT_TransportEnergyCons!$C$3:$C$1000))*1,[1]OUT_TransportEnergyCons!N$3:N$1000)</f>
        <v>0</v>
      </c>
      <c r="Q1368" s="1" cm="1">
        <f t="array" ref="Q1368">SUMPRODUCT(("T_B_u-ICEDSL-S3"=[1]OUT_TransportEnergyCons!$A$3:$A$1000)*1,("var_fout"=[1]OUT_TransportEnergyCons!$B$3:$B$1000)*1,ISNUMBER(SEARCH("tpbsu",[1]OUT_TransportEnergyCons!$C$3:$C$1000))*1,[1]OUT_TransportEnergyCons!O$3:O$1000)</f>
        <v>0</v>
      </c>
      <c r="S1368" s="3"/>
    </row>
    <row r="1369" spans="2:19" x14ac:dyDescent="0.5">
      <c r="B1369" s="5" t="str">
        <f t="shared" si="1504"/>
        <v>SPS1</v>
      </c>
      <c r="C1369" s="5" t="str">
        <f t="shared" si="1505"/>
        <v>CH</v>
      </c>
      <c r="D1369" t="s">
        <v>1365</v>
      </c>
      <c r="E1369" t="str">
        <f t="shared" si="150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1.5606508157957669E-4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1.5785850351524816E-5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1.5103063795191522E-5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0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0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0</v>
      </c>
      <c r="M1369" s="1" cm="1">
        <f t="array" ref="M1369">SUMPRODUCT(("T_B_u-ICEDSL-S4"=[1]OUT_TransportEnergyCons!$A$3:$A$1000)*1,("var_fout"=[1]OUT_TransportEnergyCons!$B$3:$B$1000)*1,ISNUMBER(SEARCH("tpbsu",[1]OUT_TransportEnergyCons!$C$3:$C$1000))*1,[1]OUT_TransportEnergyCons!K$3:K$1000)</f>
        <v>0</v>
      </c>
      <c r="N1369" s="1" cm="1">
        <f t="array" ref="N1369">SUMPRODUCT(("T_B_u-ICEDSL-S4"=[1]OUT_TransportEnergyCons!$A$3:$A$1000)*1,("var_fout"=[1]OUT_TransportEnergyCons!$B$3:$B$1000)*1,ISNUMBER(SEARCH("tpbsu",[1]OUT_TransportEnergyCons!$C$3:$C$1000))*1,[1]OUT_TransportEnergyCons!L$3:L$1000)</f>
        <v>0</v>
      </c>
      <c r="O1369" s="1" cm="1">
        <f t="array" ref="O1369">SUMPRODUCT(("T_B_u-ICEDSL-S4"=[1]OUT_TransportEnergyCons!$A$3:$A$1000)*1,("var_fout"=[1]OUT_TransportEnergyCons!$B$3:$B$1000)*1,ISNUMBER(SEARCH("tpbsu",[1]OUT_TransportEnergyCons!$C$3:$C$1000))*1,[1]OUT_TransportEnergyCons!M$3:M$1000)</f>
        <v>0</v>
      </c>
      <c r="P1369" s="1" cm="1">
        <f t="array" ref="P1369">SUMPRODUCT(("T_B_u-ICEDSL-S4"=[1]OUT_TransportEnergyCons!$A$3:$A$1000)*1,("var_fout"=[1]OUT_TransportEnergyCons!$B$3:$B$1000)*1,ISNUMBER(SEARCH("tpbsu",[1]OUT_TransportEnergyCons!$C$3:$C$1000))*1,[1]OUT_TransportEnergyCons!N$3:N$1000)</f>
        <v>0</v>
      </c>
      <c r="Q1369" s="1" cm="1">
        <f t="array" ref="Q1369">SUMPRODUCT(("T_B_u-ICEDSL-S4"=[1]OUT_TransportEnergyCons!$A$3:$A$1000)*1,("var_fout"=[1]OUT_TransportEnergyCons!$B$3:$B$1000)*1,ISNUMBER(SEARCH("tpbsu",[1]OUT_TransportEnergyCons!$C$3:$C$1000))*1,[1]OUT_TransportEnergyCons!O$3:O$1000)</f>
        <v>0</v>
      </c>
      <c r="S1369" s="3"/>
    </row>
    <row r="1370" spans="2:19" x14ac:dyDescent="0.5">
      <c r="B1370" s="5" t="str">
        <f t="shared" si="1504"/>
        <v>SPS1</v>
      </c>
      <c r="C1370" s="5" t="str">
        <f t="shared" si="1505"/>
        <v>CH</v>
      </c>
      <c r="D1370" t="s">
        <v>2005</v>
      </c>
      <c r="E1370" t="str">
        <f t="shared" si="150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4.4110732697214437E-3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3.5461525541607944E-3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2.2164101817101797E-3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M1370" s="1" cm="1">
        <f t="array" ref="M1370">SUMPRODUCT(("T_B_u-ICEngaEXT"=[1]OUT_TransportEnergyCons!$A$3:$A$1000)*1,("var_fout"=[1]OUT_TransportEnergyCons!$B$3:$B$1000)*1,ISNUMBER(SEARCH("tpbsu",[1]OUT_TransportEnergyCons!$C$3:$C$1000))*1,[1]OUT_TransportEnergyCons!K$3:K$1000)</f>
        <v>0</v>
      </c>
      <c r="N1370" s="1" cm="1">
        <f t="array" ref="N1370">SUMPRODUCT(("T_B_u-ICEngaEXT"=[1]OUT_TransportEnergyCons!$A$3:$A$1000)*1,("var_fout"=[1]OUT_TransportEnergyCons!$B$3:$B$1000)*1,ISNUMBER(SEARCH("tpbsu",[1]OUT_TransportEnergyCons!$C$3:$C$1000))*1,[1]OUT_TransportEnergyCons!L$3:L$1000)</f>
        <v>0</v>
      </c>
      <c r="O1370" s="1" cm="1">
        <f t="array" ref="O1370">SUMPRODUCT(("T_B_u-ICEngaEXT"=[1]OUT_TransportEnergyCons!$A$3:$A$1000)*1,("var_fout"=[1]OUT_TransportEnergyCons!$B$3:$B$1000)*1,ISNUMBER(SEARCH("tpbsu",[1]OUT_TransportEnergyCons!$C$3:$C$1000))*1,[1]OUT_TransportEnergyCons!M$3:M$1000)</f>
        <v>0</v>
      </c>
      <c r="P1370" s="1" cm="1">
        <f t="array" ref="P1370">SUMPRODUCT(("T_B_u-ICEngaEXT"=[1]OUT_TransportEnergyCons!$A$3:$A$1000)*1,("var_fout"=[1]OUT_TransportEnergyCons!$B$3:$B$1000)*1,ISNUMBER(SEARCH("tpbsu",[1]OUT_TransportEnergyCons!$C$3:$C$1000))*1,[1]OUT_TransportEnergyCons!N$3:N$1000)</f>
        <v>0</v>
      </c>
      <c r="Q1370" s="1" cm="1">
        <f t="array" ref="Q1370">SUMPRODUCT(("T_B_u-ICEngaEXT"=[1]OUT_TransportEnergyCons!$A$3:$A$1000)*1,("var_fout"=[1]OUT_TransportEnergyCons!$B$3:$B$1000)*1,ISNUMBER(SEARCH("tpbsu",[1]OUT_TransportEnergyCons!$C$3:$C$1000))*1,[1]OUT_TransportEnergyCons!O$3:O$1000)</f>
        <v>0</v>
      </c>
      <c r="S1370" s="3"/>
    </row>
    <row r="1371" spans="2:19" x14ac:dyDescent="0.5">
      <c r="B1371" s="5" t="str">
        <f t="shared" si="1504"/>
        <v>SPS1</v>
      </c>
      <c r="C1371" s="5" t="str">
        <f t="shared" si="1505"/>
        <v>CH</v>
      </c>
      <c r="D1371" t="s">
        <v>1366</v>
      </c>
      <c r="E1371" t="str">
        <f t="shared" si="150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1.723059200673058E-5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7.7663286732693204E-5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0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0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0</v>
      </c>
      <c r="M1371" s="1" cm="1">
        <f t="array" ref="M1371">SUMPRODUCT(("T_B_u-ICEnga-S1"=[1]OUT_TransportEnergyCons!$A$3:$A$1000)*1,("var_fout"=[1]OUT_TransportEnergyCons!$B$3:$B$1000)*1,ISNUMBER(SEARCH("tpbsu",[1]OUT_TransportEnergyCons!$C$3:$C$1000))*1,[1]OUT_TransportEnergyCons!K$3:K$1000)</f>
        <v>0</v>
      </c>
      <c r="N1371" s="1" cm="1">
        <f t="array" ref="N1371">SUMPRODUCT(("T_B_u-ICEnga-S1"=[1]OUT_TransportEnergyCons!$A$3:$A$1000)*1,("var_fout"=[1]OUT_TransportEnergyCons!$B$3:$B$1000)*1,ISNUMBER(SEARCH("tpbsu",[1]OUT_TransportEnergyCons!$C$3:$C$1000))*1,[1]OUT_TransportEnergyCons!L$3:L$1000)</f>
        <v>0</v>
      </c>
      <c r="O1371" s="1" cm="1">
        <f t="array" ref="O1371">SUMPRODUCT(("T_B_u-ICEnga-S1"=[1]OUT_TransportEnergyCons!$A$3:$A$1000)*1,("var_fout"=[1]OUT_TransportEnergyCons!$B$3:$B$1000)*1,ISNUMBER(SEARCH("tpbsu",[1]OUT_TransportEnergyCons!$C$3:$C$1000))*1,[1]OUT_TransportEnergyCons!M$3:M$1000)</f>
        <v>0</v>
      </c>
      <c r="P1371" s="1" cm="1">
        <f t="array" ref="P1371">SUMPRODUCT(("T_B_u-ICEnga-S1"=[1]OUT_TransportEnergyCons!$A$3:$A$1000)*1,("var_fout"=[1]OUT_TransportEnergyCons!$B$3:$B$1000)*1,ISNUMBER(SEARCH("tpbsu",[1]OUT_TransportEnergyCons!$C$3:$C$1000))*1,[1]OUT_TransportEnergyCons!N$3:N$1000)</f>
        <v>0</v>
      </c>
      <c r="Q1371" s="1" cm="1">
        <f t="array" ref="Q1371">SUMPRODUCT(("T_B_u-ICEnga-S1"=[1]OUT_TransportEnergyCons!$A$3:$A$1000)*1,("var_fout"=[1]OUT_TransportEnergyCons!$B$3:$B$1000)*1,ISNUMBER(SEARCH("tpbsu",[1]OUT_TransportEnergyCons!$C$3:$C$1000))*1,[1]OUT_TransportEnergyCons!O$3:O$1000)</f>
        <v>0</v>
      </c>
      <c r="S1371" s="3"/>
    </row>
    <row r="1372" spans="2:19" x14ac:dyDescent="0.5">
      <c r="B1372" s="5" t="str">
        <f t="shared" si="1504"/>
        <v>SPS1</v>
      </c>
      <c r="C1372" s="5" t="str">
        <f t="shared" si="1505"/>
        <v>CH</v>
      </c>
      <c r="D1372" t="s">
        <v>1367</v>
      </c>
      <c r="E1372" t="str">
        <f t="shared" si="150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1.0052868975067789E-5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1.1940373029831395E-4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0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0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0</v>
      </c>
      <c r="M1372" s="1" cm="1">
        <f t="array" ref="M1372">SUMPRODUCT(("T_B_u-ICEnga-S2"=[1]OUT_TransportEnergyCons!$A$3:$A$1000)*1,("var_fout"=[1]OUT_TransportEnergyCons!$B$3:$B$1000)*1,ISNUMBER(SEARCH("tpbsu",[1]OUT_TransportEnergyCons!$C$3:$C$1000))*1,[1]OUT_TransportEnergyCons!K$3:K$1000)</f>
        <v>0</v>
      </c>
      <c r="N1372" s="1" cm="1">
        <f t="array" ref="N1372">SUMPRODUCT(("T_B_u-ICEnga-S2"=[1]OUT_TransportEnergyCons!$A$3:$A$1000)*1,("var_fout"=[1]OUT_TransportEnergyCons!$B$3:$B$1000)*1,ISNUMBER(SEARCH("tpbsu",[1]OUT_TransportEnergyCons!$C$3:$C$1000))*1,[1]OUT_TransportEnergyCons!L$3:L$1000)</f>
        <v>0</v>
      </c>
      <c r="O1372" s="1" cm="1">
        <f t="array" ref="O1372">SUMPRODUCT(("T_B_u-ICEnga-S2"=[1]OUT_TransportEnergyCons!$A$3:$A$1000)*1,("var_fout"=[1]OUT_TransportEnergyCons!$B$3:$B$1000)*1,ISNUMBER(SEARCH("tpbsu",[1]OUT_TransportEnergyCons!$C$3:$C$1000))*1,[1]OUT_TransportEnergyCons!M$3:M$1000)</f>
        <v>0</v>
      </c>
      <c r="P1372" s="1" cm="1">
        <f t="array" ref="P1372">SUMPRODUCT(("T_B_u-ICEnga-S2"=[1]OUT_TransportEnergyCons!$A$3:$A$1000)*1,("var_fout"=[1]OUT_TransportEnergyCons!$B$3:$B$1000)*1,ISNUMBER(SEARCH("tpbsu",[1]OUT_TransportEnergyCons!$C$3:$C$1000))*1,[1]OUT_TransportEnergyCons!N$3:N$1000)</f>
        <v>0</v>
      </c>
      <c r="Q1372" s="1" cm="1">
        <f t="array" ref="Q1372">SUMPRODUCT(("T_B_u-ICEnga-S2"=[1]OUT_TransportEnergyCons!$A$3:$A$1000)*1,("var_fout"=[1]OUT_TransportEnergyCons!$B$3:$B$1000)*1,ISNUMBER(SEARCH("tpbsu",[1]OUT_TransportEnergyCons!$C$3:$C$1000))*1,[1]OUT_TransportEnergyCons!O$3:O$1000)</f>
        <v>0</v>
      </c>
      <c r="S1372" s="3"/>
    </row>
    <row r="1373" spans="2:19" x14ac:dyDescent="0.5">
      <c r="B1373" s="5" t="str">
        <f t="shared" si="1504"/>
        <v>SPS1</v>
      </c>
      <c r="C1373" s="5" t="str">
        <f t="shared" si="1505"/>
        <v>CH</v>
      </c>
      <c r="D1373" t="s">
        <v>1368</v>
      </c>
      <c r="E1373" t="str">
        <f t="shared" si="150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6.572787877242918E-6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1.107439422150089E-3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0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0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0</v>
      </c>
      <c r="M1373" s="1" cm="1">
        <f t="array" ref="M1373">SUMPRODUCT(("T_B_u-ICEnga-S3"=[1]OUT_TransportEnergyCons!$A$3:$A$1000)*1,("var_fout"=[1]OUT_TransportEnergyCons!$B$3:$B$1000)*1,ISNUMBER(SEARCH("tpbsu",[1]OUT_TransportEnergyCons!$C$3:$C$1000))*1,[1]OUT_TransportEnergyCons!K$3:K$1000)</f>
        <v>0</v>
      </c>
      <c r="N1373" s="1" cm="1">
        <f t="array" ref="N1373">SUMPRODUCT(("T_B_u-ICEnga-S3"=[1]OUT_TransportEnergyCons!$A$3:$A$1000)*1,("var_fout"=[1]OUT_TransportEnergyCons!$B$3:$B$1000)*1,ISNUMBER(SEARCH("tpbsu",[1]OUT_TransportEnergyCons!$C$3:$C$1000))*1,[1]OUT_TransportEnergyCons!L$3:L$1000)</f>
        <v>0</v>
      </c>
      <c r="O1373" s="1" cm="1">
        <f t="array" ref="O1373">SUMPRODUCT(("T_B_u-ICEnga-S3"=[1]OUT_TransportEnergyCons!$A$3:$A$1000)*1,("var_fout"=[1]OUT_TransportEnergyCons!$B$3:$B$1000)*1,ISNUMBER(SEARCH("tpbsu",[1]OUT_TransportEnergyCons!$C$3:$C$1000))*1,[1]OUT_TransportEnergyCons!M$3:M$1000)</f>
        <v>0</v>
      </c>
      <c r="P1373" s="1" cm="1">
        <f t="array" ref="P1373">SUMPRODUCT(("T_B_u-ICEnga-S3"=[1]OUT_TransportEnergyCons!$A$3:$A$1000)*1,("var_fout"=[1]OUT_TransportEnergyCons!$B$3:$B$1000)*1,ISNUMBER(SEARCH("tpbsu",[1]OUT_TransportEnergyCons!$C$3:$C$1000))*1,[1]OUT_TransportEnergyCons!N$3:N$1000)</f>
        <v>0</v>
      </c>
      <c r="Q1373" s="1" cm="1">
        <f t="array" ref="Q1373">SUMPRODUCT(("T_B_u-ICEnga-S3"=[1]OUT_TransportEnergyCons!$A$3:$A$1000)*1,("var_fout"=[1]OUT_TransportEnergyCons!$B$3:$B$1000)*1,ISNUMBER(SEARCH("tpbsu",[1]OUT_TransportEnergyCons!$C$3:$C$1000))*1,[1]OUT_TransportEnergyCons!O$3:O$1000)</f>
        <v>0</v>
      </c>
      <c r="S1373" s="3"/>
    </row>
    <row r="1374" spans="2:19" x14ac:dyDescent="0.5">
      <c r="B1374" s="5" t="str">
        <f t="shared" si="1504"/>
        <v>SPS1</v>
      </c>
      <c r="C1374" s="5" t="str">
        <f t="shared" si="1505"/>
        <v>CH</v>
      </c>
      <c r="D1374" t="s">
        <v>1369</v>
      </c>
      <c r="E1374" t="str">
        <f t="shared" si="150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5.1251914293582333E-7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1.8742316679811445E-6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0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4.4897665291855603E-8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0</v>
      </c>
      <c r="M1374" s="1" cm="1">
        <f t="array" ref="M1374">SUMPRODUCT(("T_B_u-ICEnga-S4"=[1]OUT_TransportEnergyCons!$A$3:$A$1000)*1,("var_fout"=[1]OUT_TransportEnergyCons!$B$3:$B$1000)*1,ISNUMBER(SEARCH("tpbsu",[1]OUT_TransportEnergyCons!$C$3:$C$1000))*1,[1]OUT_TransportEnergyCons!K$3:K$1000)</f>
        <v>0</v>
      </c>
      <c r="N1374" s="1" cm="1">
        <f t="array" ref="N1374">SUMPRODUCT(("T_B_u-ICEnga-S4"=[1]OUT_TransportEnergyCons!$A$3:$A$1000)*1,("var_fout"=[1]OUT_TransportEnergyCons!$B$3:$B$1000)*1,ISNUMBER(SEARCH("tpbsu",[1]OUT_TransportEnergyCons!$C$3:$C$1000))*1,[1]OUT_TransportEnergyCons!L$3:L$1000)</f>
        <v>0</v>
      </c>
      <c r="O1374" s="1" cm="1">
        <f t="array" ref="O1374">SUMPRODUCT(("T_B_u-ICEnga-S4"=[1]OUT_TransportEnergyCons!$A$3:$A$1000)*1,("var_fout"=[1]OUT_TransportEnergyCons!$B$3:$B$1000)*1,ISNUMBER(SEARCH("tpbsu",[1]OUT_TransportEnergyCons!$C$3:$C$1000))*1,[1]OUT_TransportEnergyCons!M$3:M$1000)</f>
        <v>0</v>
      </c>
      <c r="P1374" s="1" cm="1">
        <f t="array" ref="P1374">SUMPRODUCT(("T_B_u-ICEnga-S4"=[1]OUT_TransportEnergyCons!$A$3:$A$1000)*1,("var_fout"=[1]OUT_TransportEnergyCons!$B$3:$B$1000)*1,ISNUMBER(SEARCH("tpbsu",[1]OUT_TransportEnergyCons!$C$3:$C$1000))*1,[1]OUT_TransportEnergyCons!N$3:N$1000)</f>
        <v>0</v>
      </c>
      <c r="Q1374" s="1" cm="1">
        <f t="array" ref="Q1374">SUMPRODUCT(("T_B_u-ICEnga-S4"=[1]OUT_TransportEnergyCons!$A$3:$A$1000)*1,("var_fout"=[1]OUT_TransportEnergyCons!$B$3:$B$1000)*1,ISNUMBER(SEARCH("tpbsu",[1]OUT_TransportEnergyCons!$C$3:$C$1000))*1,[1]OUT_TransportEnergyCons!O$3:O$1000)</f>
        <v>0</v>
      </c>
      <c r="S1374" s="3"/>
    </row>
    <row r="1375" spans="2:19" x14ac:dyDescent="0.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0" t="s">
        <v>292</v>
      </c>
      <c r="G1375" s="20" t="s">
        <v>292</v>
      </c>
      <c r="H1375" s="20" t="s">
        <v>292</v>
      </c>
      <c r="I1375" s="20" t="s">
        <v>292</v>
      </c>
      <c r="J1375" s="20" t="s">
        <v>292</v>
      </c>
      <c r="K1375" s="20" t="s">
        <v>292</v>
      </c>
      <c r="L1375" s="20" t="s">
        <v>292</v>
      </c>
      <c r="M1375" s="20" t="s">
        <v>292</v>
      </c>
      <c r="N1375" s="20" t="s">
        <v>292</v>
      </c>
      <c r="O1375" s="20" t="s">
        <v>292</v>
      </c>
      <c r="P1375" s="20" t="s">
        <v>292</v>
      </c>
      <c r="Q1375" s="20" t="s">
        <v>292</v>
      </c>
      <c r="S1375" s="3"/>
    </row>
    <row r="1376" spans="2:19" x14ac:dyDescent="0.5">
      <c r="B1376" s="5" t="str">
        <f t="shared" ref="B1376:B1398" si="1507">B1375</f>
        <v>SPS1</v>
      </c>
      <c r="C1376" s="5" t="str">
        <f t="shared" ref="C1376:C1398" si="1508">C1375</f>
        <v>CH</v>
      </c>
      <c r="D1376" t="s">
        <v>1371</v>
      </c>
      <c r="E1376" t="s">
        <v>1229</v>
      </c>
      <c r="F1376" s="1">
        <f>IFERROR(F1352/F1317,"-")</f>
        <v>4.1906042144660329</v>
      </c>
      <c r="G1376" s="1">
        <f t="shared" ref="G1376:K1376" si="1509">IFERROR(G1352/G1317,"-")</f>
        <v>3.3737507326839364</v>
      </c>
      <c r="H1376" s="1">
        <f t="shared" si="1509"/>
        <v>2.1484705100107946</v>
      </c>
      <c r="I1376" s="1" t="str">
        <f t="shared" si="1509"/>
        <v>-</v>
      </c>
      <c r="J1376" s="1" t="str">
        <f t="shared" si="1509"/>
        <v>-</v>
      </c>
      <c r="K1376" s="1" t="str">
        <f t="shared" si="1509"/>
        <v>-</v>
      </c>
      <c r="L1376" s="1" t="str">
        <f t="shared" ref="L1376:O1376" si="1510">IFERROR(L1352/L1317,"-")</f>
        <v>-</v>
      </c>
      <c r="M1376" s="1" t="str">
        <f t="shared" si="1510"/>
        <v>-</v>
      </c>
      <c r="N1376" s="1" t="str">
        <f t="shared" si="1510"/>
        <v>-</v>
      </c>
      <c r="O1376" s="1" t="str">
        <f t="shared" si="1510"/>
        <v>-</v>
      </c>
      <c r="P1376" s="1" t="str">
        <f t="shared" ref="P1376:Q1380" si="1511">IFERROR(P1352/P1317,"-")</f>
        <v>-</v>
      </c>
      <c r="Q1376" s="1" t="str">
        <f t="shared" si="1511"/>
        <v>-</v>
      </c>
      <c r="S1376" s="3"/>
    </row>
    <row r="1377" spans="2:19" x14ac:dyDescent="0.5">
      <c r="B1377" s="5" t="str">
        <f t="shared" si="1507"/>
        <v>SPS1</v>
      </c>
      <c r="C1377" s="5" t="str">
        <f t="shared" si="1508"/>
        <v>CH</v>
      </c>
      <c r="D1377" t="s">
        <v>1372</v>
      </c>
      <c r="E1377" t="s">
        <v>1229</v>
      </c>
      <c r="F1377" s="1">
        <f t="shared" ref="F1377:K1377" si="1512">IFERROR(F1353/F1318,"-")</f>
        <v>0.37869321701871844</v>
      </c>
      <c r="G1377" s="1">
        <f t="shared" si="1512"/>
        <v>0.39241872076724515</v>
      </c>
      <c r="H1377" s="1">
        <f t="shared" si="1512"/>
        <v>0.40498771451517512</v>
      </c>
      <c r="I1377" s="1">
        <f t="shared" si="1512"/>
        <v>0.44730369029575179</v>
      </c>
      <c r="J1377" s="1">
        <f t="shared" si="1512"/>
        <v>0.47104599538276926</v>
      </c>
      <c r="K1377" s="1">
        <f t="shared" si="1512"/>
        <v>0.47584124344701512</v>
      </c>
      <c r="L1377" s="1">
        <f t="shared" ref="L1377:O1377" si="1513">IFERROR(L1353/L1318,"-")</f>
        <v>0.49660334974389736</v>
      </c>
      <c r="M1377" s="1">
        <f t="shared" si="1513"/>
        <v>0.53106118509964928</v>
      </c>
      <c r="N1377" s="1">
        <f t="shared" si="1513"/>
        <v>0.53845786253961792</v>
      </c>
      <c r="O1377" s="1">
        <f t="shared" si="1513"/>
        <v>0.54235716283703483</v>
      </c>
      <c r="P1377" s="1">
        <f t="shared" si="1511"/>
        <v>0.54235716283703517</v>
      </c>
      <c r="Q1377" s="1">
        <f t="shared" si="1511"/>
        <v>0.54235716283703417</v>
      </c>
      <c r="S1377" s="3"/>
    </row>
    <row r="1378" spans="2:19" x14ac:dyDescent="0.5">
      <c r="B1378" s="5" t="str">
        <f t="shared" si="1507"/>
        <v>SPS1</v>
      </c>
      <c r="C1378" s="5" t="str">
        <f t="shared" si="1508"/>
        <v>CH</v>
      </c>
      <c r="D1378" t="s">
        <v>1373</v>
      </c>
      <c r="E1378" t="s">
        <v>1229</v>
      </c>
      <c r="F1378" s="1">
        <f t="shared" ref="F1378:K1378" si="1514">IFERROR(F1354/F1319,"-")</f>
        <v>0.27518070496490721</v>
      </c>
      <c r="G1378" s="1">
        <f t="shared" si="1514"/>
        <v>0.27739249446403047</v>
      </c>
      <c r="H1378" s="1">
        <f t="shared" si="1514"/>
        <v>0.28574887752585454</v>
      </c>
      <c r="I1378" s="1">
        <f t="shared" si="1514"/>
        <v>0.32385366256690956</v>
      </c>
      <c r="J1378" s="1">
        <f t="shared" si="1514"/>
        <v>0.33963772226758476</v>
      </c>
      <c r="K1378" s="1">
        <f t="shared" si="1514"/>
        <v>0.34342744887816545</v>
      </c>
      <c r="L1378" s="1">
        <f t="shared" ref="L1378:O1378" si="1515">IFERROR(L1354/L1319,"-")</f>
        <v>0.35775177775859562</v>
      </c>
      <c r="M1378" s="1">
        <f t="shared" si="1515"/>
        <v>0.38361340168691682</v>
      </c>
      <c r="N1378" s="1">
        <f t="shared" si="1515"/>
        <v>0.38913013737971425</v>
      </c>
      <c r="O1378" s="1">
        <f t="shared" si="1515"/>
        <v>0.39241606511731009</v>
      </c>
      <c r="P1378" s="1">
        <f t="shared" si="1511"/>
        <v>0.39241606511730975</v>
      </c>
      <c r="Q1378" s="1">
        <f t="shared" si="1511"/>
        <v>0.39241606511730937</v>
      </c>
      <c r="S1378" s="3"/>
    </row>
    <row r="1379" spans="2:19" x14ac:dyDescent="0.5">
      <c r="B1379" s="5" t="str">
        <f t="shared" si="1507"/>
        <v>SPS1</v>
      </c>
      <c r="C1379" s="5" t="str">
        <f t="shared" si="1508"/>
        <v>CH</v>
      </c>
      <c r="D1379" t="s">
        <v>1374</v>
      </c>
      <c r="E1379" t="s">
        <v>1229</v>
      </c>
      <c r="F1379" s="1">
        <f t="shared" ref="F1379:K1379" si="1516">IFERROR(F1355/F1320,"-")</f>
        <v>0.18297040713439908</v>
      </c>
      <c r="G1379" s="1">
        <f t="shared" si="1516"/>
        <v>0.18445407497776731</v>
      </c>
      <c r="H1379" s="1">
        <f t="shared" si="1516"/>
        <v>0.18684746814452935</v>
      </c>
      <c r="I1379" s="1">
        <f t="shared" si="1516"/>
        <v>0.21586477969187426</v>
      </c>
      <c r="J1379" s="1">
        <f t="shared" si="1516"/>
        <v>0.2194035466382474</v>
      </c>
      <c r="K1379" s="1">
        <f t="shared" si="1516"/>
        <v>0.23558271151152657</v>
      </c>
      <c r="L1379" s="1">
        <f t="shared" ref="L1379:O1379" si="1517">IFERROR(L1355/L1320,"-")</f>
        <v>0.24263272105476233</v>
      </c>
      <c r="M1379" s="1">
        <f t="shared" si="1517"/>
        <v>0.25785595554619517</v>
      </c>
      <c r="N1379" s="1">
        <f t="shared" si="1517"/>
        <v>0.26149317341506362</v>
      </c>
      <c r="O1379" s="1">
        <f t="shared" si="1517"/>
        <v>0.26214281836713799</v>
      </c>
      <c r="P1379" s="1">
        <f t="shared" si="1511"/>
        <v>0.26214281836713782</v>
      </c>
      <c r="Q1379" s="1">
        <f t="shared" si="1511"/>
        <v>0.26214281836713782</v>
      </c>
      <c r="S1379" s="3"/>
    </row>
    <row r="1380" spans="2:19" x14ac:dyDescent="0.5">
      <c r="B1380" s="5" t="str">
        <f t="shared" si="1507"/>
        <v>SPS1</v>
      </c>
      <c r="C1380" s="5" t="str">
        <f t="shared" si="1508"/>
        <v>CH</v>
      </c>
      <c r="D1380" t="s">
        <v>1375</v>
      </c>
      <c r="E1380" t="s">
        <v>1229</v>
      </c>
      <c r="F1380" s="1">
        <f t="shared" ref="F1380:K1380" si="1518">IFERROR(F1356/F1321,"-")</f>
        <v>0.12198710645807116</v>
      </c>
      <c r="G1380" s="1">
        <f t="shared" si="1518"/>
        <v>0.12409651512843253</v>
      </c>
      <c r="H1380" s="1">
        <f t="shared" si="1518"/>
        <v>0.12740975563183227</v>
      </c>
      <c r="I1380" s="1">
        <f t="shared" si="1518"/>
        <v>0.1441565758892823</v>
      </c>
      <c r="J1380" s="1">
        <f t="shared" si="1518"/>
        <v>0.14480935481202964</v>
      </c>
      <c r="K1380" s="1">
        <f t="shared" si="1518"/>
        <v>0.1567422403455021</v>
      </c>
      <c r="L1380" s="1">
        <f t="shared" ref="L1380:O1380" si="1519">IFERROR(L1356/L1321,"-")</f>
        <v>0.16471035043258361</v>
      </c>
      <c r="M1380" s="1">
        <f t="shared" si="1519"/>
        <v>0.17235720135942648</v>
      </c>
      <c r="N1380" s="1">
        <f t="shared" si="1519"/>
        <v>0.17547614587850291</v>
      </c>
      <c r="O1380" s="1">
        <f t="shared" si="1519"/>
        <v>0.17547614587850296</v>
      </c>
      <c r="P1380" s="1">
        <f t="shared" si="1511"/>
        <v>0.17547614587850308</v>
      </c>
      <c r="Q1380" s="1">
        <f t="shared" si="1511"/>
        <v>0.17547614587850302</v>
      </c>
      <c r="S1380" s="3"/>
    </row>
    <row r="1381" spans="2:19" x14ac:dyDescent="0.5">
      <c r="B1381" s="5" t="str">
        <f t="shared" si="1507"/>
        <v>SPS1</v>
      </c>
      <c r="C1381" s="5" t="str">
        <f t="shared" si="1508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520">IFERROR(G1357/G1323,"-")</f>
        <v>-</v>
      </c>
      <c r="H1381" s="1" t="str">
        <f t="shared" si="1520"/>
        <v>-</v>
      </c>
      <c r="I1381" s="1" t="str">
        <f t="shared" si="1520"/>
        <v>-</v>
      </c>
      <c r="J1381" s="1" t="str">
        <f t="shared" si="1520"/>
        <v>-</v>
      </c>
      <c r="K1381" s="1" t="str">
        <f t="shared" si="1520"/>
        <v>-</v>
      </c>
      <c r="L1381" s="1" t="str">
        <f t="shared" ref="L1381:O1381" si="1521">IFERROR(L1357/L1323,"-")</f>
        <v>-</v>
      </c>
      <c r="M1381" s="1" t="str">
        <f t="shared" si="1521"/>
        <v>-</v>
      </c>
      <c r="N1381" s="1" t="str">
        <f t="shared" si="1521"/>
        <v>-</v>
      </c>
      <c r="O1381" s="1" t="str">
        <f t="shared" si="1521"/>
        <v>-</v>
      </c>
      <c r="P1381" s="1" t="str">
        <f t="shared" ref="P1381:Q1384" si="1522">IFERROR(P1357/P1323,"-")</f>
        <v>-</v>
      </c>
      <c r="Q1381" s="1" t="str">
        <f t="shared" si="1522"/>
        <v>-</v>
      </c>
      <c r="S1381" s="3"/>
    </row>
    <row r="1382" spans="2:19" x14ac:dyDescent="0.5">
      <c r="B1382" s="5" t="str">
        <f t="shared" si="1507"/>
        <v>SPS1</v>
      </c>
      <c r="C1382" s="5" t="str">
        <f t="shared" si="1508"/>
        <v>CH</v>
      </c>
      <c r="D1382" t="s">
        <v>1377</v>
      </c>
      <c r="E1382" t="s">
        <v>1229</v>
      </c>
      <c r="F1382" s="1" t="str">
        <f t="shared" ref="F1382:K1382" si="1523">IFERROR(F1358/F1324,"-")</f>
        <v>-</v>
      </c>
      <c r="G1382" s="1" t="str">
        <f t="shared" si="1523"/>
        <v>-</v>
      </c>
      <c r="H1382" s="1" t="str">
        <f t="shared" si="1523"/>
        <v>-</v>
      </c>
      <c r="I1382" s="1" t="str">
        <f t="shared" si="1523"/>
        <v>-</v>
      </c>
      <c r="J1382" s="1" t="str">
        <f t="shared" si="1523"/>
        <v>-</v>
      </c>
      <c r="K1382" s="1" t="str">
        <f t="shared" si="1523"/>
        <v>-</v>
      </c>
      <c r="L1382" s="1" t="str">
        <f t="shared" ref="L1382:O1382" si="1524">IFERROR(L1358/L1324,"-")</f>
        <v>-</v>
      </c>
      <c r="M1382" s="1" t="str">
        <f t="shared" si="1524"/>
        <v>-</v>
      </c>
      <c r="N1382" s="1" t="str">
        <f t="shared" si="1524"/>
        <v>-</v>
      </c>
      <c r="O1382" s="1" t="str">
        <f t="shared" si="1524"/>
        <v>-</v>
      </c>
      <c r="P1382" s="1" t="str">
        <f t="shared" si="1522"/>
        <v>-</v>
      </c>
      <c r="Q1382" s="1" t="str">
        <f t="shared" si="1522"/>
        <v>-</v>
      </c>
      <c r="S1382" s="3"/>
    </row>
    <row r="1383" spans="2:19" x14ac:dyDescent="0.5">
      <c r="B1383" s="5" t="str">
        <f t="shared" si="1507"/>
        <v>SPS1</v>
      </c>
      <c r="C1383" s="5" t="str">
        <f t="shared" si="1508"/>
        <v>CH</v>
      </c>
      <c r="D1383" t="s">
        <v>1378</v>
      </c>
      <c r="E1383" t="s">
        <v>1229</v>
      </c>
      <c r="F1383" s="1" t="str">
        <f t="shared" ref="F1383:K1383" si="1525">IFERROR(F1359/F1325,"-")</f>
        <v>-</v>
      </c>
      <c r="G1383" s="1" t="str">
        <f t="shared" si="1525"/>
        <v>-</v>
      </c>
      <c r="H1383" s="1" t="str">
        <f t="shared" si="1525"/>
        <v>-</v>
      </c>
      <c r="I1383" s="1" t="str">
        <f t="shared" si="1525"/>
        <v>-</v>
      </c>
      <c r="J1383" s="1" t="str">
        <f t="shared" si="1525"/>
        <v>-</v>
      </c>
      <c r="K1383" s="1">
        <f t="shared" si="1525"/>
        <v>0.12147875668162879</v>
      </c>
      <c r="L1383" s="1">
        <f t="shared" ref="L1383:O1383" si="1526">IFERROR(L1359/L1325,"-")</f>
        <v>0.13821948729744071</v>
      </c>
      <c r="M1383" s="1" t="str">
        <f t="shared" si="1526"/>
        <v>-</v>
      </c>
      <c r="N1383" s="1" t="str">
        <f t="shared" si="1526"/>
        <v>-</v>
      </c>
      <c r="O1383" s="1" t="str">
        <f t="shared" si="1526"/>
        <v>-</v>
      </c>
      <c r="P1383" s="1" t="str">
        <f t="shared" si="1522"/>
        <v>-</v>
      </c>
      <c r="Q1383" s="1" t="str">
        <f t="shared" si="1522"/>
        <v>-</v>
      </c>
      <c r="S1383" s="3"/>
    </row>
    <row r="1384" spans="2:19" x14ac:dyDescent="0.5">
      <c r="B1384" s="5" t="str">
        <f t="shared" si="1507"/>
        <v>SPS1</v>
      </c>
      <c r="C1384" s="5" t="str">
        <f t="shared" si="1508"/>
        <v>CH</v>
      </c>
      <c r="D1384" t="s">
        <v>1379</v>
      </c>
      <c r="E1384" t="s">
        <v>1229</v>
      </c>
      <c r="F1384" s="1" t="str">
        <f t="shared" ref="F1384:K1384" si="1527">IFERROR(F1360/F1326,"-")</f>
        <v>-</v>
      </c>
      <c r="G1384" s="1" t="str">
        <f t="shared" si="1527"/>
        <v>-</v>
      </c>
      <c r="H1384" s="1" t="str">
        <f t="shared" si="1527"/>
        <v>-</v>
      </c>
      <c r="I1384" s="1" t="str">
        <f t="shared" si="1527"/>
        <v>-</v>
      </c>
      <c r="J1384" s="1" t="str">
        <f t="shared" si="1527"/>
        <v>-</v>
      </c>
      <c r="K1384" s="1" t="str">
        <f t="shared" si="1527"/>
        <v>-</v>
      </c>
      <c r="L1384" s="1" t="str">
        <f t="shared" ref="L1384:O1384" si="1528">IFERROR(L1360/L1326,"-")</f>
        <v>-</v>
      </c>
      <c r="M1384" s="1" t="str">
        <f t="shared" si="1528"/>
        <v>-</v>
      </c>
      <c r="N1384" s="1" t="str">
        <f t="shared" si="1528"/>
        <v>-</v>
      </c>
      <c r="O1384" s="1" t="str">
        <f t="shared" si="1528"/>
        <v>-</v>
      </c>
      <c r="P1384" s="1" t="str">
        <f t="shared" si="1522"/>
        <v>-</v>
      </c>
      <c r="Q1384" s="1" t="str">
        <f t="shared" si="1522"/>
        <v>-</v>
      </c>
      <c r="S1384" s="3"/>
    </row>
    <row r="1385" spans="2:19" x14ac:dyDescent="0.5">
      <c r="B1385" s="5" t="str">
        <f t="shared" si="1507"/>
        <v>SPS1</v>
      </c>
      <c r="C1385" s="5" t="str">
        <f t="shared" si="1508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529">IFERROR(G1361/G1332,"-")</f>
        <v>0.16251369968883847</v>
      </c>
      <c r="H1385" s="1">
        <f t="shared" si="1529"/>
        <v>0.16256620097928726</v>
      </c>
      <c r="I1385" s="1" t="str">
        <f t="shared" si="1529"/>
        <v>-</v>
      </c>
      <c r="J1385" s="1" t="str">
        <f t="shared" si="1529"/>
        <v>-</v>
      </c>
      <c r="K1385" s="1" t="str">
        <f t="shared" si="1529"/>
        <v>-</v>
      </c>
      <c r="L1385" s="1" t="str">
        <f t="shared" ref="L1385:O1385" si="1530">IFERROR(L1361/L1332,"-")</f>
        <v>-</v>
      </c>
      <c r="M1385" s="1" t="str">
        <f t="shared" si="1530"/>
        <v>-</v>
      </c>
      <c r="N1385" s="1" t="str">
        <f t="shared" si="1530"/>
        <v>-</v>
      </c>
      <c r="O1385" s="1" t="str">
        <f t="shared" si="1530"/>
        <v>-</v>
      </c>
      <c r="P1385" s="1" t="str">
        <f t="shared" ref="P1385:Q1393" si="1531">IFERROR(P1361/P1332,"-")</f>
        <v>-</v>
      </c>
      <c r="Q1385" s="1" t="str">
        <f t="shared" si="1531"/>
        <v>-</v>
      </c>
      <c r="S1385" s="3"/>
    </row>
    <row r="1386" spans="2:19" x14ac:dyDescent="0.5">
      <c r="B1386" s="5" t="str">
        <f t="shared" si="1507"/>
        <v>SPS1</v>
      </c>
      <c r="C1386" s="5" t="str">
        <f t="shared" si="1508"/>
        <v>CH</v>
      </c>
      <c r="D1386" t="s">
        <v>1381</v>
      </c>
      <c r="E1386" t="s">
        <v>1229</v>
      </c>
      <c r="F1386" s="1" t="str">
        <f t="shared" ref="F1386:K1386" si="1532">IFERROR(F1362/F1333,"-")</f>
        <v>-</v>
      </c>
      <c r="G1386" s="1">
        <f t="shared" si="1532"/>
        <v>0.11649393435744146</v>
      </c>
      <c r="H1386" s="1">
        <f t="shared" si="1532"/>
        <v>0.11838149766536551</v>
      </c>
      <c r="I1386" s="1" t="str">
        <f t="shared" si="1532"/>
        <v>-</v>
      </c>
      <c r="J1386" s="1" t="str">
        <f t="shared" si="1532"/>
        <v>-</v>
      </c>
      <c r="K1386" s="1" t="str">
        <f t="shared" si="1532"/>
        <v>-</v>
      </c>
      <c r="L1386" s="1" t="str">
        <f t="shared" ref="L1386:O1386" si="1533">IFERROR(L1362/L1333,"-")</f>
        <v>-</v>
      </c>
      <c r="M1386" s="1" t="str">
        <f t="shared" si="1533"/>
        <v>-</v>
      </c>
      <c r="N1386" s="1" t="str">
        <f t="shared" si="1533"/>
        <v>-</v>
      </c>
      <c r="O1386" s="1" t="str">
        <f t="shared" si="1533"/>
        <v>-</v>
      </c>
      <c r="P1386" s="1" t="str">
        <f t="shared" si="1531"/>
        <v>-</v>
      </c>
      <c r="Q1386" s="1" t="str">
        <f t="shared" si="1531"/>
        <v>-</v>
      </c>
      <c r="S1386" s="3"/>
    </row>
    <row r="1387" spans="2:19" x14ac:dyDescent="0.5">
      <c r="B1387" s="5" t="str">
        <f t="shared" si="1507"/>
        <v>SPS1</v>
      </c>
      <c r="C1387" s="5" t="str">
        <f t="shared" si="1508"/>
        <v>CH</v>
      </c>
      <c r="D1387" t="s">
        <v>1382</v>
      </c>
      <c r="E1387" t="s">
        <v>1229</v>
      </c>
      <c r="F1387" s="1" t="str">
        <f t="shared" ref="F1387:K1387" si="1534">IFERROR(F1363/F1334,"-")</f>
        <v>-</v>
      </c>
      <c r="G1387" s="1">
        <f t="shared" si="1534"/>
        <v>7.8235828164578913E-2</v>
      </c>
      <c r="H1387" s="1">
        <f t="shared" si="1534"/>
        <v>7.9432149308142352E-2</v>
      </c>
      <c r="I1387" s="1" t="str">
        <f t="shared" si="1534"/>
        <v>-</v>
      </c>
      <c r="J1387" s="1" t="str">
        <f t="shared" si="1534"/>
        <v>-</v>
      </c>
      <c r="K1387" s="1" t="str">
        <f t="shared" si="1534"/>
        <v>-</v>
      </c>
      <c r="L1387" s="1" t="str">
        <f t="shared" ref="L1387:O1387" si="1535">IFERROR(L1363/L1334,"-")</f>
        <v>-</v>
      </c>
      <c r="M1387" s="1" t="str">
        <f t="shared" si="1535"/>
        <v>-</v>
      </c>
      <c r="N1387" s="1" t="str">
        <f t="shared" si="1535"/>
        <v>-</v>
      </c>
      <c r="O1387" s="1" t="str">
        <f t="shared" si="1535"/>
        <v>-</v>
      </c>
      <c r="P1387" s="1" t="str">
        <f t="shared" si="1531"/>
        <v>-</v>
      </c>
      <c r="Q1387" s="1" t="str">
        <f t="shared" si="1531"/>
        <v>-</v>
      </c>
      <c r="S1387" s="3"/>
    </row>
    <row r="1388" spans="2:19" x14ac:dyDescent="0.5">
      <c r="B1388" s="5" t="str">
        <f t="shared" si="1507"/>
        <v>SPS1</v>
      </c>
      <c r="C1388" s="5" t="str">
        <f t="shared" si="1508"/>
        <v>CH</v>
      </c>
      <c r="D1388" t="s">
        <v>1383</v>
      </c>
      <c r="E1388" t="s">
        <v>1229</v>
      </c>
      <c r="F1388" s="1" t="str">
        <f t="shared" ref="F1388:K1388" si="1536">IFERROR(F1364/F1335,"-")</f>
        <v>-</v>
      </c>
      <c r="G1388" s="1">
        <f t="shared" si="1536"/>
        <v>5.2751439830497716E-2</v>
      </c>
      <c r="H1388" s="1">
        <f t="shared" si="1536"/>
        <v>5.3954933518520119E-2</v>
      </c>
      <c r="I1388" s="1" t="str">
        <f t="shared" si="1536"/>
        <v>-</v>
      </c>
      <c r="J1388" s="1" t="str">
        <f t="shared" si="1536"/>
        <v>-</v>
      </c>
      <c r="K1388" s="1" t="str">
        <f t="shared" si="1536"/>
        <v>-</v>
      </c>
      <c r="L1388" s="1" t="str">
        <f t="shared" ref="L1388:O1388" si="1537">IFERROR(L1364/L1335,"-")</f>
        <v>-</v>
      </c>
      <c r="M1388" s="1" t="str">
        <f t="shared" si="1537"/>
        <v>-</v>
      </c>
      <c r="N1388" s="1" t="str">
        <f t="shared" si="1537"/>
        <v>-</v>
      </c>
      <c r="O1388" s="1" t="str">
        <f t="shared" si="1537"/>
        <v>-</v>
      </c>
      <c r="P1388" s="1" t="str">
        <f t="shared" si="1531"/>
        <v>-</v>
      </c>
      <c r="Q1388" s="1" t="str">
        <f t="shared" si="1531"/>
        <v>-</v>
      </c>
      <c r="S1388" s="3"/>
    </row>
    <row r="1389" spans="2:19" x14ac:dyDescent="0.5">
      <c r="B1389" s="5" t="str">
        <f t="shared" si="1507"/>
        <v>SPS1</v>
      </c>
      <c r="C1389" s="5" t="str">
        <f t="shared" si="1508"/>
        <v>CH</v>
      </c>
      <c r="D1389" t="s">
        <v>2002</v>
      </c>
      <c r="E1389" t="s">
        <v>1229</v>
      </c>
      <c r="F1389" s="1">
        <f>IFERROR(F1365/F1336,"-")</f>
        <v>13.968680714886796</v>
      </c>
      <c r="G1389" s="1">
        <f t="shared" ref="G1389:K1389" si="1538">IFERROR(G1365/G1336,"-")</f>
        <v>11.189596541502636</v>
      </c>
      <c r="H1389" s="1">
        <f t="shared" si="1538"/>
        <v>7.0209702814264237</v>
      </c>
      <c r="I1389" s="1" t="str">
        <f t="shared" si="1538"/>
        <v>-</v>
      </c>
      <c r="J1389" s="1" t="str">
        <f t="shared" si="1538"/>
        <v>-</v>
      </c>
      <c r="K1389" s="1" t="str">
        <f t="shared" si="1538"/>
        <v>-</v>
      </c>
      <c r="L1389" s="1" t="str">
        <f t="shared" ref="L1389:O1389" si="1539">IFERROR(L1365/L1336,"-")</f>
        <v>-</v>
      </c>
      <c r="M1389" s="1" t="str">
        <f t="shared" si="1539"/>
        <v>-</v>
      </c>
      <c r="N1389" s="1" t="str">
        <f t="shared" si="1539"/>
        <v>-</v>
      </c>
      <c r="O1389" s="1" t="str">
        <f t="shared" si="1539"/>
        <v>-</v>
      </c>
      <c r="P1389" s="1" t="str">
        <f t="shared" si="1531"/>
        <v>-</v>
      </c>
      <c r="Q1389" s="1" t="str">
        <f t="shared" si="1531"/>
        <v>-</v>
      </c>
      <c r="S1389" s="3"/>
    </row>
    <row r="1390" spans="2:19" x14ac:dyDescent="0.5">
      <c r="B1390" s="5" t="str">
        <f t="shared" si="1507"/>
        <v>SPS1</v>
      </c>
      <c r="C1390" s="5" t="str">
        <f t="shared" si="1508"/>
        <v>CH</v>
      </c>
      <c r="D1390" t="s">
        <v>1384</v>
      </c>
      <c r="E1390" t="s">
        <v>1229</v>
      </c>
      <c r="F1390" s="1">
        <f t="shared" ref="F1390:K1390" si="1540">IFERROR(F1366/F1337,"-")</f>
        <v>0.12391916748597512</v>
      </c>
      <c r="G1390" s="1">
        <f t="shared" si="1540"/>
        <v>0.12850941321840384</v>
      </c>
      <c r="H1390" s="1">
        <f t="shared" si="1540"/>
        <v>0.13201965568090518</v>
      </c>
      <c r="I1390" s="1">
        <f t="shared" si="1540"/>
        <v>0.12391916748597505</v>
      </c>
      <c r="J1390" s="1" t="str">
        <f t="shared" si="1540"/>
        <v>-</v>
      </c>
      <c r="K1390" s="1" t="str">
        <f t="shared" si="1540"/>
        <v>-</v>
      </c>
      <c r="L1390" s="1" t="str">
        <f t="shared" ref="L1390:O1390" si="1541">IFERROR(L1366/L1337,"-")</f>
        <v>-</v>
      </c>
      <c r="M1390" s="1" t="str">
        <f t="shared" si="1541"/>
        <v>-</v>
      </c>
      <c r="N1390" s="1" t="str">
        <f t="shared" si="1541"/>
        <v>-</v>
      </c>
      <c r="O1390" s="1" t="str">
        <f t="shared" si="1541"/>
        <v>-</v>
      </c>
      <c r="P1390" s="1" t="str">
        <f t="shared" si="1531"/>
        <v>-</v>
      </c>
      <c r="Q1390" s="1" t="str">
        <f t="shared" si="1531"/>
        <v>-</v>
      </c>
      <c r="S1390" s="3"/>
    </row>
    <row r="1391" spans="2:19" x14ac:dyDescent="0.5">
      <c r="B1391" s="5" t="str">
        <f t="shared" si="1507"/>
        <v>SPS1</v>
      </c>
      <c r="C1391" s="5" t="str">
        <f t="shared" si="1508"/>
        <v>CH</v>
      </c>
      <c r="D1391" t="s">
        <v>1385</v>
      </c>
      <c r="E1391" t="s">
        <v>1229</v>
      </c>
      <c r="F1391" s="1">
        <f t="shared" ref="F1391:K1391" si="1542">IFERROR(F1367/F1338,"-")</f>
        <v>8.7465847585616513E-2</v>
      </c>
      <c r="G1391" s="1">
        <f t="shared" si="1542"/>
        <v>8.7783811971441875E-2</v>
      </c>
      <c r="H1391" s="1">
        <f t="shared" si="1542"/>
        <v>9.0944176400228838E-2</v>
      </c>
      <c r="I1391" s="1" t="str">
        <f t="shared" si="1542"/>
        <v>-</v>
      </c>
      <c r="J1391" s="1" t="str">
        <f t="shared" si="1542"/>
        <v>-</v>
      </c>
      <c r="K1391" s="1" t="str">
        <f t="shared" si="1542"/>
        <v>-</v>
      </c>
      <c r="L1391" s="1" t="str">
        <f t="shared" ref="L1391:O1391" si="1543">IFERROR(L1367/L1338,"-")</f>
        <v>-</v>
      </c>
      <c r="M1391" s="1" t="str">
        <f t="shared" si="1543"/>
        <v>-</v>
      </c>
      <c r="N1391" s="1" t="str">
        <f t="shared" si="1543"/>
        <v>-</v>
      </c>
      <c r="O1391" s="1" t="str">
        <f t="shared" si="1543"/>
        <v>-</v>
      </c>
      <c r="P1391" s="1" t="str">
        <f t="shared" si="1531"/>
        <v>-</v>
      </c>
      <c r="Q1391" s="1" t="str">
        <f t="shared" si="1531"/>
        <v>-</v>
      </c>
      <c r="S1391" s="3"/>
    </row>
    <row r="1392" spans="2:19" x14ac:dyDescent="0.5">
      <c r="B1392" s="5" t="str">
        <f t="shared" si="1507"/>
        <v>SPS1</v>
      </c>
      <c r="C1392" s="5" t="str">
        <f t="shared" si="1508"/>
        <v>CH</v>
      </c>
      <c r="D1392" t="s">
        <v>1386</v>
      </c>
      <c r="E1392" t="s">
        <v>1229</v>
      </c>
      <c r="F1392" s="1">
        <f t="shared" ref="F1392:K1392" si="1544">IFERROR(F1368/F1339,"-")</f>
        <v>5.7949527986548711E-2</v>
      </c>
      <c r="G1392" s="1">
        <f t="shared" si="1544"/>
        <v>5.8196509493866351E-2</v>
      </c>
      <c r="H1392" s="1">
        <f t="shared" si="1544"/>
        <v>6.0281577076966616E-2</v>
      </c>
      <c r="I1392" s="1" t="str">
        <f t="shared" si="1544"/>
        <v>-</v>
      </c>
      <c r="J1392" s="1" t="str">
        <f t="shared" si="1544"/>
        <v>-</v>
      </c>
      <c r="K1392" s="1" t="str">
        <f t="shared" si="1544"/>
        <v>-</v>
      </c>
      <c r="L1392" s="1" t="str">
        <f t="shared" ref="L1392:O1392" si="1545">IFERROR(L1368/L1339,"-")</f>
        <v>-</v>
      </c>
      <c r="M1392" s="1" t="str">
        <f t="shared" si="1545"/>
        <v>-</v>
      </c>
      <c r="N1392" s="1" t="str">
        <f t="shared" si="1545"/>
        <v>-</v>
      </c>
      <c r="O1392" s="1" t="str">
        <f t="shared" si="1545"/>
        <v>-</v>
      </c>
      <c r="P1392" s="1" t="str">
        <f t="shared" si="1531"/>
        <v>-</v>
      </c>
      <c r="Q1392" s="1" t="str">
        <f t="shared" si="1531"/>
        <v>-</v>
      </c>
      <c r="S1392" s="3"/>
    </row>
    <row r="1393" spans="2:19" x14ac:dyDescent="0.5">
      <c r="B1393" s="5" t="str">
        <f t="shared" si="1507"/>
        <v>SPS1</v>
      </c>
      <c r="C1393" s="5" t="str">
        <f t="shared" si="1508"/>
        <v>CH</v>
      </c>
      <c r="D1393" t="s">
        <v>1387</v>
      </c>
      <c r="E1393" t="s">
        <v>1229</v>
      </c>
      <c r="F1393" s="1">
        <f t="shared" ref="F1393:K1393" si="1546">IFERROR(F1369/F1340,"-")</f>
        <v>3.864648138794749E-2</v>
      </c>
      <c r="G1393" s="1">
        <f t="shared" si="1546"/>
        <v>3.8879191148174758E-2</v>
      </c>
      <c r="H1393" s="1">
        <f t="shared" si="1546"/>
        <v>3.9218175248889708E-2</v>
      </c>
      <c r="I1393" s="1" t="str">
        <f t="shared" si="1546"/>
        <v>-</v>
      </c>
      <c r="J1393" s="1" t="str">
        <f t="shared" si="1546"/>
        <v>-</v>
      </c>
      <c r="K1393" s="1" t="str">
        <f t="shared" si="1546"/>
        <v>-</v>
      </c>
      <c r="L1393" s="1" t="str">
        <f t="shared" ref="L1393:O1393" si="1547">IFERROR(L1369/L1340,"-")</f>
        <v>-</v>
      </c>
      <c r="M1393" s="1" t="str">
        <f t="shared" si="1547"/>
        <v>-</v>
      </c>
      <c r="N1393" s="1" t="str">
        <f t="shared" si="1547"/>
        <v>-</v>
      </c>
      <c r="O1393" s="1" t="str">
        <f t="shared" si="1547"/>
        <v>-</v>
      </c>
      <c r="P1393" s="1" t="str">
        <f t="shared" si="1531"/>
        <v>-</v>
      </c>
      <c r="Q1393" s="1" t="str">
        <f t="shared" si="1531"/>
        <v>-</v>
      </c>
      <c r="S1393" s="3"/>
    </row>
    <row r="1394" spans="2:19" x14ac:dyDescent="0.5">
      <c r="B1394" s="5" t="str">
        <f t="shared" si="1507"/>
        <v>SPS1</v>
      </c>
      <c r="C1394" s="5" t="str">
        <f t="shared" si="1508"/>
        <v>CH</v>
      </c>
      <c r="D1394" t="s">
        <v>2006</v>
      </c>
      <c r="E1394" t="s">
        <v>1229</v>
      </c>
      <c r="F1394" s="1">
        <f>IFERROR(F1370/F1346,"-")</f>
        <v>13.968680714886807</v>
      </c>
      <c r="G1394" s="1">
        <f t="shared" ref="G1394:K1394" si="1548">IFERROR(G1370/G1346,"-")</f>
        <v>11.186996076539065</v>
      </c>
      <c r="H1394" s="1">
        <f t="shared" si="1548"/>
        <v>7.0144691190174777</v>
      </c>
      <c r="I1394" s="1" t="str">
        <f t="shared" si="1548"/>
        <v>-</v>
      </c>
      <c r="J1394" s="1" t="str">
        <f t="shared" si="1548"/>
        <v>-</v>
      </c>
      <c r="K1394" s="1" t="str">
        <f t="shared" si="1548"/>
        <v>-</v>
      </c>
      <c r="L1394" s="1" t="str">
        <f t="shared" ref="L1394:O1394" si="1549">IFERROR(L1370/L1346,"-")</f>
        <v>-</v>
      </c>
      <c r="M1394" s="1" t="str">
        <f t="shared" si="1549"/>
        <v>-</v>
      </c>
      <c r="N1394" s="1" t="str">
        <f t="shared" si="1549"/>
        <v>-</v>
      </c>
      <c r="O1394" s="1" t="str">
        <f t="shared" si="1549"/>
        <v>-</v>
      </c>
      <c r="P1394" s="1" t="str">
        <f t="shared" ref="P1394:Q1398" si="1550">IFERROR(P1370/P1346,"-")</f>
        <v>-</v>
      </c>
      <c r="Q1394" s="1" t="str">
        <f t="shared" si="1550"/>
        <v>-</v>
      </c>
      <c r="S1394" s="3"/>
    </row>
    <row r="1395" spans="2:19" x14ac:dyDescent="0.5">
      <c r="B1395" s="5" t="str">
        <f t="shared" si="1507"/>
        <v>SPS1</v>
      </c>
      <c r="C1395" s="5" t="str">
        <f t="shared" si="1508"/>
        <v>CH</v>
      </c>
      <c r="D1395" t="s">
        <v>1388</v>
      </c>
      <c r="E1395" t="s">
        <v>1229</v>
      </c>
      <c r="F1395" s="1" t="str">
        <f t="shared" ref="F1395:K1395" si="1551">IFERROR(F1371/F1347,"-")</f>
        <v>-</v>
      </c>
      <c r="G1395" s="1">
        <f t="shared" si="1551"/>
        <v>0.12023751974847222</v>
      </c>
      <c r="H1395" s="1">
        <f t="shared" si="1551"/>
        <v>0.12503403128015991</v>
      </c>
      <c r="I1395" s="1" t="str">
        <f t="shared" si="1551"/>
        <v>-</v>
      </c>
      <c r="J1395" s="1" t="str">
        <f t="shared" si="1551"/>
        <v>-</v>
      </c>
      <c r="K1395" s="1" t="str">
        <f t="shared" si="1551"/>
        <v>-</v>
      </c>
      <c r="L1395" s="1" t="str">
        <f t="shared" ref="L1395:O1395" si="1552">IFERROR(L1371/L1347,"-")</f>
        <v>-</v>
      </c>
      <c r="M1395" s="1" t="str">
        <f t="shared" si="1552"/>
        <v>-</v>
      </c>
      <c r="N1395" s="1" t="str">
        <f t="shared" si="1552"/>
        <v>-</v>
      </c>
      <c r="O1395" s="1" t="str">
        <f t="shared" si="1552"/>
        <v>-</v>
      </c>
      <c r="P1395" s="1" t="str">
        <f t="shared" si="1550"/>
        <v>-</v>
      </c>
      <c r="Q1395" s="1" t="str">
        <f t="shared" si="1550"/>
        <v>-</v>
      </c>
      <c r="S1395" s="3"/>
    </row>
    <row r="1396" spans="2:19" x14ac:dyDescent="0.5">
      <c r="B1396" s="5" t="str">
        <f t="shared" si="1507"/>
        <v>SPS1</v>
      </c>
      <c r="C1396" s="5" t="str">
        <f t="shared" si="1508"/>
        <v>CH</v>
      </c>
      <c r="D1396" t="s">
        <v>1389</v>
      </c>
      <c r="E1396" t="s">
        <v>1229</v>
      </c>
      <c r="F1396" s="1" t="str">
        <f t="shared" ref="F1396:K1396" si="1553">IFERROR(F1372/F1348,"-")</f>
        <v>-</v>
      </c>
      <c r="G1396" s="1">
        <f t="shared" si="1553"/>
        <v>8.4998076233608735E-2</v>
      </c>
      <c r="H1396" s="1">
        <f t="shared" si="1553"/>
        <v>8.8958945954401791E-2</v>
      </c>
      <c r="I1396" s="1" t="str">
        <f t="shared" si="1553"/>
        <v>-</v>
      </c>
      <c r="J1396" s="1" t="str">
        <f t="shared" si="1553"/>
        <v>-</v>
      </c>
      <c r="K1396" s="1" t="str">
        <f t="shared" si="1553"/>
        <v>-</v>
      </c>
      <c r="L1396" s="1" t="str">
        <f t="shared" ref="L1396:O1396" si="1554">IFERROR(L1372/L1348,"-")</f>
        <v>-</v>
      </c>
      <c r="M1396" s="1" t="str">
        <f t="shared" si="1554"/>
        <v>-</v>
      </c>
      <c r="N1396" s="1" t="str">
        <f t="shared" si="1554"/>
        <v>-</v>
      </c>
      <c r="O1396" s="1" t="str">
        <f t="shared" si="1554"/>
        <v>-</v>
      </c>
      <c r="P1396" s="1" t="str">
        <f t="shared" si="1550"/>
        <v>-</v>
      </c>
      <c r="Q1396" s="1" t="str">
        <f t="shared" si="1550"/>
        <v>-</v>
      </c>
      <c r="S1396" s="3"/>
    </row>
    <row r="1397" spans="2:19" x14ac:dyDescent="0.5">
      <c r="B1397" s="5" t="str">
        <f t="shared" si="1507"/>
        <v>SPS1</v>
      </c>
      <c r="C1397" s="5" t="str">
        <f t="shared" si="1508"/>
        <v>CH</v>
      </c>
      <c r="D1397" t="s">
        <v>1390</v>
      </c>
      <c r="E1397" t="s">
        <v>1229</v>
      </c>
      <c r="F1397" s="1" t="str">
        <f t="shared" ref="F1397:K1397" si="1555">IFERROR(F1373/F1349,"-")</f>
        <v>-</v>
      </c>
      <c r="G1397" s="1">
        <f t="shared" si="1555"/>
        <v>5.6422133461237117E-2</v>
      </c>
      <c r="H1397" s="1">
        <f t="shared" si="1555"/>
        <v>5.9334305344856529E-2</v>
      </c>
      <c r="I1397" s="1" t="str">
        <f t="shared" si="1555"/>
        <v>-</v>
      </c>
      <c r="J1397" s="1" t="str">
        <f t="shared" si="1555"/>
        <v>-</v>
      </c>
      <c r="K1397" s="1" t="str">
        <f t="shared" si="1555"/>
        <v>-</v>
      </c>
      <c r="L1397" s="1" t="str">
        <f t="shared" ref="L1397:O1397" si="1556">IFERROR(L1373/L1349,"-")</f>
        <v>-</v>
      </c>
      <c r="M1397" s="1" t="str">
        <f t="shared" si="1556"/>
        <v>-</v>
      </c>
      <c r="N1397" s="1" t="str">
        <f t="shared" si="1556"/>
        <v>-</v>
      </c>
      <c r="O1397" s="1" t="str">
        <f t="shared" si="1556"/>
        <v>-</v>
      </c>
      <c r="P1397" s="1" t="str">
        <f t="shared" si="1550"/>
        <v>-</v>
      </c>
      <c r="Q1397" s="1" t="str">
        <f t="shared" si="1550"/>
        <v>-</v>
      </c>
      <c r="S1397" s="3"/>
    </row>
    <row r="1398" spans="2:19" x14ac:dyDescent="0.5">
      <c r="B1398" s="5" t="str">
        <f t="shared" si="1507"/>
        <v>SPS1</v>
      </c>
      <c r="C1398" s="5" t="str">
        <f t="shared" si="1508"/>
        <v>CH</v>
      </c>
      <c r="D1398" t="s">
        <v>1391</v>
      </c>
      <c r="E1398" t="s">
        <v>1229</v>
      </c>
      <c r="F1398" s="1" t="str">
        <f t="shared" ref="F1398:K1398" si="1557">IFERROR(F1374/F1350,"-")</f>
        <v>-</v>
      </c>
      <c r="G1398" s="1">
        <f t="shared" si="1557"/>
        <v>3.7689157759834363E-2</v>
      </c>
      <c r="H1398" s="1">
        <f t="shared" si="1557"/>
        <v>3.8905225550255981E-2</v>
      </c>
      <c r="I1398" s="1" t="str">
        <f t="shared" si="1557"/>
        <v>-</v>
      </c>
      <c r="J1398" s="1" t="str">
        <f t="shared" si="1557"/>
        <v>-</v>
      </c>
      <c r="K1398" s="1">
        <f t="shared" si="1557"/>
        <v>4.7499172390542389E-2</v>
      </c>
      <c r="L1398" s="1" t="str">
        <f t="shared" ref="L1398:O1398" si="1558">IFERROR(L1374/L1350,"-")</f>
        <v>-</v>
      </c>
      <c r="M1398" s="1" t="str">
        <f t="shared" si="1558"/>
        <v>-</v>
      </c>
      <c r="N1398" s="1" t="str">
        <f t="shared" si="1558"/>
        <v>-</v>
      </c>
      <c r="O1398" s="1" t="str">
        <f t="shared" si="1558"/>
        <v>-</v>
      </c>
      <c r="P1398" s="1" t="str">
        <f t="shared" si="1550"/>
        <v>-</v>
      </c>
      <c r="Q1398" s="1" t="str">
        <f t="shared" si="1550"/>
        <v>-</v>
      </c>
      <c r="S1398" s="3"/>
    </row>
    <row r="1399" spans="2:19" x14ac:dyDescent="0.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0.8134330875322231</v>
      </c>
      <c r="G1399" s="3">
        <f t="shared" ref="G1399" si="1559">G1400+G1406+G1411+G1425</f>
        <v>0.84612186294989289</v>
      </c>
      <c r="H1399" s="3">
        <f t="shared" ref="H1399" si="1560">H1400+H1406+H1411+H1425</f>
        <v>1.0391374446295327</v>
      </c>
      <c r="I1399" s="3">
        <f t="shared" ref="I1399" si="1561">I1400+I1406+I1411+I1425</f>
        <v>0.38162205761376022</v>
      </c>
      <c r="J1399" s="3">
        <f t="shared" ref="J1399" si="1562">J1400+J1406+J1411+J1425</f>
        <v>0.37045072526534178</v>
      </c>
      <c r="K1399" s="3">
        <f t="shared" ref="K1399" si="1563">K1400+K1406+K1411+K1425</f>
        <v>0.35430595200059051</v>
      </c>
      <c r="L1399" s="3">
        <f t="shared" ref="L1399:O1399" si="1564">L1400+L1406+L1411+L1425</f>
        <v>0.34385172596780517</v>
      </c>
      <c r="M1399" s="3">
        <f t="shared" si="1564"/>
        <v>0.32446129666850854</v>
      </c>
      <c r="N1399" s="3">
        <f t="shared" si="1564"/>
        <v>0.32683267506970315</v>
      </c>
      <c r="O1399" s="3">
        <f t="shared" si="1564"/>
        <v>0.33446955573104725</v>
      </c>
      <c r="P1399" s="3">
        <f>P1400+P1406+P1411+P1425</f>
        <v>0.34377038075851124</v>
      </c>
      <c r="Q1399" s="3">
        <f>Q1400+Q1406+Q1411+Q1425</f>
        <v>0.35273249547913188</v>
      </c>
      <c r="S1399" s="3"/>
    </row>
    <row r="1400" spans="2:19" x14ac:dyDescent="0.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1.2108557542259029E-3</v>
      </c>
      <c r="G1400" s="1">
        <f t="shared" ref="G1400" si="1565">SUM(G1401:G1405)</f>
        <v>2.2690319912771258E-3</v>
      </c>
      <c r="H1400" s="1">
        <f t="shared" ref="H1400" si="1566">SUM(H1401:H1405)</f>
        <v>3.0745199251932345E-3</v>
      </c>
      <c r="I1400" s="1">
        <f t="shared" ref="I1400" si="1567">SUM(I1401:I1405)</f>
        <v>0.37730643241541467</v>
      </c>
      <c r="J1400" s="1">
        <f t="shared" ref="J1400" si="1568">SUM(J1401:J1405)</f>
        <v>0.37045072526534178</v>
      </c>
      <c r="K1400" s="1">
        <f t="shared" ref="K1400" si="1569">SUM(K1401:K1405)</f>
        <v>0.35430016489649852</v>
      </c>
      <c r="L1400" s="1">
        <f t="shared" ref="L1400:O1400" si="1570">SUM(L1401:L1405)</f>
        <v>0.3419647662522573</v>
      </c>
      <c r="M1400" s="1">
        <f t="shared" si="1570"/>
        <v>0.32257899407696161</v>
      </c>
      <c r="N1400" s="1">
        <f t="shared" si="1570"/>
        <v>0.32683267506970315</v>
      </c>
      <c r="O1400" s="1">
        <f t="shared" si="1570"/>
        <v>0.33446955573104725</v>
      </c>
      <c r="P1400" s="1">
        <f>SUM(P1401:P1405)</f>
        <v>0.34377038075851124</v>
      </c>
      <c r="Q1400" s="1">
        <f>SUM(Q1401:Q1405)</f>
        <v>0.35273249547913188</v>
      </c>
      <c r="S1400" s="3"/>
    </row>
    <row r="1401" spans="2:19" x14ac:dyDescent="0.5">
      <c r="B1401" s="5" t="str">
        <f t="shared" ref="B1401:B1434" si="1571">B1400</f>
        <v>SPS1</v>
      </c>
      <c r="C1401" s="5" t="str">
        <f t="shared" ref="C1401:C1434" si="1572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M1401" s="1" cm="1">
        <f t="array" ref="M1401">SUMPRODUCT(("T_B_c-BeVELCEXT"=[1]OUT_TransportEnergyCons!$A$3:$A$1000)*1,("Var_Fin"=[1]OUT_TransportEnergyCons!$B$3:$B$1000)*1,ISNUMBER(SEARCH("ELC",[1]OUT_TransportEnergyCons!$C$3:$C$1000))*1,[1]OUT_TransportEnergyCons!K$3:K$1000)</f>
        <v>0</v>
      </c>
      <c r="N1401" s="1" cm="1">
        <f t="array" ref="N1401">SUMPRODUCT(("T_B_c-BeVELCEXT"=[1]OUT_TransportEnergyCons!$A$3:$A$1000)*1,("Var_Fin"=[1]OUT_TransportEnergyCons!$B$3:$B$1000)*1,ISNUMBER(SEARCH("ELC",[1]OUT_TransportEnergyCons!$C$3:$C$1000))*1,[1]OUT_TransportEnergyCons!L$3:L$1000)</f>
        <v>0</v>
      </c>
      <c r="O1401" s="1" cm="1">
        <f t="array" ref="O1401">SUMPRODUCT(("T_B_c-BeVELCEXT"=[1]OUT_TransportEnergyCons!$A$3:$A$1000)*1,("Var_Fin"=[1]OUT_TransportEnergyCons!$B$3:$B$1000)*1,ISNUMBER(SEARCH("ELC",[1]OUT_TransportEnergyCons!$C$3:$C$1000))*1,[1]OUT_TransportEnergyCons!M$3:M$1000)</f>
        <v>0</v>
      </c>
      <c r="P1401" s="1" cm="1">
        <f t="array" ref="P1401">SUMPRODUCT(("T_B_c-BeVELCEXT"=[1]OUT_TransportEnergyCons!$A$3:$A$1000)*1,("Var_Fin"=[1]OUT_TransportEnergyCons!$B$3:$B$1000)*1,ISNUMBER(SEARCH("ELC",[1]OUT_TransportEnergyCons!$C$3:$C$1000))*1,[1]OUT_TransportEnergyCons!N$3:N$1000)</f>
        <v>0</v>
      </c>
      <c r="Q1401" s="1" cm="1">
        <f t="array" ref="Q1401">SUMPRODUCT(("T_B_c-BeVELCEXT"=[1]OUT_TransportEnergyCons!$A$3:$A$1000)*1,("Var_Fin"=[1]OUT_TransportEnergyCons!$B$3:$B$1000)*1,ISNUMBER(SEARCH("ELC",[1]OUT_TransportEnergyCons!$C$3:$C$1000))*1,[1]OUT_TransportEnergyCons!O$3:O$1000)</f>
        <v>0</v>
      </c>
      <c r="S1401" s="3"/>
    </row>
    <row r="1402" spans="2:19" x14ac:dyDescent="0.5">
      <c r="B1402" s="5" t="str">
        <f t="shared" si="1571"/>
        <v>SPS1</v>
      </c>
      <c r="C1402" s="5" t="str">
        <f t="shared" si="1572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3.6581392732276132E-4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1.1776774547234998E-3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1.7066837338925549E-3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0.14345446476972951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0.1377431336464924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0.13756911317543138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0.13127054506444313</v>
      </c>
      <c r="M1402" s="1" cm="1">
        <f t="array" ref="M1402">SUMPRODUCT(("T_B_c-BEVELC-S1"=[1]OUT_TransportEnergyCons!$A$3:$A$1000)*1,("Var_Fin"=[1]OUT_TransportEnergyCons!$B$3:$B$1000)*1,ISNUMBER(SEARCH("ELC",[1]OUT_TransportEnergyCons!$C$3:$C$1000))*1,[1]OUT_TransportEnergyCons!K$3:K$1000)</f>
        <v>0.12221480349789864</v>
      </c>
      <c r="N1402" s="1" cm="1">
        <f t="array" ref="N1402">SUMPRODUCT(("T_B_c-BEVELC-S1"=[1]OUT_TransportEnergyCons!$A$3:$A$1000)*1,("Var_Fin"=[1]OUT_TransportEnergyCons!$B$3:$B$1000)*1,ISNUMBER(SEARCH("ELC",[1]OUT_TransportEnergyCons!$C$3:$C$1000))*1,[1]OUT_TransportEnergyCons!L$3:L$1000)</f>
        <v>0.12513748548442133</v>
      </c>
      <c r="O1402" s="1" cm="1">
        <f t="array" ref="O1402">SUMPRODUCT(("T_B_c-BEVELC-S1"=[1]OUT_TransportEnergyCons!$A$3:$A$1000)*1,("Var_Fin"=[1]OUT_TransportEnergyCons!$B$3:$B$1000)*1,ISNUMBER(SEARCH("ELC",[1]OUT_TransportEnergyCons!$C$3:$C$1000))*1,[1]OUT_TransportEnergyCons!M$3:M$1000)</f>
        <v>0.12764707401288319</v>
      </c>
      <c r="P1402" s="1" cm="1">
        <f t="array" ref="P1402">SUMPRODUCT(("T_B_c-BEVELC-S1"=[1]OUT_TransportEnergyCons!$A$3:$A$1000)*1,("Var_Fin"=[1]OUT_TransportEnergyCons!$B$3:$B$1000)*1,ISNUMBER(SEARCH("ELC",[1]OUT_TransportEnergyCons!$C$3:$C$1000))*1,[1]OUT_TransportEnergyCons!N$3:N$1000)</f>
        <v>0.13115847526538715</v>
      </c>
      <c r="Q1402" s="1" cm="1">
        <f t="array" ref="Q1402">SUMPRODUCT(("T_B_c-BEVELC-S1"=[1]OUT_TransportEnergyCons!$A$3:$A$1000)*1,("Var_Fin"=[1]OUT_TransportEnergyCons!$B$3:$B$1000)*1,ISNUMBER(SEARCH("ELC",[1]OUT_TransportEnergyCons!$C$3:$C$1000))*1,[1]OUT_TransportEnergyCons!O$3:O$1000)</f>
        <v>0.13452795672649606</v>
      </c>
      <c r="S1402" s="3"/>
    </row>
    <row r="1403" spans="2:19" x14ac:dyDescent="0.5">
      <c r="B1403" s="5" t="str">
        <f t="shared" si="1571"/>
        <v>SPS1</v>
      </c>
      <c r="C1403" s="5" t="str">
        <f t="shared" si="1572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6.1686976838255456E-4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7.5437178178395018E-4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9.2292070742822367E-4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0.17698319155546119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0.17643053669031786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0.16452155752714789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0.15960912078005343</v>
      </c>
      <c r="M1403" s="1" cm="1">
        <f t="array" ref="M1403">SUMPRODUCT(("T_B_c-BEVELC-S2"=[1]OUT_TransportEnergyCons!$A$3:$A$1000)*1,("Var_Fin"=[1]OUT_TransportEnergyCons!$B$3:$B$1000)*1,ISNUMBER(SEARCH("ELC",[1]OUT_TransportEnergyCons!$C$3:$C$1000))*1,[1]OUT_TransportEnergyCons!K$3:K$1000)</f>
        <v>0.15232768515675107</v>
      </c>
      <c r="N1403" s="1" cm="1">
        <f t="array" ref="N1403">SUMPRODUCT(("T_B_c-BEVELC-S2"=[1]OUT_TransportEnergyCons!$A$3:$A$1000)*1,("Var_Fin"=[1]OUT_TransportEnergyCons!$B$3:$B$1000)*1,ISNUMBER(SEARCH("ELC",[1]OUT_TransportEnergyCons!$C$3:$C$1000))*1,[1]OUT_TransportEnergyCons!L$3:L$1000)</f>
        <v>0.15274270415855226</v>
      </c>
      <c r="O1403" s="1" cm="1">
        <f t="array" ref="O1403">SUMPRODUCT(("T_B_c-BEVELC-S2"=[1]OUT_TransportEnergyCons!$A$3:$A$1000)*1,("Var_Fin"=[1]OUT_TransportEnergyCons!$B$3:$B$1000)*1,ISNUMBER(SEARCH("ELC",[1]OUT_TransportEnergyCons!$C$3:$C$1000))*1,[1]OUT_TransportEnergyCons!M$3:M$1000)</f>
        <v>0.15653061158322748</v>
      </c>
      <c r="P1403" s="1" cm="1">
        <f t="array" ref="P1403">SUMPRODUCT(("T_B_c-BEVELC-S2"=[1]OUT_TransportEnergyCons!$A$3:$A$1000)*1,("Var_Fin"=[1]OUT_TransportEnergyCons!$B$3:$B$1000)*1,ISNUMBER(SEARCH("ELC",[1]OUT_TransportEnergyCons!$C$3:$C$1000))*1,[1]OUT_TransportEnergyCons!N$3:N$1000)</f>
        <v>0.16086225806439752</v>
      </c>
      <c r="Q1403" s="1" cm="1">
        <f t="array" ref="Q1403">SUMPRODUCT(("T_B_c-BEVELC-S2"=[1]OUT_TransportEnergyCons!$A$3:$A$1000)*1,("Var_Fin"=[1]OUT_TransportEnergyCons!$B$3:$B$1000)*1,ISNUMBER(SEARCH("ELC",[1]OUT_TransportEnergyCons!$C$3:$C$1000))*1,[1]OUT_TransportEnergyCons!O$3:O$1000)</f>
        <v>0.16502903100390459</v>
      </c>
      <c r="S1403" s="3"/>
    </row>
    <row r="1404" spans="2:19" x14ac:dyDescent="0.5">
      <c r="B1404" s="5" t="str">
        <f t="shared" si="1571"/>
        <v>SPS1</v>
      </c>
      <c r="C1404" s="5" t="str">
        <f t="shared" si="1572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2.281720585205871E-4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3.0149458867790408E-4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3.8584529045041952E-4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5.6852869994204962E-2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5.6244817194509945E-2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5.209770273331743E-2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5.0959204059975637E-2</v>
      </c>
      <c r="M1404" s="1" cm="1">
        <f t="array" ref="M1404">SUMPRODUCT(("T_B_c-BEVELC-S3"=[1]OUT_TransportEnergyCons!$A$3:$A$1000)*1,("Var_Fin"=[1]OUT_TransportEnergyCons!$B$3:$B$1000)*1,ISNUMBER(SEARCH("ELC",[1]OUT_TransportEnergyCons!$C$3:$C$1000))*1,[1]OUT_TransportEnergyCons!K$3:K$1000)</f>
        <v>4.7866329666222993E-2</v>
      </c>
      <c r="N1404" s="1" cm="1">
        <f t="array" ref="N1404">SUMPRODUCT(("T_B_c-BEVELC-S3"=[1]OUT_TransportEnergyCons!$A$3:$A$1000)*1,("Var_Fin"=[1]OUT_TransportEnergyCons!$B$3:$B$1000)*1,ISNUMBER(SEARCH("ELC",[1]OUT_TransportEnergyCons!$C$3:$C$1000))*1,[1]OUT_TransportEnergyCons!L$3:L$1000)</f>
        <v>4.8781176619972444E-2</v>
      </c>
      <c r="O1404" s="1" cm="1">
        <f t="array" ref="O1404">SUMPRODUCT(("T_B_c-BEVELC-S3"=[1]OUT_TransportEnergyCons!$A$3:$A$1000)*1,("Var_Fin"=[1]OUT_TransportEnergyCons!$B$3:$B$1000)*1,ISNUMBER(SEARCH("ELC",[1]OUT_TransportEnergyCons!$C$3:$C$1000))*1,[1]OUT_TransportEnergyCons!M$3:M$1000)</f>
        <v>5.0116870064815834E-2</v>
      </c>
      <c r="P1404" s="1" cm="1">
        <f t="array" ref="P1404">SUMPRODUCT(("T_B_c-BEVELC-S3"=[1]OUT_TransportEnergyCons!$A$3:$A$1000)*1,("Var_Fin"=[1]OUT_TransportEnergyCons!$B$3:$B$1000)*1,ISNUMBER(SEARCH("ELC",[1]OUT_TransportEnergyCons!$C$3:$C$1000))*1,[1]OUT_TransportEnergyCons!N$3:N$1000)</f>
        <v>5.1503747659578547E-2</v>
      </c>
      <c r="Q1404" s="1" cm="1">
        <f t="array" ref="Q1404">SUMPRODUCT(("T_B_c-BEVELC-S3"=[1]OUT_TransportEnergyCons!$A$3:$A$1000)*1,("Var_Fin"=[1]OUT_TransportEnergyCons!$B$3:$B$1000)*1,ISNUMBER(SEARCH("ELC",[1]OUT_TransportEnergyCons!$C$3:$C$1000))*1,[1]OUT_TransportEnergyCons!O$3:O$1000)</f>
        <v>5.2837941928339884E-2</v>
      </c>
      <c r="S1404" s="3"/>
    </row>
    <row r="1405" spans="2:19" x14ac:dyDescent="0.5">
      <c r="B1405" s="5" t="str">
        <f t="shared" si="1571"/>
        <v>SPS1</v>
      </c>
      <c r="C1405" s="5" t="str">
        <f t="shared" si="1572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3.5488166091771978E-5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5.907019342203648E-5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1.590609601898691E-5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3.2237734021542288E-5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1.1179146060183006E-4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1.2589634778514618E-4</v>
      </c>
      <c r="M1405" s="1" cm="1">
        <f t="array" ref="M1405">SUMPRODUCT(("T_B_c-BEVELC-S4"=[1]OUT_TransportEnergyCons!$A$3:$A$1000)*1,("Var_Fin"=[1]OUT_TransportEnergyCons!$B$3:$B$1000)*1,ISNUMBER(SEARCH("ELC",[1]OUT_TransportEnergyCons!$C$3:$C$1000))*1,[1]OUT_TransportEnergyCons!K$3:K$1000)</f>
        <v>1.7017575608889543E-4</v>
      </c>
      <c r="N1405" s="1" cm="1">
        <f t="array" ref="N1405">SUMPRODUCT(("T_B_c-BEVELC-S4"=[1]OUT_TransportEnergyCons!$A$3:$A$1000)*1,("Var_Fin"=[1]OUT_TransportEnergyCons!$B$3:$B$1000)*1,ISNUMBER(SEARCH("ELC",[1]OUT_TransportEnergyCons!$C$3:$C$1000))*1,[1]OUT_TransportEnergyCons!L$3:L$1000)</f>
        <v>1.7130880675712273E-4</v>
      </c>
      <c r="O1405" s="1" cm="1">
        <f t="array" ref="O1405">SUMPRODUCT(("T_B_c-BEVELC-S4"=[1]OUT_TransportEnergyCons!$A$3:$A$1000)*1,("Var_Fin"=[1]OUT_TransportEnergyCons!$B$3:$B$1000)*1,ISNUMBER(SEARCH("ELC",[1]OUT_TransportEnergyCons!$C$3:$C$1000))*1,[1]OUT_TransportEnergyCons!M$3:M$1000)</f>
        <v>1.7500007012069809E-4</v>
      </c>
      <c r="P1405" s="1" cm="1">
        <f t="array" ref="P1405">SUMPRODUCT(("T_B_c-BEVELC-S4"=[1]OUT_TransportEnergyCons!$A$3:$A$1000)*1,("Var_Fin"=[1]OUT_TransportEnergyCons!$B$3:$B$1000)*1,ISNUMBER(SEARCH("ELC",[1]OUT_TransportEnergyCons!$C$3:$C$1000))*1,[1]OUT_TransportEnergyCons!N$3:N$1000)</f>
        <v>2.4589976914802988E-4</v>
      </c>
      <c r="Q1405" s="1" cm="1">
        <f t="array" ref="Q1405">SUMPRODUCT(("T_B_c-BEVELC-S4"=[1]OUT_TransportEnergyCons!$A$3:$A$1000)*1,("Var_Fin"=[1]OUT_TransportEnergyCons!$B$3:$B$1000)*1,ISNUMBER(SEARCH("ELC",[1]OUT_TransportEnergyCons!$C$3:$C$1000))*1,[1]OUT_TransportEnergyCons!O$3:O$1000)</f>
        <v>3.3756582039134948E-4</v>
      </c>
      <c r="S1405" s="3"/>
    </row>
    <row r="1406" spans="2:19" x14ac:dyDescent="0.5">
      <c r="B1406" s="5" t="str">
        <f t="shared" si="1571"/>
        <v>SPS1</v>
      </c>
      <c r="C1406" s="5" t="str">
        <f t="shared" si="1572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573">SUM(G1407:G1410)</f>
        <v>0</v>
      </c>
      <c r="H1406" s="1">
        <f t="shared" ref="H1406" si="1574">SUM(H1407:H1410)</f>
        <v>0</v>
      </c>
      <c r="I1406" s="1">
        <f t="shared" ref="I1406" si="1575">SUM(I1407:I1410)</f>
        <v>0</v>
      </c>
      <c r="J1406" s="1">
        <f t="shared" ref="J1406" si="1576">SUM(J1407:J1410)</f>
        <v>0</v>
      </c>
      <c r="K1406" s="1">
        <f t="shared" ref="K1406" si="1577">SUM(K1407:K1410)</f>
        <v>0</v>
      </c>
      <c r="L1406" s="1">
        <f t="shared" ref="L1406:O1406" si="1578">SUM(L1407:L1410)</f>
        <v>0</v>
      </c>
      <c r="M1406" s="1">
        <f t="shared" si="1578"/>
        <v>0</v>
      </c>
      <c r="N1406" s="1">
        <f t="shared" si="1578"/>
        <v>0</v>
      </c>
      <c r="O1406" s="1">
        <f t="shared" si="1578"/>
        <v>0</v>
      </c>
      <c r="P1406" s="1">
        <f>SUM(P1407:P1410)</f>
        <v>0</v>
      </c>
      <c r="Q1406" s="1">
        <f>SUM(Q1407:Q1410)</f>
        <v>0</v>
      </c>
      <c r="S1406" s="3"/>
    </row>
    <row r="1407" spans="2:19" x14ac:dyDescent="0.5">
      <c r="B1407" s="5" t="str">
        <f t="shared" si="1571"/>
        <v>SPS1</v>
      </c>
      <c r="C1407" s="5" t="str">
        <f t="shared" si="1572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0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0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0</v>
      </c>
      <c r="M1407" s="1" cm="1">
        <f t="array" ref="M1407">SUMPRODUCT(("T_B_c-FCLH2O-S1"=[1]OUT_TransportEnergyCons!$A$3:$A$1000)*1,("Var_Fin"=[1]OUT_TransportEnergyCons!$B$3:$B$1000)*1,ISNUMBER(SEARCH("H2",[1]OUT_TransportEnergyCons!$C$3:$C$1000))*1,[1]OUT_TransportEnergyCons!K$3:K$1000)</f>
        <v>0</v>
      </c>
      <c r="N1407" s="1" cm="1">
        <f t="array" ref="N1407">SUMPRODUCT(("T_B_c-FCLH2O-S1"=[1]OUT_TransportEnergyCons!$A$3:$A$1000)*1,("Var_Fin"=[1]OUT_TransportEnergyCons!$B$3:$B$1000)*1,ISNUMBER(SEARCH("H2",[1]OUT_TransportEnergyCons!$C$3:$C$1000))*1,[1]OUT_TransportEnergyCons!L$3:L$1000)</f>
        <v>0</v>
      </c>
      <c r="O1407" s="1" cm="1">
        <f t="array" ref="O1407">SUMPRODUCT(("T_B_c-FCLH2O-S1"=[1]OUT_TransportEnergyCons!$A$3:$A$1000)*1,("Var_Fin"=[1]OUT_TransportEnergyCons!$B$3:$B$1000)*1,ISNUMBER(SEARCH("H2",[1]OUT_TransportEnergyCons!$C$3:$C$1000))*1,[1]OUT_TransportEnergyCons!M$3:M$1000)</f>
        <v>0</v>
      </c>
      <c r="P1407" s="1" cm="1">
        <f t="array" ref="P1407">SUMPRODUCT(("T_B_c-FCLH2O-S1"=[1]OUT_TransportEnergyCons!$A$3:$A$1000)*1,("Var_Fin"=[1]OUT_TransportEnergyCons!$B$3:$B$1000)*1,ISNUMBER(SEARCH("H2",[1]OUT_TransportEnergyCons!$C$3:$C$1000))*1,[1]OUT_TransportEnergyCons!N$3:N$1000)</f>
        <v>0</v>
      </c>
      <c r="Q1407" s="1" cm="1">
        <f t="array" ref="Q1407">SUMPRODUCT(("T_B_c-FCLH2O-S1"=[1]OUT_TransportEnergyCons!$A$3:$A$1000)*1,("Var_Fin"=[1]OUT_TransportEnergyCons!$B$3:$B$1000)*1,ISNUMBER(SEARCH("H2",[1]OUT_TransportEnergyCons!$C$3:$C$1000))*1,[1]OUT_TransportEnergyCons!O$3:O$1000)</f>
        <v>0</v>
      </c>
      <c r="S1407" s="3"/>
    </row>
    <row r="1408" spans="2:19" x14ac:dyDescent="0.5">
      <c r="B1408" s="5" t="str">
        <f t="shared" si="1571"/>
        <v>SPS1</v>
      </c>
      <c r="C1408" s="5" t="str">
        <f t="shared" si="1572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0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0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0</v>
      </c>
      <c r="M1408" s="1" cm="1">
        <f t="array" ref="M1408">SUMPRODUCT(("T_B_c-FCLH2O-S2"=[1]OUT_TransportEnergyCons!$A$3:$A$1000)*1,("Var_Fin"=[1]OUT_TransportEnergyCons!$B$3:$B$1000)*1,ISNUMBER(SEARCH("H2",[1]OUT_TransportEnergyCons!$C$3:$C$1000))*1,[1]OUT_TransportEnergyCons!K$3:K$1000)</f>
        <v>0</v>
      </c>
      <c r="N1408" s="1" cm="1">
        <f t="array" ref="N1408">SUMPRODUCT(("T_B_c-FCLH2O-S2"=[1]OUT_TransportEnergyCons!$A$3:$A$1000)*1,("Var_Fin"=[1]OUT_TransportEnergyCons!$B$3:$B$1000)*1,ISNUMBER(SEARCH("H2",[1]OUT_TransportEnergyCons!$C$3:$C$1000))*1,[1]OUT_TransportEnergyCons!L$3:L$1000)</f>
        <v>0</v>
      </c>
      <c r="O1408" s="1" cm="1">
        <f t="array" ref="O1408">SUMPRODUCT(("T_B_c-FCLH2O-S2"=[1]OUT_TransportEnergyCons!$A$3:$A$1000)*1,("Var_Fin"=[1]OUT_TransportEnergyCons!$B$3:$B$1000)*1,ISNUMBER(SEARCH("H2",[1]OUT_TransportEnergyCons!$C$3:$C$1000))*1,[1]OUT_TransportEnergyCons!M$3:M$1000)</f>
        <v>0</v>
      </c>
      <c r="P1408" s="1" cm="1">
        <f t="array" ref="P1408">SUMPRODUCT(("T_B_c-FCLH2O-S2"=[1]OUT_TransportEnergyCons!$A$3:$A$1000)*1,("Var_Fin"=[1]OUT_TransportEnergyCons!$B$3:$B$1000)*1,ISNUMBER(SEARCH("H2",[1]OUT_TransportEnergyCons!$C$3:$C$1000))*1,[1]OUT_TransportEnergyCons!N$3:N$1000)</f>
        <v>0</v>
      </c>
      <c r="Q1408" s="1" cm="1">
        <f t="array" ref="Q1408">SUMPRODUCT(("T_B_c-FCLH2O-S2"=[1]OUT_TransportEnergyCons!$A$3:$A$1000)*1,("Var_Fin"=[1]OUT_TransportEnergyCons!$B$3:$B$1000)*1,ISNUMBER(SEARCH("H2",[1]OUT_TransportEnergyCons!$C$3:$C$1000))*1,[1]OUT_TransportEnergyCons!O$3:O$1000)</f>
        <v>0</v>
      </c>
      <c r="S1408" s="3"/>
    </row>
    <row r="1409" spans="2:19" x14ac:dyDescent="0.5">
      <c r="B1409" s="5" t="str">
        <f t="shared" si="1571"/>
        <v>SPS1</v>
      </c>
      <c r="C1409" s="5" t="str">
        <f t="shared" si="1572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0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0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0</v>
      </c>
      <c r="M1409" s="1" cm="1">
        <f t="array" ref="M1409">SUMPRODUCT(("T_B_c-FCLH2O-S3"=[1]OUT_TransportEnergyCons!$A$3:$A$1000)*1,("Var_Fin"=[1]OUT_TransportEnergyCons!$B$3:$B$1000)*1,ISNUMBER(SEARCH("H2",[1]OUT_TransportEnergyCons!$C$3:$C$1000))*1,[1]OUT_TransportEnergyCons!K$3:K$1000)</f>
        <v>0</v>
      </c>
      <c r="N1409" s="1" cm="1">
        <f t="array" ref="N1409">SUMPRODUCT(("T_B_c-FCLH2O-S3"=[1]OUT_TransportEnergyCons!$A$3:$A$1000)*1,("Var_Fin"=[1]OUT_TransportEnergyCons!$B$3:$B$1000)*1,ISNUMBER(SEARCH("H2",[1]OUT_TransportEnergyCons!$C$3:$C$1000))*1,[1]OUT_TransportEnergyCons!L$3:L$1000)</f>
        <v>0</v>
      </c>
      <c r="O1409" s="1" cm="1">
        <f t="array" ref="O1409">SUMPRODUCT(("T_B_c-FCLH2O-S3"=[1]OUT_TransportEnergyCons!$A$3:$A$1000)*1,("Var_Fin"=[1]OUT_TransportEnergyCons!$B$3:$B$1000)*1,ISNUMBER(SEARCH("H2",[1]OUT_TransportEnergyCons!$C$3:$C$1000))*1,[1]OUT_TransportEnergyCons!M$3:M$1000)</f>
        <v>0</v>
      </c>
      <c r="P1409" s="1" cm="1">
        <f t="array" ref="P1409">SUMPRODUCT(("T_B_c-FCLH2O-S3"=[1]OUT_TransportEnergyCons!$A$3:$A$1000)*1,("Var_Fin"=[1]OUT_TransportEnergyCons!$B$3:$B$1000)*1,ISNUMBER(SEARCH("H2",[1]OUT_TransportEnergyCons!$C$3:$C$1000))*1,[1]OUT_TransportEnergyCons!N$3:N$1000)</f>
        <v>0</v>
      </c>
      <c r="Q1409" s="1" cm="1">
        <f t="array" ref="Q1409">SUMPRODUCT(("T_B_c-FCLH2O-S3"=[1]OUT_TransportEnergyCons!$A$3:$A$1000)*1,("Var_Fin"=[1]OUT_TransportEnergyCons!$B$3:$B$1000)*1,ISNUMBER(SEARCH("H2",[1]OUT_TransportEnergyCons!$C$3:$C$1000))*1,[1]OUT_TransportEnergyCons!O$3:O$1000)</f>
        <v>0</v>
      </c>
      <c r="S1409" s="3"/>
    </row>
    <row r="1410" spans="2:19" x14ac:dyDescent="0.5">
      <c r="B1410" s="5" t="str">
        <f t="shared" si="1571"/>
        <v>SPS1</v>
      </c>
      <c r="C1410" s="5" t="str">
        <f t="shared" si="1572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0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0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0</v>
      </c>
      <c r="M1410" s="1" cm="1">
        <f t="array" ref="M1410">SUMPRODUCT(("T_B_c-FCLH2O-S4"=[1]OUT_TransportEnergyCons!$A$3:$A$1000)*1,("Var_Fin"=[1]OUT_TransportEnergyCons!$B$3:$B$1000)*1,ISNUMBER(SEARCH("H2",[1]OUT_TransportEnergyCons!$C$3:$C$1000))*1,[1]OUT_TransportEnergyCons!K$3:K$1000)</f>
        <v>0</v>
      </c>
      <c r="N1410" s="1" cm="1">
        <f t="array" ref="N1410">SUMPRODUCT(("T_B_c-FCLH2O-S4"=[1]OUT_TransportEnergyCons!$A$3:$A$1000)*1,("Var_Fin"=[1]OUT_TransportEnergyCons!$B$3:$B$1000)*1,ISNUMBER(SEARCH("H2",[1]OUT_TransportEnergyCons!$C$3:$C$1000))*1,[1]OUT_TransportEnergyCons!L$3:L$1000)</f>
        <v>0</v>
      </c>
      <c r="O1410" s="1" cm="1">
        <f t="array" ref="O1410">SUMPRODUCT(("T_B_c-FCLH2O-S4"=[1]OUT_TransportEnergyCons!$A$3:$A$1000)*1,("Var_Fin"=[1]OUT_TransportEnergyCons!$B$3:$B$1000)*1,ISNUMBER(SEARCH("H2",[1]OUT_TransportEnergyCons!$C$3:$C$1000))*1,[1]OUT_TransportEnergyCons!M$3:M$1000)</f>
        <v>0</v>
      </c>
      <c r="P1410" s="1" cm="1">
        <f t="array" ref="P1410">SUMPRODUCT(("T_B_c-FCLH2O-S4"=[1]OUT_TransportEnergyCons!$A$3:$A$1000)*1,("Var_Fin"=[1]OUT_TransportEnergyCons!$B$3:$B$1000)*1,ISNUMBER(SEARCH("H2",[1]OUT_TransportEnergyCons!$C$3:$C$1000))*1,[1]OUT_TransportEnergyCons!N$3:N$1000)</f>
        <v>0</v>
      </c>
      <c r="Q1410" s="1" cm="1">
        <f t="array" ref="Q1410">SUMPRODUCT(("T_B_c-FCLH2O-S4"=[1]OUT_TransportEnergyCons!$A$3:$A$1000)*1,("Var_Fin"=[1]OUT_TransportEnergyCons!$B$3:$B$1000)*1,ISNUMBER(SEARCH("H2",[1]OUT_TransportEnergyCons!$C$3:$C$1000))*1,[1]OUT_TransportEnergyCons!O$3:O$1000)</f>
        <v>0</v>
      </c>
      <c r="S1410" s="3"/>
    </row>
    <row r="1411" spans="2:19" x14ac:dyDescent="0.5">
      <c r="B1411" s="5" t="str">
        <f t="shared" si="1571"/>
        <v>SPS1</v>
      </c>
      <c r="C1411" s="5" t="str">
        <f t="shared" si="1572"/>
        <v>CH</v>
      </c>
      <c r="D1411" t="s">
        <v>1406</v>
      </c>
      <c r="E1411" t="s">
        <v>8</v>
      </c>
      <c r="F1411" s="1">
        <f>SUM(F1416:F1424)</f>
        <v>0.81208510671599343</v>
      </c>
      <c r="G1411" s="1">
        <f t="shared" ref="G1411:K1411" si="1579">SUM(G1416:G1424)</f>
        <v>0.84330597396850959</v>
      </c>
      <c r="H1411" s="1">
        <f t="shared" si="1579"/>
        <v>1.0316491848941236</v>
      </c>
      <c r="I1411" s="1">
        <f t="shared" si="1579"/>
        <v>9.9448779564851437E-4</v>
      </c>
      <c r="J1411" s="1">
        <f t="shared" si="1579"/>
        <v>0</v>
      </c>
      <c r="K1411" s="1">
        <f t="shared" si="1579"/>
        <v>1.675158815567138E-6</v>
      </c>
      <c r="L1411" s="1">
        <f t="shared" ref="L1411:O1411" si="1580">SUM(L1416:L1424)</f>
        <v>4.0446533172916168E-4</v>
      </c>
      <c r="M1411" s="1">
        <f t="shared" si="1580"/>
        <v>4.0190814248054985E-4</v>
      </c>
      <c r="N1411" s="1">
        <f t="shared" si="1580"/>
        <v>0</v>
      </c>
      <c r="O1411" s="1">
        <f t="shared" si="1580"/>
        <v>0</v>
      </c>
      <c r="P1411" s="1">
        <f>SUM(P1416:P1424)</f>
        <v>0</v>
      </c>
      <c r="Q1411" s="1">
        <f>SUM(Q1416:Q1424)</f>
        <v>0</v>
      </c>
      <c r="S1411" s="3"/>
    </row>
    <row r="1412" spans="2:19" x14ac:dyDescent="0.5">
      <c r="B1412" s="5" t="str">
        <f t="shared" si="1571"/>
        <v>SPS1</v>
      </c>
      <c r="C1412" s="5" t="str">
        <f t="shared" si="1572"/>
        <v>CH</v>
      </c>
      <c r="D1412" t="s">
        <v>1407</v>
      </c>
      <c r="E1412" t="s">
        <v>8</v>
      </c>
      <c r="F1412" s="1">
        <f>IF(F1411-F1413&lt;0,0,F1411-F1413)</f>
        <v>0.79193433418024273</v>
      </c>
      <c r="G1412" s="1">
        <f t="shared" ref="G1412:K1412" si="1581">IF(G1411-G1413&lt;0,0,G1411-G1413)</f>
        <v>0.82116229326373791</v>
      </c>
      <c r="H1412" s="1">
        <f t="shared" si="1581"/>
        <v>0.9853564593835159</v>
      </c>
      <c r="I1412" s="1">
        <f t="shared" si="1581"/>
        <v>9.4837044328595387E-4</v>
      </c>
      <c r="J1412" s="1">
        <f t="shared" si="1581"/>
        <v>0</v>
      </c>
      <c r="K1412" s="1">
        <f t="shared" si="1581"/>
        <v>1.4901909739702198E-6</v>
      </c>
      <c r="L1412" s="1">
        <f t="shared" ref="L1412:O1412" si="1582">IF(L1411-L1413&lt;0,0,L1411-L1413)</f>
        <v>2.8857585394044516E-4</v>
      </c>
      <c r="M1412" s="1">
        <f t="shared" si="1582"/>
        <v>0</v>
      </c>
      <c r="N1412" s="1">
        <f t="shared" si="1582"/>
        <v>0</v>
      </c>
      <c r="O1412" s="1">
        <f t="shared" si="1582"/>
        <v>0</v>
      </c>
      <c r="P1412" s="1">
        <f>IF(P1411-P1413&lt;0,0,P1411-P1413)</f>
        <v>0</v>
      </c>
      <c r="Q1412" s="1">
        <f>IF(Q1411-Q1413&lt;0,0,Q1411-Q1413)</f>
        <v>0</v>
      </c>
      <c r="S1412" s="3"/>
    </row>
    <row r="1413" spans="2:19" x14ac:dyDescent="0.5">
      <c r="B1413" s="5" t="str">
        <f t="shared" si="1571"/>
        <v>SPS1</v>
      </c>
      <c r="C1413" s="5" t="str">
        <f t="shared" si="1572"/>
        <v>CH</v>
      </c>
      <c r="D1413" t="s">
        <v>1408</v>
      </c>
      <c r="E1413" t="s">
        <v>8</v>
      </c>
      <c r="F1413" s="1">
        <f>SUM(F1414:F1415)</f>
        <v>2.0150772535750733E-2</v>
      </c>
      <c r="G1413" s="1">
        <f t="shared" ref="G1413" si="1583">SUM(G1414:G1415)</f>
        <v>2.2143680704771688E-2</v>
      </c>
      <c r="H1413" s="1">
        <f t="shared" ref="H1413" si="1584">SUM(H1414:H1415)</f>
        <v>4.6292725510607667E-2</v>
      </c>
      <c r="I1413" s="1">
        <f t="shared" ref="I1413" si="1585">SUM(I1414:I1415)</f>
        <v>4.6117352362560509E-5</v>
      </c>
      <c r="J1413" s="1">
        <f t="shared" ref="J1413" si="1586">SUM(J1414:J1415)</f>
        <v>0</v>
      </c>
      <c r="K1413" s="1">
        <f t="shared" ref="K1413" si="1587">SUM(K1414:K1415)</f>
        <v>1.8496784159691814E-7</v>
      </c>
      <c r="L1413" s="1">
        <f t="shared" ref="L1413:O1413" si="1588">SUM(L1414:L1415)</f>
        <v>1.1588947778871654E-4</v>
      </c>
      <c r="M1413" s="1">
        <f t="shared" si="1588"/>
        <v>8.3990873358787143E-4</v>
      </c>
      <c r="N1413" s="1">
        <f t="shared" si="1588"/>
        <v>0</v>
      </c>
      <c r="O1413" s="1">
        <f t="shared" si="1588"/>
        <v>0</v>
      </c>
      <c r="P1413" s="1">
        <f>SUM(P1414:P1415)</f>
        <v>0</v>
      </c>
      <c r="Q1413" s="1">
        <f>SUM(Q1414:Q1415)</f>
        <v>0</v>
      </c>
      <c r="S1413" s="3"/>
    </row>
    <row r="1414" spans="2:19" x14ac:dyDescent="0.5">
      <c r="B1414" s="5" t="str">
        <f t="shared" si="1571"/>
        <v>SPS1</v>
      </c>
      <c r="C1414" s="5" t="str">
        <f t="shared" si="1572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2.0150772535750733E-2</v>
      </c>
      <c r="G1414" s="1">
        <f>[1]Transport!C$26/SUM([1]Transport!C$22,[1]Transport!C$26)*G1411*(G$34+G$582)/(G$34+G$582+G$38)</f>
        <v>2.2143680704771688E-2</v>
      </c>
      <c r="H1414" s="1">
        <f>[1]Transport!D$26/SUM([1]Transport!D$22,[1]Transport!D$26)*H1411*(H$34+H$582)/(H$34+H$582+H$38)</f>
        <v>4.6292725510607667E-2</v>
      </c>
      <c r="I1414" s="1">
        <f>[1]Transport!E$26/SUM([1]Transport!E$22,[1]Transport!E$26)*I1411*(I$34+I$582)/(I$34+I$582+I$38)</f>
        <v>4.6117352362560509E-5</v>
      </c>
      <c r="J1414" s="1">
        <f>[1]Transport!F$26/SUM([1]Transport!F$22,[1]Transport!F$26)*J1411*(J$34+J$582)/(J$34+J$582+J$38)</f>
        <v>0</v>
      </c>
      <c r="K1414" s="1">
        <f>[1]Transport!G$26/SUM([1]Transport!G$22,[1]Transport!G$26)*K1411*(K$34+K$582)/(K$34+K$582+K$38)</f>
        <v>1.8480286405114308E-7</v>
      </c>
      <c r="L1414" s="1">
        <f>[1]Transport!H$26/SUM([1]Transport!H$22,[1]Transport!H$26)*L1411*(L$34+L$582)/(L$34+L$582+L$38)</f>
        <v>9.1861648717269769E-5</v>
      </c>
      <c r="M1414" s="1">
        <f>[1]Transport!I$26/SUM([1]Transport!I$22,[1]Transport!I$26)*M1411*(M$34+M$582)/(M$34+M$582+M$38)</f>
        <v>2.0368923028725631E-4</v>
      </c>
      <c r="N1414" s="1">
        <f>[1]Transport!J$26/SUM([1]Transport!J$22,[1]Transport!J$26)*N1411*(N$34+N$582)/(N$34+N$582+N$38)</f>
        <v>0</v>
      </c>
      <c r="O1414" s="1">
        <f>[1]Transport!K$26/SUM([1]Transport!K$22,[1]Transport!K$26)*O1411*(O$34+O$582)/(O$34+O$582+O$38)</f>
        <v>0</v>
      </c>
      <c r="P1414" s="1">
        <f>[1]Transport!L$26/SUM([1]Transport!L$22,[1]Transport!L$26)*P1411*(P$34+P$582)/(P$34+P$582+P$38)</f>
        <v>0</v>
      </c>
      <c r="Q1414" s="1">
        <f>[1]Transport!M$26/SUM([1]Transport!M$22,[1]Transport!M$26)*Q1411*(Q$34+Q$582)/(Q$34+Q$582+Q$38)</f>
        <v>0</v>
      </c>
      <c r="S1414" s="3"/>
    </row>
    <row r="1415" spans="2:19" x14ac:dyDescent="0.5">
      <c r="B1415" s="5" t="str">
        <f t="shared" si="1571"/>
        <v>SPS1</v>
      </c>
      <c r="C1415" s="5" t="str">
        <f t="shared" si="1572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0</v>
      </c>
      <c r="K1415" s="1">
        <f>(K$38+K$718)/([1]Transport!G$22+[1]Transport!G$26)*K1411</f>
        <v>1.649775457750739E-10</v>
      </c>
      <c r="L1415" s="1">
        <f>(L$38+L$718)/([1]Transport!H$22+[1]Transport!H$26)*L1411</f>
        <v>2.4027829071446765E-5</v>
      </c>
      <c r="M1415" s="1">
        <f>(M$38+M$718)/([1]Transport!I$22+[1]Transport!I$26)*M1411</f>
        <v>6.3621950330061509E-4</v>
      </c>
      <c r="N1415" s="1">
        <f>(N$38+N$718)/([1]Transport!J$22+[1]Transport!J$26)*N1411</f>
        <v>0</v>
      </c>
      <c r="O1415" s="1">
        <f>(O$38+O$718)/([1]Transport!K$22+[1]Transport!K$26)*O1411</f>
        <v>0</v>
      </c>
      <c r="P1415" s="1">
        <f>(P$38+P$718)/([1]Transport!L$22+[1]Transport!L$26)*P1411</f>
        <v>0</v>
      </c>
      <c r="Q1415" s="1">
        <f>(Q$38+Q$718)/([1]Transport!M$22+[1]Transport!M$26)*Q1411</f>
        <v>0</v>
      </c>
      <c r="S1415" s="3"/>
    </row>
    <row r="1416" spans="2:19" x14ac:dyDescent="0.5">
      <c r="B1416" s="5" t="str">
        <f t="shared" si="1571"/>
        <v>SPS1</v>
      </c>
      <c r="C1416" s="5" t="str">
        <f t="shared" si="1572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1.7903297898380743E-3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2.0509005056848217E-3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1.6150615856843275E-6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0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1.675158815567138E-6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3.9743347863848224E-4</v>
      </c>
      <c r="M1416" s="1" cm="1">
        <f t="array" ref="M1416">SUMPRODUCT(("T_B_c-HYBDSL-S1"=[1]OUT_TransportEnergyCons!$A$3:$A$1000)*1,("Var_Fin"=[1]OUT_TransportEnergyCons!$B$3:$B$1000)*1,ISNUMBER(SEARCH("DSL",[1]OUT_TransportEnergyCons!$C$3:$C$1000))*1,[1]OUT_TransportEnergyCons!K$3:K$1000)</f>
        <v>3.9639788319742513E-4</v>
      </c>
      <c r="N1416" s="1" cm="1">
        <f t="array" ref="N1416">SUMPRODUCT(("T_B_c-HYBDSL-S1"=[1]OUT_TransportEnergyCons!$A$3:$A$1000)*1,("Var_Fin"=[1]OUT_TransportEnergyCons!$B$3:$B$1000)*1,ISNUMBER(SEARCH("DSL",[1]OUT_TransportEnergyCons!$C$3:$C$1000))*1,[1]OUT_TransportEnergyCons!L$3:L$1000)</f>
        <v>0</v>
      </c>
      <c r="O1416" s="1" cm="1">
        <f t="array" ref="O1416">SUMPRODUCT(("T_B_c-HYBDSL-S1"=[1]OUT_TransportEnergyCons!$A$3:$A$1000)*1,("Var_Fin"=[1]OUT_TransportEnergyCons!$B$3:$B$1000)*1,ISNUMBER(SEARCH("DSL",[1]OUT_TransportEnergyCons!$C$3:$C$1000))*1,[1]OUT_TransportEnergyCons!M$3:M$1000)</f>
        <v>0</v>
      </c>
      <c r="P1416" s="1" cm="1">
        <f t="array" ref="P1416">SUMPRODUCT(("T_B_c-HYBDSL-S1"=[1]OUT_TransportEnergyCons!$A$3:$A$1000)*1,("Var_Fin"=[1]OUT_TransportEnergyCons!$B$3:$B$1000)*1,ISNUMBER(SEARCH("DSL",[1]OUT_TransportEnergyCons!$C$3:$C$1000))*1,[1]OUT_TransportEnergyCons!N$3:N$1000)</f>
        <v>0</v>
      </c>
      <c r="Q1416" s="1" cm="1">
        <f t="array" ref="Q1416">SUMPRODUCT(("T_B_c-HYBDSL-S1"=[1]OUT_TransportEnergyCons!$A$3:$A$1000)*1,("Var_Fin"=[1]OUT_TransportEnergyCons!$B$3:$B$1000)*1,ISNUMBER(SEARCH("DSL",[1]OUT_TransportEnergyCons!$C$3:$C$1000))*1,[1]OUT_TransportEnergyCons!O$3:O$1000)</f>
        <v>0</v>
      </c>
      <c r="S1416" s="3"/>
    </row>
    <row r="1417" spans="2:19" x14ac:dyDescent="0.5">
      <c r="B1417" s="5" t="str">
        <f t="shared" si="1571"/>
        <v>SPS1</v>
      </c>
      <c r="C1417" s="5" t="str">
        <f t="shared" si="1572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1.5717265482660881E-4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3.0619406383842828E-4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0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0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0</v>
      </c>
      <c r="M1417" s="1" cm="1">
        <f t="array" ref="M1417">SUMPRODUCT(("T_B_c-HYBDSL-S2"=[1]OUT_TransportEnergyCons!$A$3:$A$1000)*1,("Var_Fin"=[1]OUT_TransportEnergyCons!$B$3:$B$1000)*1,ISNUMBER(SEARCH("DSL",[1]OUT_TransportEnergyCons!$C$3:$C$1000))*1,[1]OUT_TransportEnergyCons!K$3:K$1000)</f>
        <v>0</v>
      </c>
      <c r="N1417" s="1" cm="1">
        <f t="array" ref="N1417">SUMPRODUCT(("T_B_c-HYBDSL-S2"=[1]OUT_TransportEnergyCons!$A$3:$A$1000)*1,("Var_Fin"=[1]OUT_TransportEnergyCons!$B$3:$B$1000)*1,ISNUMBER(SEARCH("DSL",[1]OUT_TransportEnergyCons!$C$3:$C$1000))*1,[1]OUT_TransportEnergyCons!L$3:L$1000)</f>
        <v>0</v>
      </c>
      <c r="O1417" s="1" cm="1">
        <f t="array" ref="O1417">SUMPRODUCT(("T_B_c-HYBDSL-S2"=[1]OUT_TransportEnergyCons!$A$3:$A$1000)*1,("Var_Fin"=[1]OUT_TransportEnergyCons!$B$3:$B$1000)*1,ISNUMBER(SEARCH("DSL",[1]OUT_TransportEnergyCons!$C$3:$C$1000))*1,[1]OUT_TransportEnergyCons!M$3:M$1000)</f>
        <v>0</v>
      </c>
      <c r="P1417" s="1" cm="1">
        <f t="array" ref="P1417">SUMPRODUCT(("T_B_c-HYBDSL-S2"=[1]OUT_TransportEnergyCons!$A$3:$A$1000)*1,("Var_Fin"=[1]OUT_TransportEnergyCons!$B$3:$B$1000)*1,ISNUMBER(SEARCH("DSL",[1]OUT_TransportEnergyCons!$C$3:$C$1000))*1,[1]OUT_TransportEnergyCons!N$3:N$1000)</f>
        <v>0</v>
      </c>
      <c r="Q1417" s="1" cm="1">
        <f t="array" ref="Q1417">SUMPRODUCT(("T_B_c-HYBDSL-S2"=[1]OUT_TransportEnergyCons!$A$3:$A$1000)*1,("Var_Fin"=[1]OUT_TransportEnergyCons!$B$3:$B$1000)*1,ISNUMBER(SEARCH("DSL",[1]OUT_TransportEnergyCons!$C$3:$C$1000))*1,[1]OUT_TransportEnergyCons!O$3:O$1000)</f>
        <v>0</v>
      </c>
      <c r="S1417" s="3"/>
    </row>
    <row r="1418" spans="2:19" x14ac:dyDescent="0.5">
      <c r="B1418" s="5" t="str">
        <f t="shared" si="1571"/>
        <v>SPS1</v>
      </c>
      <c r="C1418" s="5" t="str">
        <f t="shared" si="1572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1.0637169315415436E-4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1.9330415583892533E-4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0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0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0</v>
      </c>
      <c r="M1418" s="1" cm="1">
        <f t="array" ref="M1418">SUMPRODUCT(("T_B_c-HYBDSL-S3"=[1]OUT_TransportEnergyCons!$A$3:$A$1000)*1,("Var_Fin"=[1]OUT_TransportEnergyCons!$B$3:$B$1000)*1,ISNUMBER(SEARCH("DSL",[1]OUT_TransportEnergyCons!$C$3:$C$1000))*1,[1]OUT_TransportEnergyCons!K$3:K$1000)</f>
        <v>0</v>
      </c>
      <c r="N1418" s="1" cm="1">
        <f t="array" ref="N1418">SUMPRODUCT(("T_B_c-HYBDSL-S3"=[1]OUT_TransportEnergyCons!$A$3:$A$1000)*1,("Var_Fin"=[1]OUT_TransportEnergyCons!$B$3:$B$1000)*1,ISNUMBER(SEARCH("DSL",[1]OUT_TransportEnergyCons!$C$3:$C$1000))*1,[1]OUT_TransportEnergyCons!L$3:L$1000)</f>
        <v>0</v>
      </c>
      <c r="O1418" s="1" cm="1">
        <f t="array" ref="O1418">SUMPRODUCT(("T_B_c-HYBDSL-S3"=[1]OUT_TransportEnergyCons!$A$3:$A$1000)*1,("Var_Fin"=[1]OUT_TransportEnergyCons!$B$3:$B$1000)*1,ISNUMBER(SEARCH("DSL",[1]OUT_TransportEnergyCons!$C$3:$C$1000))*1,[1]OUT_TransportEnergyCons!M$3:M$1000)</f>
        <v>0</v>
      </c>
      <c r="P1418" s="1" cm="1">
        <f t="array" ref="P1418">SUMPRODUCT(("T_B_c-HYBDSL-S3"=[1]OUT_TransportEnergyCons!$A$3:$A$1000)*1,("Var_Fin"=[1]OUT_TransportEnergyCons!$B$3:$B$1000)*1,ISNUMBER(SEARCH("DSL",[1]OUT_TransportEnergyCons!$C$3:$C$1000))*1,[1]OUT_TransportEnergyCons!N$3:N$1000)</f>
        <v>0</v>
      </c>
      <c r="Q1418" s="1" cm="1">
        <f t="array" ref="Q1418">SUMPRODUCT(("T_B_c-HYBDSL-S3"=[1]OUT_TransportEnergyCons!$A$3:$A$1000)*1,("Var_Fin"=[1]OUT_TransportEnergyCons!$B$3:$B$1000)*1,ISNUMBER(SEARCH("DSL",[1]OUT_TransportEnergyCons!$C$3:$C$1000))*1,[1]OUT_TransportEnergyCons!O$3:O$1000)</f>
        <v>0</v>
      </c>
      <c r="S1418" s="3"/>
    </row>
    <row r="1419" spans="2:19" x14ac:dyDescent="0.5">
      <c r="B1419" s="5" t="str">
        <f t="shared" si="1571"/>
        <v>SPS1</v>
      </c>
      <c r="C1419" s="5" t="str">
        <f t="shared" si="1572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2.5483375781796271E-5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4.7168102236459566E-5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0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0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0</v>
      </c>
      <c r="M1419" s="1" cm="1">
        <f t="array" ref="M1419">SUMPRODUCT(("T_B_c-HYBDSL-S4"=[1]OUT_TransportEnergyCons!$A$3:$A$1000)*1,("Var_Fin"=[1]OUT_TransportEnergyCons!$B$3:$B$1000)*1,ISNUMBER(SEARCH("DSL",[1]OUT_TransportEnergyCons!$C$3:$C$1000))*1,[1]OUT_TransportEnergyCons!K$3:K$1000)</f>
        <v>0</v>
      </c>
      <c r="N1419" s="1" cm="1">
        <f t="array" ref="N1419">SUMPRODUCT(("T_B_c-HYBDSL-S4"=[1]OUT_TransportEnergyCons!$A$3:$A$1000)*1,("Var_Fin"=[1]OUT_TransportEnergyCons!$B$3:$B$1000)*1,ISNUMBER(SEARCH("DSL",[1]OUT_TransportEnergyCons!$C$3:$C$1000))*1,[1]OUT_TransportEnergyCons!L$3:L$1000)</f>
        <v>0</v>
      </c>
      <c r="O1419" s="1" cm="1">
        <f t="array" ref="O1419">SUMPRODUCT(("T_B_c-HYBDSL-S4"=[1]OUT_TransportEnergyCons!$A$3:$A$1000)*1,("Var_Fin"=[1]OUT_TransportEnergyCons!$B$3:$B$1000)*1,ISNUMBER(SEARCH("DSL",[1]OUT_TransportEnergyCons!$C$3:$C$1000))*1,[1]OUT_TransportEnergyCons!M$3:M$1000)</f>
        <v>0</v>
      </c>
      <c r="P1419" s="1" cm="1">
        <f t="array" ref="P1419">SUMPRODUCT(("T_B_c-HYBDSL-S4"=[1]OUT_TransportEnergyCons!$A$3:$A$1000)*1,("Var_Fin"=[1]OUT_TransportEnergyCons!$B$3:$B$1000)*1,ISNUMBER(SEARCH("DSL",[1]OUT_TransportEnergyCons!$C$3:$C$1000))*1,[1]OUT_TransportEnergyCons!N$3:N$1000)</f>
        <v>0</v>
      </c>
      <c r="Q1419" s="1" cm="1">
        <f t="array" ref="Q1419">SUMPRODUCT(("T_B_c-HYBDSL-S4"=[1]OUT_TransportEnergyCons!$A$3:$A$1000)*1,("Var_Fin"=[1]OUT_TransportEnergyCons!$B$3:$B$1000)*1,ISNUMBER(SEARCH("DSL",[1]OUT_TransportEnergyCons!$C$3:$C$1000))*1,[1]OUT_TransportEnergyCons!O$3:O$1000)</f>
        <v>0</v>
      </c>
      <c r="S1419" s="3"/>
    </row>
    <row r="1420" spans="2:19" x14ac:dyDescent="0.5">
      <c r="B1420" s="5" t="str">
        <f t="shared" si="1571"/>
        <v>SPS1</v>
      </c>
      <c r="C1420" s="5" t="str">
        <f t="shared" si="1572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6.0273850493458509E-3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6.0131673876390665E-3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5.9690880979406131E-3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M1420" s="1" cm="1">
        <f t="array" ref="M1420">SUMPRODUCT(("T_B_c-ICEDSLEXT"=[1]OUT_TransportEnergyCons!$A$3:$A$1000)*1,("Var_Fin"=[1]OUT_TransportEnergyCons!$B$3:$B$1000)*1,ISNUMBER(SEARCH("DSL",[1]OUT_TransportEnergyCons!$C$3:$C$1000))*1,[1]OUT_TransportEnergyCons!K$3:K$1000)</f>
        <v>0</v>
      </c>
      <c r="N1420" s="1" cm="1">
        <f t="array" ref="N1420">SUMPRODUCT(("T_B_c-ICEDSLEXT"=[1]OUT_TransportEnergyCons!$A$3:$A$1000)*1,("Var_Fin"=[1]OUT_TransportEnergyCons!$B$3:$B$1000)*1,ISNUMBER(SEARCH("DSL",[1]OUT_TransportEnergyCons!$C$3:$C$1000))*1,[1]OUT_TransportEnergyCons!L$3:L$1000)</f>
        <v>0</v>
      </c>
      <c r="O1420" s="1" cm="1">
        <f t="array" ref="O1420">SUMPRODUCT(("T_B_c-ICEDSLEXT"=[1]OUT_TransportEnergyCons!$A$3:$A$1000)*1,("Var_Fin"=[1]OUT_TransportEnergyCons!$B$3:$B$1000)*1,ISNUMBER(SEARCH("DSL",[1]OUT_TransportEnergyCons!$C$3:$C$1000))*1,[1]OUT_TransportEnergyCons!M$3:M$1000)</f>
        <v>0</v>
      </c>
      <c r="P1420" s="1" cm="1">
        <f t="array" ref="P1420">SUMPRODUCT(("T_B_c-ICEDSLEXT"=[1]OUT_TransportEnergyCons!$A$3:$A$1000)*1,("Var_Fin"=[1]OUT_TransportEnergyCons!$B$3:$B$1000)*1,ISNUMBER(SEARCH("DSL",[1]OUT_TransportEnergyCons!$C$3:$C$1000))*1,[1]OUT_TransportEnergyCons!N$3:N$1000)</f>
        <v>0</v>
      </c>
      <c r="Q1420" s="1" cm="1">
        <f t="array" ref="Q1420">SUMPRODUCT(("T_B_c-ICEDSLEXT"=[1]OUT_TransportEnergyCons!$A$3:$A$1000)*1,("Var_Fin"=[1]OUT_TransportEnergyCons!$B$3:$B$1000)*1,ISNUMBER(SEARCH("DSL",[1]OUT_TransportEnergyCons!$C$3:$C$1000))*1,[1]OUT_TransportEnergyCons!O$3:O$1000)</f>
        <v>0</v>
      </c>
      <c r="S1420" s="3"/>
    </row>
    <row r="1421" spans="2:19" x14ac:dyDescent="0.5">
      <c r="B1421" s="5" t="str">
        <f t="shared" si="1571"/>
        <v>SPS1</v>
      </c>
      <c r="C1421" s="5" t="str">
        <f t="shared" si="1572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0.11334301480805915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0.30755875107877528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0.37161472119094535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9.8477702435750955E-4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0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0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6.2665169124281324E-6</v>
      </c>
      <c r="M1421" s="1" cm="1">
        <f t="array" ref="M1421">SUMPRODUCT(("T_B_c-ICEDSL-S1"=[1]OUT_TransportEnergyCons!$A$3:$A$1000)*1,("Var_Fin"=[1]OUT_TransportEnergyCons!$B$3:$B$1000)*1,ISNUMBER(SEARCH("DSL",[1]OUT_TransportEnergyCons!$C$3:$C$1000))*1,[1]OUT_TransportEnergyCons!K$3:K$1000)</f>
        <v>4.3422958539142425E-6</v>
      </c>
      <c r="N1421" s="1" cm="1">
        <f t="array" ref="N1421">SUMPRODUCT(("T_B_c-ICEDSL-S1"=[1]OUT_TransportEnergyCons!$A$3:$A$1000)*1,("Var_Fin"=[1]OUT_TransportEnergyCons!$B$3:$B$1000)*1,ISNUMBER(SEARCH("DSL",[1]OUT_TransportEnergyCons!$C$3:$C$1000))*1,[1]OUT_TransportEnergyCons!L$3:L$1000)</f>
        <v>0</v>
      </c>
      <c r="O1421" s="1" cm="1">
        <f t="array" ref="O1421">SUMPRODUCT(("T_B_c-ICEDSL-S1"=[1]OUT_TransportEnergyCons!$A$3:$A$1000)*1,("Var_Fin"=[1]OUT_TransportEnergyCons!$B$3:$B$1000)*1,ISNUMBER(SEARCH("DSL",[1]OUT_TransportEnergyCons!$C$3:$C$1000))*1,[1]OUT_TransportEnergyCons!M$3:M$1000)</f>
        <v>0</v>
      </c>
      <c r="P1421" s="1" cm="1">
        <f t="array" ref="P1421">SUMPRODUCT(("T_B_c-ICEDSL-S1"=[1]OUT_TransportEnergyCons!$A$3:$A$1000)*1,("Var_Fin"=[1]OUT_TransportEnergyCons!$B$3:$B$1000)*1,ISNUMBER(SEARCH("DSL",[1]OUT_TransportEnergyCons!$C$3:$C$1000))*1,[1]OUT_TransportEnergyCons!N$3:N$1000)</f>
        <v>0</v>
      </c>
      <c r="Q1421" s="1" cm="1">
        <f t="array" ref="Q1421">SUMPRODUCT(("T_B_c-ICEDSL-S1"=[1]OUT_TransportEnergyCons!$A$3:$A$1000)*1,("Var_Fin"=[1]OUT_TransportEnergyCons!$B$3:$B$1000)*1,ISNUMBER(SEARCH("DSL",[1]OUT_TransportEnergyCons!$C$3:$C$1000))*1,[1]OUT_TransportEnergyCons!O$3:O$1000)</f>
        <v>0</v>
      </c>
      <c r="S1421" s="3"/>
    </row>
    <row r="1422" spans="2:19" x14ac:dyDescent="0.5">
      <c r="B1422" s="5" t="str">
        <f t="shared" si="1571"/>
        <v>SPS1</v>
      </c>
      <c r="C1422" s="5" t="str">
        <f t="shared" si="1572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0.51935682083317858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0.39885741240434042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0.49264596299529667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8.0957097053204277E-6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0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0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7.6533617825131134E-7</v>
      </c>
      <c r="M1422" s="1" cm="1">
        <f t="array" ref="M1422">SUMPRODUCT(("T_B_c-ICEDSL-S2"=[1]OUT_TransportEnergyCons!$A$3:$A$1000)*1,("Var_Fin"=[1]OUT_TransportEnergyCons!$B$3:$B$1000)*1,ISNUMBER(SEARCH("DSL",[1]OUT_TransportEnergyCons!$C$3:$C$1000))*1,[1]OUT_TransportEnergyCons!K$3:K$1000)</f>
        <v>1.1679634292104846E-6</v>
      </c>
      <c r="N1422" s="1" cm="1">
        <f t="array" ref="N1422">SUMPRODUCT(("T_B_c-ICEDSL-S2"=[1]OUT_TransportEnergyCons!$A$3:$A$1000)*1,("Var_Fin"=[1]OUT_TransportEnergyCons!$B$3:$B$1000)*1,ISNUMBER(SEARCH("DSL",[1]OUT_TransportEnergyCons!$C$3:$C$1000))*1,[1]OUT_TransportEnergyCons!L$3:L$1000)</f>
        <v>0</v>
      </c>
      <c r="O1422" s="1" cm="1">
        <f t="array" ref="O1422">SUMPRODUCT(("T_B_c-ICEDSL-S2"=[1]OUT_TransportEnergyCons!$A$3:$A$1000)*1,("Var_Fin"=[1]OUT_TransportEnergyCons!$B$3:$B$1000)*1,ISNUMBER(SEARCH("DSL",[1]OUT_TransportEnergyCons!$C$3:$C$1000))*1,[1]OUT_TransportEnergyCons!M$3:M$1000)</f>
        <v>0</v>
      </c>
      <c r="P1422" s="1" cm="1">
        <f t="array" ref="P1422">SUMPRODUCT(("T_B_c-ICEDSL-S2"=[1]OUT_TransportEnergyCons!$A$3:$A$1000)*1,("Var_Fin"=[1]OUT_TransportEnergyCons!$B$3:$B$1000)*1,ISNUMBER(SEARCH("DSL",[1]OUT_TransportEnergyCons!$C$3:$C$1000))*1,[1]OUT_TransportEnergyCons!N$3:N$1000)</f>
        <v>0</v>
      </c>
      <c r="Q1422" s="1" cm="1">
        <f t="array" ref="Q1422">SUMPRODUCT(("T_B_c-ICEDSL-S2"=[1]OUT_TransportEnergyCons!$A$3:$A$1000)*1,("Var_Fin"=[1]OUT_TransportEnergyCons!$B$3:$B$1000)*1,ISNUMBER(SEARCH("DSL",[1]OUT_TransportEnergyCons!$C$3:$C$1000))*1,[1]OUT_TransportEnergyCons!O$3:O$1000)</f>
        <v>0</v>
      </c>
      <c r="S1422" s="3"/>
    </row>
    <row r="1423" spans="2:19" x14ac:dyDescent="0.5">
      <c r="B1423" s="5" t="str">
        <f t="shared" si="1571"/>
        <v>SPS1</v>
      </c>
      <c r="C1423" s="5" t="str">
        <f t="shared" si="1572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0.16005184988731291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0.12843425999725075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0.15843283852638262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0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0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0</v>
      </c>
      <c r="M1423" s="1" cm="1">
        <f t="array" ref="M1423">SUMPRODUCT(("T_B_c-ICEDSL-S3"=[1]OUT_TransportEnergyCons!$A$3:$A$1000)*1,("Var_Fin"=[1]OUT_TransportEnergyCons!$B$3:$B$1000)*1,ISNUMBER(SEARCH("DSL",[1]OUT_TransportEnergyCons!$C$3:$C$1000))*1,[1]OUT_TransportEnergyCons!K$3:K$1000)</f>
        <v>0</v>
      </c>
      <c r="N1423" s="1" cm="1">
        <f t="array" ref="N1423">SUMPRODUCT(("T_B_c-ICEDSL-S3"=[1]OUT_TransportEnergyCons!$A$3:$A$1000)*1,("Var_Fin"=[1]OUT_TransportEnergyCons!$B$3:$B$1000)*1,ISNUMBER(SEARCH("DSL",[1]OUT_TransportEnergyCons!$C$3:$C$1000))*1,[1]OUT_TransportEnergyCons!L$3:L$1000)</f>
        <v>0</v>
      </c>
      <c r="O1423" s="1" cm="1">
        <f t="array" ref="O1423">SUMPRODUCT(("T_B_c-ICEDSL-S3"=[1]OUT_TransportEnergyCons!$A$3:$A$1000)*1,("Var_Fin"=[1]OUT_TransportEnergyCons!$B$3:$B$1000)*1,ISNUMBER(SEARCH("DSL",[1]OUT_TransportEnergyCons!$C$3:$C$1000))*1,[1]OUT_TransportEnergyCons!M$3:M$1000)</f>
        <v>0</v>
      </c>
      <c r="P1423" s="1" cm="1">
        <f t="array" ref="P1423">SUMPRODUCT(("T_B_c-ICEDSL-S3"=[1]OUT_TransportEnergyCons!$A$3:$A$1000)*1,("Var_Fin"=[1]OUT_TransportEnergyCons!$B$3:$B$1000)*1,ISNUMBER(SEARCH("DSL",[1]OUT_TransportEnergyCons!$C$3:$C$1000))*1,[1]OUT_TransportEnergyCons!N$3:N$1000)</f>
        <v>0</v>
      </c>
      <c r="Q1423" s="1" cm="1">
        <f t="array" ref="Q1423">SUMPRODUCT(("T_B_c-ICEDSL-S3"=[1]OUT_TransportEnergyCons!$A$3:$A$1000)*1,("Var_Fin"=[1]OUT_TransportEnergyCons!$B$3:$B$1000)*1,ISNUMBER(SEARCH("DSL",[1]OUT_TransportEnergyCons!$C$3:$C$1000))*1,[1]OUT_TransportEnergyCons!O$3:O$1000)</f>
        <v>0</v>
      </c>
      <c r="S1423" s="3"/>
    </row>
    <row r="1424" spans="2:19" x14ac:dyDescent="0.5">
      <c r="B1424" s="5" t="str">
        <f t="shared" si="1571"/>
        <v>SPS1</v>
      </c>
      <c r="C1424" s="5" t="str">
        <f t="shared" si="1572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1.3306036138096862E-2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3.6302558690337253E-4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3.8900725595968457E-4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0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0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0</v>
      </c>
      <c r="M1424" s="1" cm="1">
        <f t="array" ref="M1424">SUMPRODUCT(("T_B_c-ICEDSL-S4"=[1]OUT_TransportEnergyCons!$A$3:$A$1000)*1,("Var_Fin"=[1]OUT_TransportEnergyCons!$B$3:$B$1000)*1,ISNUMBER(SEARCH("DSL",[1]OUT_TransportEnergyCons!$C$3:$C$1000))*1,[1]OUT_TransportEnergyCons!K$3:K$1000)</f>
        <v>0</v>
      </c>
      <c r="N1424" s="1" cm="1">
        <f t="array" ref="N1424">SUMPRODUCT(("T_B_c-ICEDSL-S4"=[1]OUT_TransportEnergyCons!$A$3:$A$1000)*1,("Var_Fin"=[1]OUT_TransportEnergyCons!$B$3:$B$1000)*1,ISNUMBER(SEARCH("DSL",[1]OUT_TransportEnergyCons!$C$3:$C$1000))*1,[1]OUT_TransportEnergyCons!L$3:L$1000)</f>
        <v>0</v>
      </c>
      <c r="O1424" s="1" cm="1">
        <f t="array" ref="O1424">SUMPRODUCT(("T_B_c-ICEDSL-S4"=[1]OUT_TransportEnergyCons!$A$3:$A$1000)*1,("Var_Fin"=[1]OUT_TransportEnergyCons!$B$3:$B$1000)*1,ISNUMBER(SEARCH("DSL",[1]OUT_TransportEnergyCons!$C$3:$C$1000))*1,[1]OUT_TransportEnergyCons!M$3:M$1000)</f>
        <v>0</v>
      </c>
      <c r="P1424" s="1" cm="1">
        <f t="array" ref="P1424">SUMPRODUCT(("T_B_c-ICEDSL-S4"=[1]OUT_TransportEnergyCons!$A$3:$A$1000)*1,("Var_Fin"=[1]OUT_TransportEnergyCons!$B$3:$B$1000)*1,ISNUMBER(SEARCH("DSL",[1]OUT_TransportEnergyCons!$C$3:$C$1000))*1,[1]OUT_TransportEnergyCons!N$3:N$1000)</f>
        <v>0</v>
      </c>
      <c r="Q1424" s="1" cm="1">
        <f t="array" ref="Q1424">SUMPRODUCT(("T_B_c-ICEDSL-S4"=[1]OUT_TransportEnergyCons!$A$3:$A$1000)*1,("Var_Fin"=[1]OUT_TransportEnergyCons!$B$3:$B$1000)*1,ISNUMBER(SEARCH("DSL",[1]OUT_TransportEnergyCons!$C$3:$C$1000))*1,[1]OUT_TransportEnergyCons!O$3:O$1000)</f>
        <v>0</v>
      </c>
      <c r="S1424" s="3"/>
    </row>
    <row r="1425" spans="2:19" x14ac:dyDescent="0.5">
      <c r="B1425" s="5" t="str">
        <f t="shared" si="1571"/>
        <v>SPS1</v>
      </c>
      <c r="C1425" s="5" t="str">
        <f t="shared" si="1572"/>
        <v>CH</v>
      </c>
      <c r="D1425" t="s">
        <v>1419</v>
      </c>
      <c r="E1425" t="s">
        <v>8</v>
      </c>
      <c r="F1425" s="1">
        <f>SUM(F1430:F1434)</f>
        <v>1.3712506200379621E-4</v>
      </c>
      <c r="G1425" s="1">
        <f t="shared" ref="G1425" si="1589">SUM(G1430:G1434)</f>
        <v>5.4685699010615632E-4</v>
      </c>
      <c r="H1425" s="1">
        <f t="shared" ref="H1425" si="1590">SUM(H1430:H1434)</f>
        <v>4.4137398102160868E-3</v>
      </c>
      <c r="I1425" s="1">
        <f t="shared" ref="I1425" si="1591">SUM(I1430:I1434)</f>
        <v>3.3211374026970164E-3</v>
      </c>
      <c r="J1425" s="1">
        <f t="shared" ref="J1425" si="1592">SUM(J1430:J1434)</f>
        <v>0</v>
      </c>
      <c r="K1425" s="1">
        <f t="shared" ref="K1425" si="1593">SUM(K1430:K1434)</f>
        <v>4.1119452764214962E-6</v>
      </c>
      <c r="L1425" s="1">
        <f t="shared" ref="L1425:O1425" si="1594">SUM(L1430:L1434)</f>
        <v>1.4824943838187049E-3</v>
      </c>
      <c r="M1425" s="1">
        <f t="shared" si="1594"/>
        <v>1.4803944490663912E-3</v>
      </c>
      <c r="N1425" s="1">
        <f t="shared" si="1594"/>
        <v>0</v>
      </c>
      <c r="O1425" s="1">
        <f t="shared" si="1594"/>
        <v>0</v>
      </c>
      <c r="P1425" s="1">
        <f>SUM(P1430:P1434)</f>
        <v>0</v>
      </c>
      <c r="Q1425" s="1">
        <f>SUM(Q1430:Q1434)</f>
        <v>0</v>
      </c>
      <c r="S1425" s="3"/>
    </row>
    <row r="1426" spans="2:19" x14ac:dyDescent="0.5">
      <c r="B1426" s="5" t="str">
        <f t="shared" si="1571"/>
        <v>SPS1</v>
      </c>
      <c r="C1426" s="5" t="str">
        <f t="shared" si="1572"/>
        <v>CH</v>
      </c>
      <c r="D1426" t="s">
        <v>1420</v>
      </c>
      <c r="E1426" t="s">
        <v>8</v>
      </c>
      <c r="F1426" s="1">
        <f>IF(F1425-F1427&lt;0,0,F1425-F1427)</f>
        <v>1.2669857361902358E-4</v>
      </c>
      <c r="G1426" s="1">
        <f t="shared" ref="G1426:K1426" si="1595">IF(G1425-G1427&lt;0,0,G1425-G1427)</f>
        <v>4.7882348793934373E-4</v>
      </c>
      <c r="H1426" s="1">
        <f t="shared" si="1595"/>
        <v>4.3602795138559863E-3</v>
      </c>
      <c r="I1426" s="1">
        <f t="shared" si="1595"/>
        <v>3.2679638737028761E-3</v>
      </c>
      <c r="J1426" s="1">
        <f t="shared" si="1595"/>
        <v>0</v>
      </c>
      <c r="K1426" s="1">
        <f t="shared" si="1595"/>
        <v>0</v>
      </c>
      <c r="L1426" s="1">
        <f t="shared" ref="L1426:O1426" si="1596">IF(L1425-L1427&lt;0,0,L1425-L1427)</f>
        <v>0</v>
      </c>
      <c r="M1426" s="1">
        <f t="shared" si="1596"/>
        <v>0</v>
      </c>
      <c r="N1426" s="1">
        <f t="shared" si="1596"/>
        <v>0</v>
      </c>
      <c r="O1426" s="1">
        <f t="shared" si="1596"/>
        <v>0</v>
      </c>
      <c r="P1426" s="1">
        <f>IF(P1425-P1427&lt;0,0,P1425-P1427)</f>
        <v>0</v>
      </c>
      <c r="Q1426" s="1">
        <f>IF(Q1425-Q1427&lt;0,0,Q1425-Q1427)</f>
        <v>0</v>
      </c>
      <c r="S1426" s="3"/>
    </row>
    <row r="1427" spans="2:19" x14ac:dyDescent="0.5">
      <c r="B1427" s="5" t="str">
        <f t="shared" si="1571"/>
        <v>SPS1</v>
      </c>
      <c r="C1427" s="5" t="str">
        <f t="shared" si="1572"/>
        <v>CH</v>
      </c>
      <c r="D1427" t="s">
        <v>1421</v>
      </c>
      <c r="E1427" t="s">
        <v>8</v>
      </c>
      <c r="F1427" s="1">
        <f>SUM(F1428:F1429)</f>
        <v>1.0426488384772622E-5</v>
      </c>
      <c r="G1427" s="1">
        <f t="shared" ref="G1427" si="1597">SUM(G1428:G1429)</f>
        <v>6.8033502166812585E-5</v>
      </c>
      <c r="H1427" s="1">
        <f t="shared" ref="H1427" si="1598">SUM(H1428:H1429)</f>
        <v>5.3460296360100753E-5</v>
      </c>
      <c r="I1427" s="1">
        <f t="shared" ref="I1427" si="1599">SUM(I1428:I1429)</f>
        <v>5.3173528994140417E-5</v>
      </c>
      <c r="J1427" s="1">
        <f t="shared" ref="J1427" si="1600">SUM(J1428:J1429)</f>
        <v>0</v>
      </c>
      <c r="K1427" s="1">
        <f t="shared" ref="K1427" si="1601">SUM(K1428:K1429)</f>
        <v>3.4147472989466102E-3</v>
      </c>
      <c r="L1427" s="1">
        <f t="shared" ref="L1427:O1427" si="1602">SUM(L1428:L1429)</f>
        <v>1.2483533631348549</v>
      </c>
      <c r="M1427" s="1">
        <f t="shared" si="1602"/>
        <v>2.8238103765940807</v>
      </c>
      <c r="N1427" s="1">
        <f t="shared" si="1602"/>
        <v>0</v>
      </c>
      <c r="O1427" s="1">
        <f t="shared" si="1602"/>
        <v>0</v>
      </c>
      <c r="P1427" s="1">
        <f>SUM(P1428:P1429)</f>
        <v>0</v>
      </c>
      <c r="Q1427" s="1">
        <f>SUM(Q1428:Q1429)</f>
        <v>0</v>
      </c>
      <c r="S1427" s="3"/>
    </row>
    <row r="1428" spans="2:19" x14ac:dyDescent="0.5">
      <c r="B1428" s="5" t="str">
        <f t="shared" si="1571"/>
        <v>SPS1</v>
      </c>
      <c r="C1428" s="5" t="str">
        <f t="shared" si="1572"/>
        <v>CH</v>
      </c>
      <c r="D1428" t="s">
        <v>1422</v>
      </c>
      <c r="E1428" t="s">
        <v>8</v>
      </c>
      <c r="F1428" s="1">
        <f>IF(SUM([1]Transport!B$24,[1]Transport!B$27)=0,0,[1]Transport!B$27/SUM([1]Transport!B$24,[1]Transport!B$27)*F1425*(F$47+F$614)/(F$47+F$614+F$49))</f>
        <v>1.0426488384772622E-5</v>
      </c>
      <c r="G1428" s="1">
        <f>IF(SUM([1]Transport!C$24,[1]Transport!C$27)=0,0,[1]Transport!C$27/SUM([1]Transport!C$24,[1]Transport!C$27)*G1425*(G$47+G$614)/(G$47+G$614+G$49))</f>
        <v>6.8033502166812585E-5</v>
      </c>
      <c r="H1428" s="1">
        <f>IF(SUM([1]Transport!D$24,[1]Transport!D$27)=0,0,[1]Transport!D$27/SUM([1]Transport!D$24,[1]Transport!D$27)*H1425*(H$47+H$614)/(H$47+H$614+H$49))</f>
        <v>5.3460296360100753E-5</v>
      </c>
      <c r="I1428" s="1">
        <f>IF(SUM([1]Transport!E$24,[1]Transport!E$27)=0,0,[1]Transport!E$27/SUM([1]Transport!E$24,[1]Transport!E$27)*I1425*(I$47+I$614)/(I$47+I$614+I$49))</f>
        <v>5.3173528994140417E-5</v>
      </c>
      <c r="J1428" s="1">
        <f>IF(SUM([1]Transport!F$24,[1]Transport!F$27)=0,0,[1]Transport!F$27/SUM([1]Transport!F$24,[1]Transport!F$27)*J1425*(J$47+J$614)/(J$47+J$614+J$49))</f>
        <v>0</v>
      </c>
      <c r="K1428" s="1">
        <f>IF(SUM([1]Transport!G$24,[1]Transport!G$27)=0,0,[1]Transport!G$27/SUM([1]Transport!G$24,[1]Transport!G$27)*K1425*(K$47+K$614)/(K$47+K$614+K$49))</f>
        <v>2.3215977960084402E-6</v>
      </c>
      <c r="L1428" s="1">
        <f>IF(SUM([1]Transport!H$24,[1]Transport!H$27)=0,0,[1]Transport!H$27/SUM([1]Transport!H$24,[1]Transport!H$27)*L1425*(L$47+L$614)/(L$47+L$614+L$49))</f>
        <v>3.4614186111068916E-5</v>
      </c>
      <c r="M1428" s="1">
        <f>IF(SUM([1]Transport!I$24,[1]Transport!I$27)=0,0,[1]Transport!I$27/SUM([1]Transport!I$24,[1]Transport!I$27)*M1425*(M$47+M$614)/(M$47+M$614+M$49))</f>
        <v>6.2409535488760104E-4</v>
      </c>
      <c r="N1428" s="1">
        <f>IF(SUM([1]Transport!J$24,[1]Transport!J$27)=0,0,[1]Transport!J$27/SUM([1]Transport!J$24,[1]Transport!J$27)*N1425*(N$47+N$614)/(N$47+N$614+N$49))</f>
        <v>0</v>
      </c>
      <c r="O1428" s="1">
        <f>IF(SUM([1]Transport!K$24,[1]Transport!K$27)=0,0,[1]Transport!K$27/SUM([1]Transport!K$24,[1]Transport!K$27)*O1425*(O$47+O$614)/(O$47+O$614+O$49))</f>
        <v>0</v>
      </c>
      <c r="P1428" s="1">
        <f>IF(SUM([1]Transport!L$24,[1]Transport!L$27)=0,0,[1]Transport!L$27/SUM([1]Transport!L$24,[1]Transport!L$27)*P1425*(P$47+P$614)/(P$47+P$614+P$49))</f>
        <v>0</v>
      </c>
      <c r="Q1428" s="1">
        <f>IF(SUM([1]Transport!M$24,[1]Transport!M$27)=0,0,[1]Transport!M$27/SUM([1]Transport!M$24,[1]Transport!M$27)*Q1425*(Q$47+Q$614)/(Q$47+Q$614+Q$49))</f>
        <v>0</v>
      </c>
      <c r="S1428" s="3"/>
    </row>
    <row r="1429" spans="2:19" x14ac:dyDescent="0.5">
      <c r="B1429" s="5" t="str">
        <f t="shared" si="1571"/>
        <v>SPS1</v>
      </c>
      <c r="C1429" s="5" t="str">
        <f t="shared" si="1572"/>
        <v>CH</v>
      </c>
      <c r="D1429" t="s">
        <v>1423</v>
      </c>
      <c r="E1429" t="s">
        <v>8</v>
      </c>
      <c r="F1429" s="1">
        <f>IF(([1]Transport!B$24+[1]Transport!B$27)=0,0,(F$49+F$716)/([1]Transport!B$24+[1]Transport!B$27)*F1425)</f>
        <v>0</v>
      </c>
      <c r="G1429" s="1">
        <f>IF(([1]Transport!C$24+[1]Transport!C$27)=0,0,(G$49+G$716)/([1]Transport!C$24+[1]Transport!C$27)*G1425)</f>
        <v>0</v>
      </c>
      <c r="H1429" s="1">
        <f>IF(([1]Transport!D$24+[1]Transport!D$27)=0,0,(H$49+H$716)/([1]Transport!D$24+[1]Transport!D$27)*H1425)</f>
        <v>0</v>
      </c>
      <c r="I1429" s="1">
        <f>IF(([1]Transport!E$24+[1]Transport!E$27)=0,0,(I$49+I$716)/([1]Transport!E$24+[1]Transport!E$27)*I1425)</f>
        <v>0</v>
      </c>
      <c r="J1429" s="1">
        <f>IF(([1]Transport!F$24+[1]Transport!F$27)=0,0,(J$49+J$716)/([1]Transport!F$24+[1]Transport!F$27)*J1425)</f>
        <v>0</v>
      </c>
      <c r="K1429" s="1">
        <f>IF(([1]Transport!G$24+[1]Transport!G$27)=0,0,(K$49+K$716)/([1]Transport!G$24+[1]Transport!G$27)*K1425)</f>
        <v>3.4124257011506017E-3</v>
      </c>
      <c r="L1429" s="1">
        <f>IF(([1]Transport!H$24+[1]Transport!H$27)=0,0,(L$49+L$716)/([1]Transport!H$24+[1]Transport!H$27)*L1425)</f>
        <v>1.2483187489487437</v>
      </c>
      <c r="M1429" s="1">
        <f>IF(([1]Transport!I$24+[1]Transport!I$27)=0,0,(M$49+M$716)/([1]Transport!I$24+[1]Transport!I$27)*M1425)</f>
        <v>2.823186281239193</v>
      </c>
      <c r="N1429" s="1">
        <f>IF(([1]Transport!J$24+[1]Transport!J$27)=0,0,(N$49+N$716)/([1]Transport!J$24+[1]Transport!J$27)*N1425)</f>
        <v>0</v>
      </c>
      <c r="O1429" s="1">
        <f>IF(([1]Transport!K$24+[1]Transport!K$27)=0,0,(O$49+O$716)/([1]Transport!K$24+[1]Transport!K$27)*O1425)</f>
        <v>0</v>
      </c>
      <c r="P1429" s="1">
        <f>IF(([1]Transport!L$24+[1]Transport!L$27)=0,0,(P$49+P$716)/([1]Transport!L$24+[1]Transport!L$27)*P1425)</f>
        <v>0</v>
      </c>
      <c r="Q1429" s="1">
        <f>IF(([1]Transport!M$24+[1]Transport!M$27)=0,0,(Q$49+Q$716)/([1]Transport!M$24+[1]Transport!M$27)*Q1425)</f>
        <v>0</v>
      </c>
      <c r="S1429" s="3"/>
    </row>
    <row r="1430" spans="2:19" x14ac:dyDescent="0.5">
      <c r="B1430" s="5" t="str">
        <f t="shared" si="1571"/>
        <v>SPS1</v>
      </c>
      <c r="C1430" s="5" t="str">
        <f t="shared" si="1572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1.3712506200379621E-4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1.3728489086945847E-4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1.3638516481214734E-4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M1430" s="1" cm="1">
        <f t="array" ref="M1430">SUMPRODUCT(("T_B_c-ICEngaEXT"=[1]OUT_TransportEnergyCons!$A$3:$A$1000)*1,("Var_Fin"=[1]OUT_TransportEnergyCons!$B$3:$B$1000)*1,ISNUMBER(SEARCH("nga",[1]OUT_TransportEnergyCons!$C$3:$C$1000))*1,[1]OUT_TransportEnergyCons!K$3:K$1000)</f>
        <v>0</v>
      </c>
      <c r="N1430" s="1" cm="1">
        <f t="array" ref="N1430">SUMPRODUCT(("T_B_c-ICEngaEXT"=[1]OUT_TransportEnergyCons!$A$3:$A$1000)*1,("Var_Fin"=[1]OUT_TransportEnergyCons!$B$3:$B$1000)*1,ISNUMBER(SEARCH("nga",[1]OUT_TransportEnergyCons!$C$3:$C$1000))*1,[1]OUT_TransportEnergyCons!L$3:L$1000)</f>
        <v>0</v>
      </c>
      <c r="O1430" s="1" cm="1">
        <f t="array" ref="O1430">SUMPRODUCT(("T_B_c-ICEngaEXT"=[1]OUT_TransportEnergyCons!$A$3:$A$1000)*1,("Var_Fin"=[1]OUT_TransportEnergyCons!$B$3:$B$1000)*1,ISNUMBER(SEARCH("nga",[1]OUT_TransportEnergyCons!$C$3:$C$1000))*1,[1]OUT_TransportEnergyCons!M$3:M$1000)</f>
        <v>0</v>
      </c>
      <c r="P1430" s="1" cm="1">
        <f t="array" ref="P1430">SUMPRODUCT(("T_B_c-ICEngaEXT"=[1]OUT_TransportEnergyCons!$A$3:$A$1000)*1,("Var_Fin"=[1]OUT_TransportEnergyCons!$B$3:$B$1000)*1,ISNUMBER(SEARCH("nga",[1]OUT_TransportEnergyCons!$C$3:$C$1000))*1,[1]OUT_TransportEnergyCons!N$3:N$1000)</f>
        <v>0</v>
      </c>
      <c r="Q1430" s="1" cm="1">
        <f t="array" ref="Q1430">SUMPRODUCT(("T_B_c-ICEngaEXT"=[1]OUT_TransportEnergyCons!$A$3:$A$1000)*1,("Var_Fin"=[1]OUT_TransportEnergyCons!$B$3:$B$1000)*1,ISNUMBER(SEARCH("nga",[1]OUT_TransportEnergyCons!$C$3:$C$1000))*1,[1]OUT_TransportEnergyCons!O$3:O$1000)</f>
        <v>0</v>
      </c>
      <c r="S1430" s="3"/>
    </row>
    <row r="1431" spans="2:19" x14ac:dyDescent="0.5">
      <c r="B1431" s="5" t="str">
        <f t="shared" si="1571"/>
        <v>SPS1</v>
      </c>
      <c r="C1431" s="5" t="str">
        <f t="shared" si="1572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2.2384652538185514E-4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3.5255008277180083E-3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3.3211374026970164E-3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0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4.1119452764214962E-6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1.4737920137499767E-3</v>
      </c>
      <c r="M1431" s="1" cm="1">
        <f t="array" ref="M1431">SUMPRODUCT(("T_B_c-ICEnga-S1"=[1]OUT_TransportEnergyCons!$A$3:$A$1000)*1,("Var_Fin"=[1]OUT_TransportEnergyCons!$B$3:$B$1000)*1,ISNUMBER(SEARCH("nga",[1]OUT_TransportEnergyCons!$C$3:$C$1000))*1,[1]OUT_TransportEnergyCons!K$3:K$1000)</f>
        <v>1.4705675096531373E-3</v>
      </c>
      <c r="N1431" s="1" cm="1">
        <f t="array" ref="N1431">SUMPRODUCT(("T_B_c-ICEnga-S1"=[1]OUT_TransportEnergyCons!$A$3:$A$1000)*1,("Var_Fin"=[1]OUT_TransportEnergyCons!$B$3:$B$1000)*1,ISNUMBER(SEARCH("nga",[1]OUT_TransportEnergyCons!$C$3:$C$1000))*1,[1]OUT_TransportEnergyCons!L$3:L$1000)</f>
        <v>0</v>
      </c>
      <c r="O1431" s="1" cm="1">
        <f t="array" ref="O1431">SUMPRODUCT(("T_B_c-ICEnga-S1"=[1]OUT_TransportEnergyCons!$A$3:$A$1000)*1,("Var_Fin"=[1]OUT_TransportEnergyCons!$B$3:$B$1000)*1,ISNUMBER(SEARCH("nga",[1]OUT_TransportEnergyCons!$C$3:$C$1000))*1,[1]OUT_TransportEnergyCons!M$3:M$1000)</f>
        <v>0</v>
      </c>
      <c r="P1431" s="1" cm="1">
        <f t="array" ref="P1431">SUMPRODUCT(("T_B_c-ICEnga-S1"=[1]OUT_TransportEnergyCons!$A$3:$A$1000)*1,("Var_Fin"=[1]OUT_TransportEnergyCons!$B$3:$B$1000)*1,ISNUMBER(SEARCH("nga",[1]OUT_TransportEnergyCons!$C$3:$C$1000))*1,[1]OUT_TransportEnergyCons!N$3:N$1000)</f>
        <v>0</v>
      </c>
      <c r="Q1431" s="1" cm="1">
        <f t="array" ref="Q1431">SUMPRODUCT(("T_B_c-ICEnga-S1"=[1]OUT_TransportEnergyCons!$A$3:$A$1000)*1,("Var_Fin"=[1]OUT_TransportEnergyCons!$B$3:$B$1000)*1,ISNUMBER(SEARCH("nga",[1]OUT_TransportEnergyCons!$C$3:$C$1000))*1,[1]OUT_TransportEnergyCons!O$3:O$1000)</f>
        <v>0</v>
      </c>
      <c r="S1431" s="3"/>
    </row>
    <row r="1432" spans="2:19" x14ac:dyDescent="0.5">
      <c r="B1432" s="5" t="str">
        <f t="shared" si="1571"/>
        <v>SPS1</v>
      </c>
      <c r="C1432" s="5" t="str">
        <f t="shared" si="1572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8.9809837505059139E-5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4.1739881660800277E-4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0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0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8.7023700687282494E-6</v>
      </c>
      <c r="M1432" s="1" cm="1">
        <f t="array" ref="M1432">SUMPRODUCT(("T_B_c-ICEnga-S2"=[1]OUT_TransportEnergyCons!$A$3:$A$1000)*1,("Var_Fin"=[1]OUT_TransportEnergyCons!$B$3:$B$1000)*1,ISNUMBER(SEARCH("nga",[1]OUT_TransportEnergyCons!$C$3:$C$1000))*1,[1]OUT_TransportEnergyCons!K$3:K$1000)</f>
        <v>9.8269394132539248E-6</v>
      </c>
      <c r="N1432" s="1" cm="1">
        <f t="array" ref="N1432">SUMPRODUCT(("T_B_c-ICEnga-S2"=[1]OUT_TransportEnergyCons!$A$3:$A$1000)*1,("Var_Fin"=[1]OUT_TransportEnergyCons!$B$3:$B$1000)*1,ISNUMBER(SEARCH("nga",[1]OUT_TransportEnergyCons!$C$3:$C$1000))*1,[1]OUT_TransportEnergyCons!L$3:L$1000)</f>
        <v>0</v>
      </c>
      <c r="O1432" s="1" cm="1">
        <f t="array" ref="O1432">SUMPRODUCT(("T_B_c-ICEnga-S2"=[1]OUT_TransportEnergyCons!$A$3:$A$1000)*1,("Var_Fin"=[1]OUT_TransportEnergyCons!$B$3:$B$1000)*1,ISNUMBER(SEARCH("nga",[1]OUT_TransportEnergyCons!$C$3:$C$1000))*1,[1]OUT_TransportEnergyCons!M$3:M$1000)</f>
        <v>0</v>
      </c>
      <c r="P1432" s="1" cm="1">
        <f t="array" ref="P1432">SUMPRODUCT(("T_B_c-ICEnga-S2"=[1]OUT_TransportEnergyCons!$A$3:$A$1000)*1,("Var_Fin"=[1]OUT_TransportEnergyCons!$B$3:$B$1000)*1,ISNUMBER(SEARCH("nga",[1]OUT_TransportEnergyCons!$C$3:$C$1000))*1,[1]OUT_TransportEnergyCons!N$3:N$1000)</f>
        <v>0</v>
      </c>
      <c r="Q1432" s="1" cm="1">
        <f t="array" ref="Q1432">SUMPRODUCT(("T_B_c-ICEnga-S2"=[1]OUT_TransportEnergyCons!$A$3:$A$1000)*1,("Var_Fin"=[1]OUT_TransportEnergyCons!$B$3:$B$1000)*1,ISNUMBER(SEARCH("nga",[1]OUT_TransportEnergyCons!$C$3:$C$1000))*1,[1]OUT_TransportEnergyCons!O$3:O$1000)</f>
        <v>0</v>
      </c>
      <c r="S1432" s="3"/>
    </row>
    <row r="1433" spans="2:19" x14ac:dyDescent="0.5">
      <c r="B1433" s="5" t="str">
        <f t="shared" si="1571"/>
        <v>SPS1</v>
      </c>
      <c r="C1433" s="5" t="str">
        <f t="shared" si="1572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7.41223529795479E-5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2.7646425296022663E-4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0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0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0</v>
      </c>
      <c r="M1433" s="1" cm="1">
        <f t="array" ref="M1433">SUMPRODUCT(("T_B_c-ICEnga-S3"=[1]OUT_TransportEnergyCons!$A$3:$A$1000)*1,("Var_Fin"=[1]OUT_TransportEnergyCons!$B$3:$B$1000)*1,ISNUMBER(SEARCH("nga",[1]OUT_TransportEnergyCons!$C$3:$C$1000))*1,[1]OUT_TransportEnergyCons!K$3:K$1000)</f>
        <v>0</v>
      </c>
      <c r="N1433" s="1" cm="1">
        <f t="array" ref="N1433">SUMPRODUCT(("T_B_c-ICEnga-S3"=[1]OUT_TransportEnergyCons!$A$3:$A$1000)*1,("Var_Fin"=[1]OUT_TransportEnergyCons!$B$3:$B$1000)*1,ISNUMBER(SEARCH("nga",[1]OUT_TransportEnergyCons!$C$3:$C$1000))*1,[1]OUT_TransportEnergyCons!L$3:L$1000)</f>
        <v>0</v>
      </c>
      <c r="O1433" s="1" cm="1">
        <f t="array" ref="O1433">SUMPRODUCT(("T_B_c-ICEnga-S3"=[1]OUT_TransportEnergyCons!$A$3:$A$1000)*1,("Var_Fin"=[1]OUT_TransportEnergyCons!$B$3:$B$1000)*1,ISNUMBER(SEARCH("nga",[1]OUT_TransportEnergyCons!$C$3:$C$1000))*1,[1]OUT_TransportEnergyCons!M$3:M$1000)</f>
        <v>0</v>
      </c>
      <c r="P1433" s="1" cm="1">
        <f t="array" ref="P1433">SUMPRODUCT(("T_B_c-ICEnga-S3"=[1]OUT_TransportEnergyCons!$A$3:$A$1000)*1,("Var_Fin"=[1]OUT_TransportEnergyCons!$B$3:$B$1000)*1,ISNUMBER(SEARCH("nga",[1]OUT_TransportEnergyCons!$C$3:$C$1000))*1,[1]OUT_TransportEnergyCons!N$3:N$1000)</f>
        <v>0</v>
      </c>
      <c r="Q1433" s="1" cm="1">
        <f t="array" ref="Q1433">SUMPRODUCT(("T_B_c-ICEnga-S3"=[1]OUT_TransportEnergyCons!$A$3:$A$1000)*1,("Var_Fin"=[1]OUT_TransportEnergyCons!$B$3:$B$1000)*1,ISNUMBER(SEARCH("nga",[1]OUT_TransportEnergyCons!$C$3:$C$1000))*1,[1]OUT_TransportEnergyCons!O$3:O$1000)</f>
        <v>0</v>
      </c>
      <c r="S1433" s="3"/>
    </row>
    <row r="1434" spans="2:19" x14ac:dyDescent="0.5">
      <c r="B1434" s="5" t="str">
        <f t="shared" si="1571"/>
        <v>SPS1</v>
      </c>
      <c r="C1434" s="5" t="str">
        <f t="shared" si="1572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2.179338337023574E-5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5.7990748117702002E-5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0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0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0</v>
      </c>
      <c r="M1434" s="1" cm="1">
        <f t="array" ref="M1434">SUMPRODUCT(("T_B_c-ICEnga-S4"=[1]OUT_TransportEnergyCons!$A$3:$A$1000)*1,("Var_Fin"=[1]OUT_TransportEnergyCons!$B$3:$B$1000)*1,ISNUMBER(SEARCH("nga",[1]OUT_TransportEnergyCons!$C$3:$C$1000))*1,[1]OUT_TransportEnergyCons!K$3:K$1000)</f>
        <v>0</v>
      </c>
      <c r="N1434" s="1" cm="1">
        <f t="array" ref="N1434">SUMPRODUCT(("T_B_c-ICEnga-S4"=[1]OUT_TransportEnergyCons!$A$3:$A$1000)*1,("Var_Fin"=[1]OUT_TransportEnergyCons!$B$3:$B$1000)*1,ISNUMBER(SEARCH("nga",[1]OUT_TransportEnergyCons!$C$3:$C$1000))*1,[1]OUT_TransportEnergyCons!L$3:L$1000)</f>
        <v>0</v>
      </c>
      <c r="O1434" s="1" cm="1">
        <f t="array" ref="O1434">SUMPRODUCT(("T_B_c-ICEnga-S4"=[1]OUT_TransportEnergyCons!$A$3:$A$1000)*1,("Var_Fin"=[1]OUT_TransportEnergyCons!$B$3:$B$1000)*1,ISNUMBER(SEARCH("nga",[1]OUT_TransportEnergyCons!$C$3:$C$1000))*1,[1]OUT_TransportEnergyCons!M$3:M$1000)</f>
        <v>0</v>
      </c>
      <c r="P1434" s="1" cm="1">
        <f t="array" ref="P1434">SUMPRODUCT(("T_B_c-ICEnga-S4"=[1]OUT_TransportEnergyCons!$A$3:$A$1000)*1,("Var_Fin"=[1]OUT_TransportEnergyCons!$B$3:$B$1000)*1,ISNUMBER(SEARCH("nga",[1]OUT_TransportEnergyCons!$C$3:$C$1000))*1,[1]OUT_TransportEnergyCons!N$3:N$1000)</f>
        <v>0</v>
      </c>
      <c r="Q1434" s="1" cm="1">
        <f t="array" ref="Q1434">SUMPRODUCT(("T_B_c-ICEnga-S4"=[1]OUT_TransportEnergyCons!$A$3:$A$1000)*1,("Var_Fin"=[1]OUT_TransportEnergyCons!$B$3:$B$1000)*1,ISNUMBER(SEARCH("nga",[1]OUT_TransportEnergyCons!$C$3:$C$1000))*1,[1]OUT_TransportEnergyCons!O$3:O$1000)</f>
        <v>0</v>
      </c>
      <c r="S1434" s="3"/>
    </row>
    <row r="1435" spans="2:19" x14ac:dyDescent="0.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0.1309489620802318</v>
      </c>
      <c r="G1435" s="3">
        <f t="shared" ref="G1435" si="1603">SUM(G1436:G1458)</f>
        <v>0.13163142362717103</v>
      </c>
      <c r="H1435" s="3">
        <f t="shared" ref="H1435" si="1604">SUM(H1436:H1458)</f>
        <v>0.13267162538423916</v>
      </c>
      <c r="I1435" s="3">
        <f t="shared" ref="I1435" si="1605">SUM(I1436:I1458)</f>
        <v>0.1344005104069286</v>
      </c>
      <c r="J1435" s="3">
        <f t="shared" ref="J1435" si="1606">SUM(J1436:J1458)</f>
        <v>0.13463486159954124</v>
      </c>
      <c r="K1435" s="3">
        <f t="shared" ref="K1435" si="1607">SUM(K1436:K1458)</f>
        <v>0.13472487708810546</v>
      </c>
      <c r="L1435" s="3">
        <f t="shared" ref="L1435:O1435" si="1608">SUM(L1436:L1458)</f>
        <v>0.13505502427004978</v>
      </c>
      <c r="M1435" s="3">
        <f t="shared" si="1608"/>
        <v>0.13539039596440258</v>
      </c>
      <c r="N1435" s="3">
        <f t="shared" si="1608"/>
        <v>0.13968858414284047</v>
      </c>
      <c r="O1435" s="3">
        <f t="shared" si="1608"/>
        <v>0.14382391747833628</v>
      </c>
      <c r="P1435" s="3">
        <f>SUM(P1436:P1458)</f>
        <v>0.14780415997419713</v>
      </c>
      <c r="Q1435" s="3">
        <f>SUM(Q1436:Q1458)</f>
        <v>0.1516325656720772</v>
      </c>
      <c r="S1435" s="3"/>
    </row>
    <row r="1436" spans="2:19" x14ac:dyDescent="0.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M1436" s="1" cm="1">
        <f t="array" ref="M1436">SUMPRODUCT(("T_B_c-BeVELCEXT"=[1]OUT_TransportEnergyCons!$A$3:$A$1000)*1,("var_fout"=[1]OUT_TransportEnergyCons!$B$3:$B$1000)*1,ISNUMBER(SEARCH("TPBSc",[1]OUT_TransportEnergyCons!$C$3:$C$1000))*1,[1]OUT_TransportEnergyCons!K$3:K$1000)</f>
        <v>0</v>
      </c>
      <c r="N1436" s="1" cm="1">
        <f t="array" ref="N1436">SUMPRODUCT(("T_B_c-BeVELCEXT"=[1]OUT_TransportEnergyCons!$A$3:$A$1000)*1,("var_fout"=[1]OUT_TransportEnergyCons!$B$3:$B$1000)*1,ISNUMBER(SEARCH("TPBSc",[1]OUT_TransportEnergyCons!$C$3:$C$1000))*1,[1]OUT_TransportEnergyCons!L$3:L$1000)</f>
        <v>0</v>
      </c>
      <c r="O1436" s="1" cm="1">
        <f t="array" ref="O1436">SUMPRODUCT(("T_B_c-BeVELCEXT"=[1]OUT_TransportEnergyCons!$A$3:$A$1000)*1,("var_fout"=[1]OUT_TransportEnergyCons!$B$3:$B$1000)*1,ISNUMBER(SEARCH("TPBSc",[1]OUT_TransportEnergyCons!$C$3:$C$1000))*1,[1]OUT_TransportEnergyCons!M$3:M$1000)</f>
        <v>0</v>
      </c>
      <c r="P1436" s="1" cm="1">
        <f t="array" ref="P1436">SUMPRODUCT(("T_B_c-BeVELCEXT"=[1]OUT_TransportEnergyCons!$A$3:$A$1000)*1,("var_fout"=[1]OUT_TransportEnergyCons!$B$3:$B$1000)*1,ISNUMBER(SEARCH("TPBSc",[1]OUT_TransportEnergyCons!$C$3:$C$1000))*1,[1]OUT_TransportEnergyCons!N$3:N$1000)</f>
        <v>0</v>
      </c>
      <c r="Q1436" s="1" cm="1">
        <f t="array" ref="Q1436">SUMPRODUCT(("T_B_c-BeVELCEXT"=[1]OUT_TransportEnergyCons!$A$3:$A$1000)*1,("var_fout"=[1]OUT_TransportEnergyCons!$B$3:$B$1000)*1,ISNUMBER(SEARCH("TPBSc",[1]OUT_TransportEnergyCons!$C$3:$C$1000))*1,[1]OUT_TransportEnergyCons!O$3:O$1000)</f>
        <v>0</v>
      </c>
      <c r="S1436" s="3"/>
    </row>
    <row r="1437" spans="2:19" x14ac:dyDescent="0.5">
      <c r="B1437" s="5" t="str">
        <f t="shared" ref="B1437:B1458" si="1609">B1436</f>
        <v>SPS1</v>
      </c>
      <c r="C1437" s="5" t="str">
        <f t="shared" ref="C1437:C1458" si="1610">C1436</f>
        <v>CH</v>
      </c>
      <c r="D1437" t="s">
        <v>1429</v>
      </c>
      <c r="E1437" t="str">
        <f t="shared" ref="E1437:E1458" si="1611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1.3853125296810792E-4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4.5396894842058617E-4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6.7265627886481491E-4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6.4170580420845308E-2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6.4829300112857535E-2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6.4859238179301948E-2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6.469365875437294E-2</v>
      </c>
      <c r="M1437" s="1" cm="1">
        <f t="array" ref="M1437">SUMPRODUCT(("T_B_c-BEVELC-S1"=[1]OUT_TransportEnergyCons!$A$3:$A$1000)*1,("var_fout"=[1]OUT_TransportEnergyCons!$B$3:$B$1000)*1,ISNUMBER(SEARCH("TPBSc",[1]OUT_TransportEnergyCons!$C$3:$C$1000))*1,[1]OUT_TransportEnergyCons!K$3:K$1000)</f>
        <v>6.4848533121854887E-2</v>
      </c>
      <c r="N1437" s="1" cm="1">
        <f t="array" ref="N1437">SUMPRODUCT(("T_B_c-BEVELC-S1"=[1]OUT_TransportEnergyCons!$A$3:$A$1000)*1,("var_fout"=[1]OUT_TransportEnergyCons!$B$3:$B$1000)*1,ISNUMBER(SEARCH("TPBSc",[1]OUT_TransportEnergyCons!$C$3:$C$1000))*1,[1]OUT_TransportEnergyCons!L$3:L$1000)</f>
        <v>6.7239671257503977E-2</v>
      </c>
      <c r="O1437" s="1" cm="1">
        <f t="array" ref="O1437">SUMPRODUCT(("T_B_c-BEVELC-S1"=[1]OUT_TransportEnergyCons!$A$3:$A$1000)*1,("var_fout"=[1]OUT_TransportEnergyCons!$B$3:$B$1000)*1,ISNUMBER(SEARCH("TPBSc",[1]OUT_TransportEnergyCons!$C$3:$C$1000))*1,[1]OUT_TransportEnergyCons!M$3:M$1000)</f>
        <v>6.9230304906076359E-2</v>
      </c>
      <c r="P1437" s="1" cm="1">
        <f t="array" ref="P1437">SUMPRODUCT(("T_B_c-BEVELC-S1"=[1]OUT_TransportEnergyCons!$A$3:$A$1000)*1,("var_fout"=[1]OUT_TransportEnergyCons!$B$3:$B$1000)*1,ISNUMBER(SEARCH("TPBSc",[1]OUT_TransportEnergyCons!$C$3:$C$1000))*1,[1]OUT_TransportEnergyCons!N$3:N$1000)</f>
        <v>7.1134738526966751E-2</v>
      </c>
      <c r="Q1437" s="1" cm="1">
        <f t="array" ref="Q1437">SUMPRODUCT(("T_B_c-BEVELC-S1"=[1]OUT_TransportEnergyCons!$A$3:$A$1000)*1,("var_fout"=[1]OUT_TransportEnergyCons!$B$3:$B$1000)*1,ISNUMBER(SEARCH("TPBSc",[1]OUT_TransportEnergyCons!$C$3:$C$1000))*1,[1]OUT_TransportEnergyCons!O$3:O$1000)</f>
        <v>7.2962200932445778E-2</v>
      </c>
      <c r="S1437" s="3"/>
    </row>
    <row r="1438" spans="2:19" x14ac:dyDescent="0.5">
      <c r="B1438" s="5" t="str">
        <f t="shared" si="1609"/>
        <v>SPS1</v>
      </c>
      <c r="C1438" s="5" t="str">
        <f t="shared" si="1610"/>
        <v>CH</v>
      </c>
      <c r="D1438" t="s">
        <v>1430</v>
      </c>
      <c r="E1438" t="str">
        <f t="shared" si="1611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1.6975065773505024E-4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2.1018226727834713E-4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2.5986456007125571E-4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5.740011400333183E-2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5.7502176882759597E-2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5.7540444727195453E-2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5.7679540466788838E-2</v>
      </c>
      <c r="M1438" s="1" cm="1">
        <f t="array" ref="M1438">SUMPRODUCT(("T_B_c-BEVELC-S2"=[1]OUT_TransportEnergyCons!$A$3:$A$1000)*1,("var_fout"=[1]OUT_TransportEnergyCons!$B$3:$B$1000)*1,ISNUMBER(SEARCH("TPBSc",[1]OUT_TransportEnergyCons!$C$3:$C$1000))*1,[1]OUT_TransportEnergyCons!K$3:K$1000)</f>
        <v>5.7821635157384192E-2</v>
      </c>
      <c r="N1438" s="1" cm="1">
        <f t="array" ref="N1438">SUMPRODUCT(("T_B_c-BEVELC-S2"=[1]OUT_TransportEnergyCons!$A$3:$A$1000)*1,("var_fout"=[1]OUT_TransportEnergyCons!$B$3:$B$1000)*1,ISNUMBER(SEARCH("TPBSc",[1]OUT_TransportEnergyCons!$C$3:$C$1000))*1,[1]OUT_TransportEnergyCons!L$3:L$1000)</f>
        <v>5.9658888669077266E-2</v>
      </c>
      <c r="O1438" s="1" cm="1">
        <f t="array" ref="O1438">SUMPRODUCT(("T_B_c-BEVELC-S2"=[1]OUT_TransportEnergyCons!$A$3:$A$1000)*1,("var_fout"=[1]OUT_TransportEnergyCons!$B$3:$B$1000)*1,ISNUMBER(SEARCH("TPBSc",[1]OUT_TransportEnergyCons!$C$3:$C$1000))*1,[1]OUT_TransportEnergyCons!M$3:M$1000)</f>
        <v>6.1425126667896186E-2</v>
      </c>
      <c r="P1438" s="1" cm="1">
        <f t="array" ref="P1438">SUMPRODUCT(("T_B_c-BEVELC-S2"=[1]OUT_TransportEnergyCons!$A$3:$A$1000)*1,("var_fout"=[1]OUT_TransportEnergyCons!$B$3:$B$1000)*1,ISNUMBER(SEARCH("TPBSc",[1]OUT_TransportEnergyCons!$C$3:$C$1000))*1,[1]OUT_TransportEnergyCons!N$3:N$1000)</f>
        <v>6.3124934335516053E-2</v>
      </c>
      <c r="Q1438" s="1" cm="1">
        <f t="array" ref="Q1438">SUMPRODUCT(("T_B_c-BEVELC-S2"=[1]OUT_TransportEnergyCons!$A$3:$A$1000)*1,("var_fout"=[1]OUT_TransportEnergyCons!$B$3:$B$1000)*1,ISNUMBER(SEARCH("TPBSc",[1]OUT_TransportEnergyCons!$C$3:$C$1000))*1,[1]OUT_TransportEnergyCons!O$3:O$1000)</f>
        <v>6.4760042976674634E-2</v>
      </c>
      <c r="S1438" s="3"/>
    </row>
    <row r="1439" spans="2:19" x14ac:dyDescent="0.5">
      <c r="B1439" s="5" t="str">
        <f t="shared" si="1609"/>
        <v>SPS1</v>
      </c>
      <c r="C1439" s="5" t="str">
        <f t="shared" si="1610"/>
        <v>CH</v>
      </c>
      <c r="D1439" t="s">
        <v>1431</v>
      </c>
      <c r="E1439" t="str">
        <f t="shared" si="1611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4.1748734444205716E-5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5.5575733021414613E-5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7.2145568210454052E-5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1.2275611745037942E-2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1.229849488516627E-2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1.2306602905409653E-2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1.2337028585549536E-2</v>
      </c>
      <c r="M1439" s="1" cm="1">
        <f t="array" ref="M1439">SUMPRODUCT(("T_B_c-BEVELC-S3"=[1]OUT_TransportEnergyCons!$A$3:$A$1000)*1,("var_fout"=[1]OUT_TransportEnergyCons!$B$3:$B$1000)*1,ISNUMBER(SEARCH("TPBSc",[1]OUT_TransportEnergyCons!$C$3:$C$1000))*1,[1]OUT_TransportEnergyCons!K$3:K$1000)</f>
        <v>1.2367683853318823E-2</v>
      </c>
      <c r="N1439" s="1" cm="1">
        <f t="array" ref="N1439">SUMPRODUCT(("T_B_c-BEVELC-S3"=[1]OUT_TransportEnergyCons!$A$3:$A$1000)*1,("var_fout"=[1]OUT_TransportEnergyCons!$B$3:$B$1000)*1,ISNUMBER(SEARCH("TPBSc",[1]OUT_TransportEnergyCons!$C$3:$C$1000))*1,[1]OUT_TransportEnergyCons!L$3:L$1000)</f>
        <v>1.275996360709445E-2</v>
      </c>
      <c r="O1439" s="1" cm="1">
        <f t="array" ref="O1439">SUMPRODUCT(("T_B_c-BEVELC-S3"=[1]OUT_TransportEnergyCons!$A$3:$A$1000)*1,("var_fout"=[1]OUT_TransportEnergyCons!$B$3:$B$1000)*1,ISNUMBER(SEARCH("TPBSc",[1]OUT_TransportEnergyCons!$C$3:$C$1000))*1,[1]OUT_TransportEnergyCons!M$3:M$1000)</f>
        <v>1.3137777566530477E-2</v>
      </c>
      <c r="P1439" s="1" cm="1">
        <f t="array" ref="P1439">SUMPRODUCT(("T_B_c-BEVELC-S3"=[1]OUT_TransportEnergyCons!$A$3:$A$1000)*1,("var_fout"=[1]OUT_TransportEnergyCons!$B$3:$B$1000)*1,ISNUMBER(SEARCH("TPBSc",[1]OUT_TransportEnergyCons!$C$3:$C$1000))*1,[1]OUT_TransportEnergyCons!N$3:N$1000)</f>
        <v>1.350133756795182E-2</v>
      </c>
      <c r="Q1439" s="1" cm="1">
        <f t="array" ref="Q1439">SUMPRODUCT(("T_B_c-BEVELC-S3"=[1]OUT_TransportEnergyCons!$A$3:$A$1000)*1,("var_fout"=[1]OUT_TransportEnergyCons!$B$3:$B$1000)*1,ISNUMBER(SEARCH("TPBSc",[1]OUT_TransportEnergyCons!$C$3:$C$1000))*1,[1]OUT_TransportEnergyCons!O$3:O$1000)</f>
        <v>1.3851087013814186E-2</v>
      </c>
      <c r="S1439" s="3"/>
    </row>
    <row r="1440" spans="2:19" x14ac:dyDescent="0.5">
      <c r="B1440" s="5" t="str">
        <f t="shared" si="1609"/>
        <v>SPS1</v>
      </c>
      <c r="C1440" s="5" t="str">
        <f t="shared" si="1610"/>
        <v>CH</v>
      </c>
      <c r="D1440" t="s">
        <v>1432</v>
      </c>
      <c r="E1440" t="str">
        <f t="shared" si="1611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4.4869211187532646E-6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7.6462367039341812E-6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2.2584266765857271E-6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4.8897187578336762E-6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1.7619700520540157E-5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2.0810649234057712E-5</v>
      </c>
      <c r="M1440" s="1" cm="1">
        <f t="array" ref="M1440">SUMPRODUCT(("T_B_c-BEVELC-S4"=[1]OUT_TransportEnergyCons!$A$3:$A$1000)*1,("var_fout"=[1]OUT_TransportEnergyCons!$B$3:$B$1000)*1,ISNUMBER(SEARCH("TPBSc",[1]OUT_TransportEnergyCons!$C$3:$C$1000))*1,[1]OUT_TransportEnergyCons!K$3:K$1000)</f>
        <v>2.9402022354641159E-5</v>
      </c>
      <c r="N1440" s="1" cm="1">
        <f t="array" ref="N1440">SUMPRODUCT(("T_B_c-BEVELC-S4"=[1]OUT_TransportEnergyCons!$A$3:$A$1000)*1,("var_fout"=[1]OUT_TransportEnergyCons!$B$3:$B$1000)*1,ISNUMBER(SEARCH("TPBSc",[1]OUT_TransportEnergyCons!$C$3:$C$1000))*1,[1]OUT_TransportEnergyCons!L$3:L$1000)</f>
        <v>3.0060609164785164E-5</v>
      </c>
      <c r="O1440" s="1" cm="1">
        <f t="array" ref="O1440">SUMPRODUCT(("T_B_c-BEVELC-S4"=[1]OUT_TransportEnergyCons!$A$3:$A$1000)*1,("var_fout"=[1]OUT_TransportEnergyCons!$B$3:$B$1000)*1,ISNUMBER(SEARCH("TPBSc",[1]OUT_TransportEnergyCons!$C$3:$C$1000))*1,[1]OUT_TransportEnergyCons!M$3:M$1000)</f>
        <v>3.0708337833247859E-5</v>
      </c>
      <c r="P1440" s="1" cm="1">
        <f t="array" ref="P1440">SUMPRODUCT(("T_B_c-BEVELC-S4"=[1]OUT_TransportEnergyCons!$A$3:$A$1000)*1,("var_fout"=[1]OUT_TransportEnergyCons!$B$3:$B$1000)*1,ISNUMBER(SEARCH("TPBSc",[1]OUT_TransportEnergyCons!$C$3:$C$1000))*1,[1]OUT_TransportEnergyCons!N$3:N$1000)</f>
        <v>4.3149543762509896E-5</v>
      </c>
      <c r="Q1440" s="1" cm="1">
        <f t="array" ref="Q1440">SUMPRODUCT(("T_B_c-BEVELC-S4"=[1]OUT_TransportEnergyCons!$A$3:$A$1000)*1,("var_fout"=[1]OUT_TransportEnergyCons!$B$3:$B$1000)*1,ISNUMBER(SEARCH("TPBSc",[1]OUT_TransportEnergyCons!$C$3:$C$1000))*1,[1]OUT_TransportEnergyCons!O$3:O$1000)</f>
        <v>5.923474914258903E-5</v>
      </c>
      <c r="S1440" s="3"/>
    </row>
    <row r="1441" spans="2:19" x14ac:dyDescent="0.5">
      <c r="B1441" s="5" t="str">
        <f t="shared" si="1609"/>
        <v>SPS1</v>
      </c>
      <c r="C1441" s="5" t="str">
        <f t="shared" si="1610"/>
        <v>CH</v>
      </c>
      <c r="D1441" t="s">
        <v>1433</v>
      </c>
      <c r="E1441" t="str">
        <f t="shared" si="1611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0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0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0</v>
      </c>
      <c r="M1441" s="1" cm="1">
        <f t="array" ref="M1441">SUMPRODUCT(("T_B_c-FCLH2O-S1"=[1]OUT_TransportEnergyCons!$A$3:$A$1000)*1,("var_fout"=[1]OUT_TransportEnergyCons!$B$3:$B$1000)*1,ISNUMBER(SEARCH("TPBSc",[1]OUT_TransportEnergyCons!$C$3:$C$1000))*1,[1]OUT_TransportEnergyCons!K$3:K$1000)</f>
        <v>0</v>
      </c>
      <c r="N1441" s="1" cm="1">
        <f t="array" ref="N1441">SUMPRODUCT(("T_B_c-FCLH2O-S1"=[1]OUT_TransportEnergyCons!$A$3:$A$1000)*1,("var_fout"=[1]OUT_TransportEnergyCons!$B$3:$B$1000)*1,ISNUMBER(SEARCH("TPBSc",[1]OUT_TransportEnergyCons!$C$3:$C$1000))*1,[1]OUT_TransportEnergyCons!L$3:L$1000)</f>
        <v>0</v>
      </c>
      <c r="O1441" s="1" cm="1">
        <f t="array" ref="O1441">SUMPRODUCT(("T_B_c-FCLH2O-S1"=[1]OUT_TransportEnergyCons!$A$3:$A$1000)*1,("var_fout"=[1]OUT_TransportEnergyCons!$B$3:$B$1000)*1,ISNUMBER(SEARCH("TPBSc",[1]OUT_TransportEnergyCons!$C$3:$C$1000))*1,[1]OUT_TransportEnergyCons!M$3:M$1000)</f>
        <v>0</v>
      </c>
      <c r="P1441" s="1" cm="1">
        <f t="array" ref="P1441">SUMPRODUCT(("T_B_c-FCLH2O-S1"=[1]OUT_TransportEnergyCons!$A$3:$A$1000)*1,("var_fout"=[1]OUT_TransportEnergyCons!$B$3:$B$1000)*1,ISNUMBER(SEARCH("TPBSc",[1]OUT_TransportEnergyCons!$C$3:$C$1000))*1,[1]OUT_TransportEnergyCons!N$3:N$1000)</f>
        <v>0</v>
      </c>
      <c r="Q1441" s="1" cm="1">
        <f t="array" ref="Q1441">SUMPRODUCT(("T_B_c-FCLH2O-S1"=[1]OUT_TransportEnergyCons!$A$3:$A$1000)*1,("var_fout"=[1]OUT_TransportEnergyCons!$B$3:$B$1000)*1,ISNUMBER(SEARCH("TPBSc",[1]OUT_TransportEnergyCons!$C$3:$C$1000))*1,[1]OUT_TransportEnergyCons!O$3:O$1000)</f>
        <v>0</v>
      </c>
      <c r="S1441" s="3"/>
    </row>
    <row r="1442" spans="2:19" x14ac:dyDescent="0.5">
      <c r="B1442" s="5" t="str">
        <f t="shared" si="1609"/>
        <v>SPS1</v>
      </c>
      <c r="C1442" s="5" t="str">
        <f t="shared" si="1610"/>
        <v>CH</v>
      </c>
      <c r="D1442" t="s">
        <v>1434</v>
      </c>
      <c r="E1442" t="str">
        <f t="shared" si="1611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0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0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0</v>
      </c>
      <c r="M1442" s="1" cm="1">
        <f t="array" ref="M1442">SUMPRODUCT(("T_B_c-FCLH2O-S2"=[1]OUT_TransportEnergyCons!$A$3:$A$1000)*1,("var_fout"=[1]OUT_TransportEnergyCons!$B$3:$B$1000)*1,ISNUMBER(SEARCH("TPBSc",[1]OUT_TransportEnergyCons!$C$3:$C$1000))*1,[1]OUT_TransportEnergyCons!K$3:K$1000)</f>
        <v>0</v>
      </c>
      <c r="N1442" s="1" cm="1">
        <f t="array" ref="N1442">SUMPRODUCT(("T_B_c-FCLH2O-S2"=[1]OUT_TransportEnergyCons!$A$3:$A$1000)*1,("var_fout"=[1]OUT_TransportEnergyCons!$B$3:$B$1000)*1,ISNUMBER(SEARCH("TPBSc",[1]OUT_TransportEnergyCons!$C$3:$C$1000))*1,[1]OUT_TransportEnergyCons!L$3:L$1000)</f>
        <v>0</v>
      </c>
      <c r="O1442" s="1" cm="1">
        <f t="array" ref="O1442">SUMPRODUCT(("T_B_c-FCLH2O-S2"=[1]OUT_TransportEnergyCons!$A$3:$A$1000)*1,("var_fout"=[1]OUT_TransportEnergyCons!$B$3:$B$1000)*1,ISNUMBER(SEARCH("TPBSc",[1]OUT_TransportEnergyCons!$C$3:$C$1000))*1,[1]OUT_TransportEnergyCons!M$3:M$1000)</f>
        <v>0</v>
      </c>
      <c r="P1442" s="1" cm="1">
        <f t="array" ref="P1442">SUMPRODUCT(("T_B_c-FCLH2O-S2"=[1]OUT_TransportEnergyCons!$A$3:$A$1000)*1,("var_fout"=[1]OUT_TransportEnergyCons!$B$3:$B$1000)*1,ISNUMBER(SEARCH("TPBSc",[1]OUT_TransportEnergyCons!$C$3:$C$1000))*1,[1]OUT_TransportEnergyCons!N$3:N$1000)</f>
        <v>0</v>
      </c>
      <c r="Q1442" s="1" cm="1">
        <f t="array" ref="Q1442">SUMPRODUCT(("T_B_c-FCLH2O-S2"=[1]OUT_TransportEnergyCons!$A$3:$A$1000)*1,("var_fout"=[1]OUT_TransportEnergyCons!$B$3:$B$1000)*1,ISNUMBER(SEARCH("TPBSc",[1]OUT_TransportEnergyCons!$C$3:$C$1000))*1,[1]OUT_TransportEnergyCons!O$3:O$1000)</f>
        <v>0</v>
      </c>
      <c r="S1442" s="3"/>
    </row>
    <row r="1443" spans="2:19" x14ac:dyDescent="0.5">
      <c r="B1443" s="5" t="str">
        <f t="shared" si="1609"/>
        <v>SPS1</v>
      </c>
      <c r="C1443" s="5" t="str">
        <f t="shared" si="1610"/>
        <v>CH</v>
      </c>
      <c r="D1443" t="s">
        <v>1435</v>
      </c>
      <c r="E1443" t="str">
        <f t="shared" si="1611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0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0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0</v>
      </c>
      <c r="M1443" s="1" cm="1">
        <f t="array" ref="M1443">SUMPRODUCT(("T_B_c-FCLH2O-S3"=[1]OUT_TransportEnergyCons!$A$3:$A$1000)*1,("var_fout"=[1]OUT_TransportEnergyCons!$B$3:$B$1000)*1,ISNUMBER(SEARCH("TPBSc",[1]OUT_TransportEnergyCons!$C$3:$C$1000))*1,[1]OUT_TransportEnergyCons!K$3:K$1000)</f>
        <v>0</v>
      </c>
      <c r="N1443" s="1" cm="1">
        <f t="array" ref="N1443">SUMPRODUCT(("T_B_c-FCLH2O-S3"=[1]OUT_TransportEnergyCons!$A$3:$A$1000)*1,("var_fout"=[1]OUT_TransportEnergyCons!$B$3:$B$1000)*1,ISNUMBER(SEARCH("TPBSc",[1]OUT_TransportEnergyCons!$C$3:$C$1000))*1,[1]OUT_TransportEnergyCons!L$3:L$1000)</f>
        <v>0</v>
      </c>
      <c r="O1443" s="1" cm="1">
        <f t="array" ref="O1443">SUMPRODUCT(("T_B_c-FCLH2O-S3"=[1]OUT_TransportEnergyCons!$A$3:$A$1000)*1,("var_fout"=[1]OUT_TransportEnergyCons!$B$3:$B$1000)*1,ISNUMBER(SEARCH("TPBSc",[1]OUT_TransportEnergyCons!$C$3:$C$1000))*1,[1]OUT_TransportEnergyCons!M$3:M$1000)</f>
        <v>0</v>
      </c>
      <c r="P1443" s="1" cm="1">
        <f t="array" ref="P1443">SUMPRODUCT(("T_B_c-FCLH2O-S3"=[1]OUT_TransportEnergyCons!$A$3:$A$1000)*1,("var_fout"=[1]OUT_TransportEnergyCons!$B$3:$B$1000)*1,ISNUMBER(SEARCH("TPBSc",[1]OUT_TransportEnergyCons!$C$3:$C$1000))*1,[1]OUT_TransportEnergyCons!N$3:N$1000)</f>
        <v>0</v>
      </c>
      <c r="Q1443" s="1" cm="1">
        <f t="array" ref="Q1443">SUMPRODUCT(("T_B_c-FCLH2O-S3"=[1]OUT_TransportEnergyCons!$A$3:$A$1000)*1,("var_fout"=[1]OUT_TransportEnergyCons!$B$3:$B$1000)*1,ISNUMBER(SEARCH("TPBSc",[1]OUT_TransportEnergyCons!$C$3:$C$1000))*1,[1]OUT_TransportEnergyCons!O$3:O$1000)</f>
        <v>0</v>
      </c>
      <c r="S1443" s="3"/>
    </row>
    <row r="1444" spans="2:19" x14ac:dyDescent="0.5">
      <c r="B1444" s="5" t="str">
        <f t="shared" si="1609"/>
        <v>SPS1</v>
      </c>
      <c r="C1444" s="5" t="str">
        <f t="shared" si="1610"/>
        <v>CH</v>
      </c>
      <c r="D1444" t="s">
        <v>1436</v>
      </c>
      <c r="E1444" t="str">
        <f t="shared" si="1611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0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0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0</v>
      </c>
      <c r="M1444" s="1" cm="1">
        <f t="array" ref="M1444">SUMPRODUCT(("T_B_c-FCLH2O-S4"=[1]OUT_TransportEnergyCons!$A$3:$A$1000)*1,("var_fout"=[1]OUT_TransportEnergyCons!$B$3:$B$1000)*1,ISNUMBER(SEARCH("TPBSc",[1]OUT_TransportEnergyCons!$C$3:$C$1000))*1,[1]OUT_TransportEnergyCons!K$3:K$1000)</f>
        <v>0</v>
      </c>
      <c r="N1444" s="1" cm="1">
        <f t="array" ref="N1444">SUMPRODUCT(("T_B_c-FCLH2O-S4"=[1]OUT_TransportEnergyCons!$A$3:$A$1000)*1,("var_fout"=[1]OUT_TransportEnergyCons!$B$3:$B$1000)*1,ISNUMBER(SEARCH("TPBSc",[1]OUT_TransportEnergyCons!$C$3:$C$1000))*1,[1]OUT_TransportEnergyCons!L$3:L$1000)</f>
        <v>0</v>
      </c>
      <c r="O1444" s="1" cm="1">
        <f t="array" ref="O1444">SUMPRODUCT(("T_B_c-FCLH2O-S4"=[1]OUT_TransportEnergyCons!$A$3:$A$1000)*1,("var_fout"=[1]OUT_TransportEnergyCons!$B$3:$B$1000)*1,ISNUMBER(SEARCH("TPBSc",[1]OUT_TransportEnergyCons!$C$3:$C$1000))*1,[1]OUT_TransportEnergyCons!M$3:M$1000)</f>
        <v>0</v>
      </c>
      <c r="P1444" s="1" cm="1">
        <f t="array" ref="P1444">SUMPRODUCT(("T_B_c-FCLH2O-S4"=[1]OUT_TransportEnergyCons!$A$3:$A$1000)*1,("var_fout"=[1]OUT_TransportEnergyCons!$B$3:$B$1000)*1,ISNUMBER(SEARCH("TPBSc",[1]OUT_TransportEnergyCons!$C$3:$C$1000))*1,[1]OUT_TransportEnergyCons!N$3:N$1000)</f>
        <v>0</v>
      </c>
      <c r="Q1444" s="1" cm="1">
        <f t="array" ref="Q1444">SUMPRODUCT(("T_B_c-FCLH2O-S4"=[1]OUT_TransportEnergyCons!$A$3:$A$1000)*1,("var_fout"=[1]OUT_TransportEnergyCons!$B$3:$B$1000)*1,ISNUMBER(SEARCH("TPBSc",[1]OUT_TransportEnergyCons!$C$3:$C$1000))*1,[1]OUT_TransportEnergyCons!O$3:O$1000)</f>
        <v>0</v>
      </c>
      <c r="S1444" s="3"/>
    </row>
    <row r="1445" spans="2:19" x14ac:dyDescent="0.5">
      <c r="B1445" s="5" t="str">
        <f t="shared" si="1609"/>
        <v>SPS1</v>
      </c>
      <c r="C1445" s="5" t="str">
        <f t="shared" si="1610"/>
        <v>CH</v>
      </c>
      <c r="D1445" t="s">
        <v>1437</v>
      </c>
      <c r="E1445" t="str">
        <f t="shared" si="1611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2.9095311780972643E-4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3.3563166770126827E-4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2.7197889232132791E-7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0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3.4281860048775238E-7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8.5345857710165577E-5</v>
      </c>
      <c r="M1445" s="1" cm="1">
        <f t="array" ref="M1445">SUMPRODUCT(("T_B_c-HYBDSL-S1"=[1]OUT_TransportEnergyCons!$A$3:$A$1000)*1,("var_fout"=[1]OUT_TransportEnergyCons!$B$3:$B$1000)*1,ISNUMBER(SEARCH("TPBSc",[1]OUT_TransportEnergyCons!$C$3:$C$1000))*1,[1]OUT_TransportEnergyCons!K$3:K$1000)</f>
        <v>8.5142555802043365E-5</v>
      </c>
      <c r="N1445" s="1" cm="1">
        <f t="array" ref="N1445">SUMPRODUCT(("T_B_c-HYBDSL-S1"=[1]OUT_TransportEnergyCons!$A$3:$A$1000)*1,("var_fout"=[1]OUT_TransportEnergyCons!$B$3:$B$1000)*1,ISNUMBER(SEARCH("TPBSc",[1]OUT_TransportEnergyCons!$C$3:$C$1000))*1,[1]OUT_TransportEnergyCons!L$3:L$1000)</f>
        <v>0</v>
      </c>
      <c r="O1445" s="1" cm="1">
        <f t="array" ref="O1445">SUMPRODUCT(("T_B_c-HYBDSL-S1"=[1]OUT_TransportEnergyCons!$A$3:$A$1000)*1,("var_fout"=[1]OUT_TransportEnergyCons!$B$3:$B$1000)*1,ISNUMBER(SEARCH("TPBSc",[1]OUT_TransportEnergyCons!$C$3:$C$1000))*1,[1]OUT_TransportEnergyCons!M$3:M$1000)</f>
        <v>0</v>
      </c>
      <c r="P1445" s="1" cm="1">
        <f t="array" ref="P1445">SUMPRODUCT(("T_B_c-HYBDSL-S1"=[1]OUT_TransportEnergyCons!$A$3:$A$1000)*1,("var_fout"=[1]OUT_TransportEnergyCons!$B$3:$B$1000)*1,ISNUMBER(SEARCH("TPBSc",[1]OUT_TransportEnergyCons!$C$3:$C$1000))*1,[1]OUT_TransportEnergyCons!N$3:N$1000)</f>
        <v>0</v>
      </c>
      <c r="Q1445" s="1" cm="1">
        <f t="array" ref="Q1445">SUMPRODUCT(("T_B_c-HYBDSL-S1"=[1]OUT_TransportEnergyCons!$A$3:$A$1000)*1,("var_fout"=[1]OUT_TransportEnergyCons!$B$3:$B$1000)*1,ISNUMBER(SEARCH("TPBSc",[1]OUT_TransportEnergyCons!$C$3:$C$1000))*1,[1]OUT_TransportEnergyCons!O$3:O$1000)</f>
        <v>0</v>
      </c>
      <c r="S1445" s="3"/>
    </row>
    <row r="1446" spans="2:19" x14ac:dyDescent="0.5">
      <c r="B1446" s="5" t="str">
        <f t="shared" si="1609"/>
        <v>SPS1</v>
      </c>
      <c r="C1446" s="5" t="str">
        <f t="shared" si="1610"/>
        <v>CH</v>
      </c>
      <c r="D1446" t="s">
        <v>1438</v>
      </c>
      <c r="E1446" t="str">
        <f t="shared" si="1611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1.8309660934155764E-5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3.6523361739281625E-5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0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0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0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0</v>
      </c>
      <c r="M1446" s="1" cm="1">
        <f t="array" ref="M1446">SUMPRODUCT(("T_B_c-HYBDSL-S2"=[1]OUT_TransportEnergyCons!$A$3:$A$1000)*1,("var_fout"=[1]OUT_TransportEnergyCons!$B$3:$B$1000)*1,ISNUMBER(SEARCH("TPBSc",[1]OUT_TransportEnergyCons!$C$3:$C$1000))*1,[1]OUT_TransportEnergyCons!K$3:K$1000)</f>
        <v>0</v>
      </c>
      <c r="N1446" s="1" cm="1">
        <f t="array" ref="N1446">SUMPRODUCT(("T_B_c-HYBDSL-S2"=[1]OUT_TransportEnergyCons!$A$3:$A$1000)*1,("var_fout"=[1]OUT_TransportEnergyCons!$B$3:$B$1000)*1,ISNUMBER(SEARCH("TPBSc",[1]OUT_TransportEnergyCons!$C$3:$C$1000))*1,[1]OUT_TransportEnergyCons!L$3:L$1000)</f>
        <v>0</v>
      </c>
      <c r="O1446" s="1" cm="1">
        <f t="array" ref="O1446">SUMPRODUCT(("T_B_c-HYBDSL-S2"=[1]OUT_TransportEnergyCons!$A$3:$A$1000)*1,("var_fout"=[1]OUT_TransportEnergyCons!$B$3:$B$1000)*1,ISNUMBER(SEARCH("TPBSc",[1]OUT_TransportEnergyCons!$C$3:$C$1000))*1,[1]OUT_TransportEnergyCons!M$3:M$1000)</f>
        <v>0</v>
      </c>
      <c r="P1446" s="1" cm="1">
        <f t="array" ref="P1446">SUMPRODUCT(("T_B_c-HYBDSL-S2"=[1]OUT_TransportEnergyCons!$A$3:$A$1000)*1,("var_fout"=[1]OUT_TransportEnergyCons!$B$3:$B$1000)*1,ISNUMBER(SEARCH("TPBSc",[1]OUT_TransportEnergyCons!$C$3:$C$1000))*1,[1]OUT_TransportEnergyCons!N$3:N$1000)</f>
        <v>0</v>
      </c>
      <c r="Q1446" s="1" cm="1">
        <f t="array" ref="Q1446">SUMPRODUCT(("T_B_c-HYBDSL-S2"=[1]OUT_TransportEnergyCons!$A$3:$A$1000)*1,("var_fout"=[1]OUT_TransportEnergyCons!$B$3:$B$1000)*1,ISNUMBER(SEARCH("TPBSc",[1]OUT_TransportEnergyCons!$C$3:$C$1000))*1,[1]OUT_TransportEnergyCons!O$3:O$1000)</f>
        <v>0</v>
      </c>
      <c r="S1446" s="3"/>
    </row>
    <row r="1447" spans="2:19" x14ac:dyDescent="0.5">
      <c r="B1447" s="5" t="str">
        <f t="shared" si="1609"/>
        <v>SPS1</v>
      </c>
      <c r="C1447" s="5" t="str">
        <f t="shared" si="1610"/>
        <v>CH</v>
      </c>
      <c r="D1447" t="s">
        <v>1439</v>
      </c>
      <c r="E1447" t="str">
        <f t="shared" si="1611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8.3220775071837301E-6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1.5457741024017272E-5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0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0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0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0</v>
      </c>
      <c r="M1447" s="1" cm="1">
        <f t="array" ref="M1447">SUMPRODUCT(("T_B_c-HYBDSL-S3"=[1]OUT_TransportEnergyCons!$A$3:$A$1000)*1,("var_fout"=[1]OUT_TransportEnergyCons!$B$3:$B$1000)*1,ISNUMBER(SEARCH("TPBSc",[1]OUT_TransportEnergyCons!$C$3:$C$1000))*1,[1]OUT_TransportEnergyCons!K$3:K$1000)</f>
        <v>0</v>
      </c>
      <c r="N1447" s="1" cm="1">
        <f t="array" ref="N1447">SUMPRODUCT(("T_B_c-HYBDSL-S3"=[1]OUT_TransportEnergyCons!$A$3:$A$1000)*1,("var_fout"=[1]OUT_TransportEnergyCons!$B$3:$B$1000)*1,ISNUMBER(SEARCH("TPBSc",[1]OUT_TransportEnergyCons!$C$3:$C$1000))*1,[1]OUT_TransportEnergyCons!L$3:L$1000)</f>
        <v>0</v>
      </c>
      <c r="O1447" s="1" cm="1">
        <f t="array" ref="O1447">SUMPRODUCT(("T_B_c-HYBDSL-S3"=[1]OUT_TransportEnergyCons!$A$3:$A$1000)*1,("var_fout"=[1]OUT_TransportEnergyCons!$B$3:$B$1000)*1,ISNUMBER(SEARCH("TPBSc",[1]OUT_TransportEnergyCons!$C$3:$C$1000))*1,[1]OUT_TransportEnergyCons!M$3:M$1000)</f>
        <v>0</v>
      </c>
      <c r="P1447" s="1" cm="1">
        <f t="array" ref="P1447">SUMPRODUCT(("T_B_c-HYBDSL-S3"=[1]OUT_TransportEnergyCons!$A$3:$A$1000)*1,("var_fout"=[1]OUT_TransportEnergyCons!$B$3:$B$1000)*1,ISNUMBER(SEARCH("TPBSc",[1]OUT_TransportEnergyCons!$C$3:$C$1000))*1,[1]OUT_TransportEnergyCons!N$3:N$1000)</f>
        <v>0</v>
      </c>
      <c r="Q1447" s="1" cm="1">
        <f t="array" ref="Q1447">SUMPRODUCT(("T_B_c-HYBDSL-S3"=[1]OUT_TransportEnergyCons!$A$3:$A$1000)*1,("var_fout"=[1]OUT_TransportEnergyCons!$B$3:$B$1000)*1,ISNUMBER(SEARCH("TPBSc",[1]OUT_TransportEnergyCons!$C$3:$C$1000))*1,[1]OUT_TransportEnergyCons!O$3:O$1000)</f>
        <v>0</v>
      </c>
      <c r="S1447" s="3"/>
    </row>
    <row r="1448" spans="2:19" x14ac:dyDescent="0.5">
      <c r="B1448" s="5" t="str">
        <f t="shared" si="1609"/>
        <v>SPS1</v>
      </c>
      <c r="C1448" s="5" t="str">
        <f t="shared" si="1610"/>
        <v>CH</v>
      </c>
      <c r="D1448" t="s">
        <v>1440</v>
      </c>
      <c r="E1448" t="str">
        <f t="shared" si="1611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1.3442847642313899E-6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2.5442295637353837E-6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0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0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0</v>
      </c>
      <c r="M1448" s="1" cm="1">
        <f t="array" ref="M1448">SUMPRODUCT(("T_B_c-HYBDSL-S4"=[1]OUT_TransportEnergyCons!$A$3:$A$1000)*1,("var_fout"=[1]OUT_TransportEnergyCons!$B$3:$B$1000)*1,ISNUMBER(SEARCH("TPBSc",[1]OUT_TransportEnergyCons!$C$3:$C$1000))*1,[1]OUT_TransportEnergyCons!K$3:K$1000)</f>
        <v>0</v>
      </c>
      <c r="N1448" s="1" cm="1">
        <f t="array" ref="N1448">SUMPRODUCT(("T_B_c-HYBDSL-S4"=[1]OUT_TransportEnergyCons!$A$3:$A$1000)*1,("var_fout"=[1]OUT_TransportEnergyCons!$B$3:$B$1000)*1,ISNUMBER(SEARCH("TPBSc",[1]OUT_TransportEnergyCons!$C$3:$C$1000))*1,[1]OUT_TransportEnergyCons!L$3:L$1000)</f>
        <v>0</v>
      </c>
      <c r="O1448" s="1" cm="1">
        <f t="array" ref="O1448">SUMPRODUCT(("T_B_c-HYBDSL-S4"=[1]OUT_TransportEnergyCons!$A$3:$A$1000)*1,("var_fout"=[1]OUT_TransportEnergyCons!$B$3:$B$1000)*1,ISNUMBER(SEARCH("TPBSc",[1]OUT_TransportEnergyCons!$C$3:$C$1000))*1,[1]OUT_TransportEnergyCons!M$3:M$1000)</f>
        <v>0</v>
      </c>
      <c r="P1448" s="1" cm="1">
        <f t="array" ref="P1448">SUMPRODUCT(("T_B_c-HYBDSL-S4"=[1]OUT_TransportEnergyCons!$A$3:$A$1000)*1,("var_fout"=[1]OUT_TransportEnergyCons!$B$3:$B$1000)*1,ISNUMBER(SEARCH("TPBSc",[1]OUT_TransportEnergyCons!$C$3:$C$1000))*1,[1]OUT_TransportEnergyCons!N$3:N$1000)</f>
        <v>0</v>
      </c>
      <c r="Q1448" s="1" cm="1">
        <f t="array" ref="Q1448">SUMPRODUCT(("T_B_c-HYBDSL-S4"=[1]OUT_TransportEnergyCons!$A$3:$A$1000)*1,("var_fout"=[1]OUT_TransportEnergyCons!$B$3:$B$1000)*1,ISNUMBER(SEARCH("TPBSc",[1]OUT_TransportEnergyCons!$C$3:$C$1000))*1,[1]OUT_TransportEnergyCons!O$3:O$1000)</f>
        <v>0</v>
      </c>
      <c r="S1448" s="3"/>
    </row>
    <row r="1449" spans="2:19" x14ac:dyDescent="0.5">
      <c r="B1449" s="5" t="str">
        <f t="shared" si="1609"/>
        <v>SPS1</v>
      </c>
      <c r="C1449" s="5" t="str">
        <f t="shared" si="1610"/>
        <v>CH</v>
      </c>
      <c r="D1449" t="s">
        <v>2116</v>
      </c>
      <c r="E1449" t="str">
        <f t="shared" si="1611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5.9973985641314564E-2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4.7983432061271994E-2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2.9988353809870628E-2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M1449" s="1" cm="1">
        <f t="array" ref="M1449">SUMPRODUCT(("T_B_c-ICEDSLEXT"=[1]OUT_TransportEnergyCons!$A$3:$A$1000)*1,("var_fout"=[1]OUT_TransportEnergyCons!$B$3:$B$1000)*1,ISNUMBER(SEARCH("TPBSc",[1]OUT_TransportEnergyCons!$C$3:$C$1000))*1,[1]OUT_TransportEnergyCons!K$3:K$1000)</f>
        <v>0</v>
      </c>
      <c r="N1449" s="1" cm="1">
        <f t="array" ref="N1449">SUMPRODUCT(("T_B_c-ICEDSLEXT"=[1]OUT_TransportEnergyCons!$A$3:$A$1000)*1,("var_fout"=[1]OUT_TransportEnergyCons!$B$3:$B$1000)*1,ISNUMBER(SEARCH("TPBSc",[1]OUT_TransportEnergyCons!$C$3:$C$1000))*1,[1]OUT_TransportEnergyCons!L$3:L$1000)</f>
        <v>0</v>
      </c>
      <c r="O1449" s="1" cm="1">
        <f t="array" ref="O1449">SUMPRODUCT(("T_B_c-ICEDSLEXT"=[1]OUT_TransportEnergyCons!$A$3:$A$1000)*1,("var_fout"=[1]OUT_TransportEnergyCons!$B$3:$B$1000)*1,ISNUMBER(SEARCH("TPBSc",[1]OUT_TransportEnergyCons!$C$3:$C$1000))*1,[1]OUT_TransportEnergyCons!M$3:M$1000)</f>
        <v>0</v>
      </c>
      <c r="P1449" s="1" cm="1">
        <f t="array" ref="P1449">SUMPRODUCT(("T_B_c-ICEDSLEXT"=[1]OUT_TransportEnergyCons!$A$3:$A$1000)*1,("var_fout"=[1]OUT_TransportEnergyCons!$B$3:$B$1000)*1,ISNUMBER(SEARCH("TPBSc",[1]OUT_TransportEnergyCons!$C$3:$C$1000))*1,[1]OUT_TransportEnergyCons!N$3:N$1000)</f>
        <v>0</v>
      </c>
      <c r="Q1449" s="1" cm="1">
        <f t="array" ref="Q1449">SUMPRODUCT(("T_B_c-ICEDSLEXT"=[1]OUT_TransportEnergyCons!$A$3:$A$1000)*1,("var_fout"=[1]OUT_TransportEnergyCons!$B$3:$B$1000)*1,ISNUMBER(SEARCH("TPBSc",[1]OUT_TransportEnergyCons!$C$3:$C$1000))*1,[1]OUT_TransportEnergyCons!O$3:O$1000)</f>
        <v>0</v>
      </c>
      <c r="S1449" s="3"/>
    </row>
    <row r="1450" spans="2:19" x14ac:dyDescent="0.5">
      <c r="B1450" s="5" t="str">
        <f t="shared" si="1609"/>
        <v>SPS1</v>
      </c>
      <c r="C1450" s="5" t="str">
        <f t="shared" si="1610"/>
        <v>CH</v>
      </c>
      <c r="D1450" t="s">
        <v>1441</v>
      </c>
      <c r="E1450" t="str">
        <f t="shared" si="1611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1.4045372035365211E-2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3.8960874862767128E-2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4.7635752385836602E-2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1.2674538377956099E-4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0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0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1.0697666297717358E-6</v>
      </c>
      <c r="M1450" s="1" cm="1">
        <f t="array" ref="M1450">SUMPRODUCT(("T_B_c-ICEDSL-S1"=[1]OUT_TransportEnergyCons!$A$3:$A$1000)*1,("var_fout"=[1]OUT_TransportEnergyCons!$B$3:$B$1000)*1,ISNUMBER(SEARCH("TPBSc",[1]OUT_TransportEnergyCons!$C$3:$C$1000))*1,[1]OUT_TransportEnergyCons!K$3:K$1000)</f>
        <v>7.4127992727521438E-7</v>
      </c>
      <c r="N1450" s="1" cm="1">
        <f t="array" ref="N1450">SUMPRODUCT(("T_B_c-ICEDSL-S1"=[1]OUT_TransportEnergyCons!$A$3:$A$1000)*1,("var_fout"=[1]OUT_TransportEnergyCons!$B$3:$B$1000)*1,ISNUMBER(SEARCH("TPBSc",[1]OUT_TransportEnergyCons!$C$3:$C$1000))*1,[1]OUT_TransportEnergyCons!L$3:L$1000)</f>
        <v>0</v>
      </c>
      <c r="O1450" s="1" cm="1">
        <f t="array" ref="O1450">SUMPRODUCT(("T_B_c-ICEDSL-S1"=[1]OUT_TransportEnergyCons!$A$3:$A$1000)*1,("var_fout"=[1]OUT_TransportEnergyCons!$B$3:$B$1000)*1,ISNUMBER(SEARCH("TPBSc",[1]OUT_TransportEnergyCons!$C$3:$C$1000))*1,[1]OUT_TransportEnergyCons!M$3:M$1000)</f>
        <v>0</v>
      </c>
      <c r="P1450" s="1" cm="1">
        <f t="array" ref="P1450">SUMPRODUCT(("T_B_c-ICEDSL-S1"=[1]OUT_TransportEnergyCons!$A$3:$A$1000)*1,("var_fout"=[1]OUT_TransportEnergyCons!$B$3:$B$1000)*1,ISNUMBER(SEARCH("TPBSc",[1]OUT_TransportEnergyCons!$C$3:$C$1000))*1,[1]OUT_TransportEnergyCons!N$3:N$1000)</f>
        <v>0</v>
      </c>
      <c r="Q1450" s="1" cm="1">
        <f t="array" ref="Q1450">SUMPRODUCT(("T_B_c-ICEDSL-S1"=[1]OUT_TransportEnergyCons!$A$3:$A$1000)*1,("var_fout"=[1]OUT_TransportEnergyCons!$B$3:$B$1000)*1,ISNUMBER(SEARCH("TPBSc",[1]OUT_TransportEnergyCons!$C$3:$C$1000))*1,[1]OUT_TransportEnergyCons!O$3:O$1000)</f>
        <v>0</v>
      </c>
      <c r="S1450" s="3"/>
    </row>
    <row r="1451" spans="2:19" x14ac:dyDescent="0.5">
      <c r="B1451" s="5" t="str">
        <f t="shared" si="1609"/>
        <v>SPS1</v>
      </c>
      <c r="C1451" s="5" t="str">
        <f t="shared" si="1610"/>
        <v>CH</v>
      </c>
      <c r="D1451" t="s">
        <v>1442</v>
      </c>
      <c r="E1451" t="str">
        <f t="shared" si="1611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4.5425984533545294E-2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3.5023520919916548E-2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4.3232996194109793E-2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7.3901754014101344E-7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0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0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9.0850075800837693E-8</v>
      </c>
      <c r="M1451" s="1" cm="1">
        <f t="array" ref="M1451">SUMPRODUCT(("T_B_c-ICEDSL-S2"=[1]OUT_TransportEnergyCons!$A$3:$A$1000)*1,("var_fout"=[1]OUT_TransportEnergyCons!$B$3:$B$1000)*1,ISNUMBER(SEARCH("TPBSc",[1]OUT_TransportEnergyCons!$C$3:$C$1000))*1,[1]OUT_TransportEnergyCons!K$3:K$1000)</f>
        <v>1.3864438803719519E-7</v>
      </c>
      <c r="N1451" s="1" cm="1">
        <f t="array" ref="N1451">SUMPRODUCT(("T_B_c-ICEDSL-S2"=[1]OUT_TransportEnergyCons!$A$3:$A$1000)*1,("var_fout"=[1]OUT_TransportEnergyCons!$B$3:$B$1000)*1,ISNUMBER(SEARCH("TPBSc",[1]OUT_TransportEnergyCons!$C$3:$C$1000))*1,[1]OUT_TransportEnergyCons!L$3:L$1000)</f>
        <v>0</v>
      </c>
      <c r="O1451" s="1" cm="1">
        <f t="array" ref="O1451">SUMPRODUCT(("T_B_c-ICEDSL-S2"=[1]OUT_TransportEnergyCons!$A$3:$A$1000)*1,("var_fout"=[1]OUT_TransportEnergyCons!$B$3:$B$1000)*1,ISNUMBER(SEARCH("TPBSc",[1]OUT_TransportEnergyCons!$C$3:$C$1000))*1,[1]OUT_TransportEnergyCons!M$3:M$1000)</f>
        <v>0</v>
      </c>
      <c r="P1451" s="1" cm="1">
        <f t="array" ref="P1451">SUMPRODUCT(("T_B_c-ICEDSL-S2"=[1]OUT_TransportEnergyCons!$A$3:$A$1000)*1,("var_fout"=[1]OUT_TransportEnergyCons!$B$3:$B$1000)*1,ISNUMBER(SEARCH("TPBSc",[1]OUT_TransportEnergyCons!$C$3:$C$1000))*1,[1]OUT_TransportEnergyCons!N$3:N$1000)</f>
        <v>0</v>
      </c>
      <c r="Q1451" s="1" cm="1">
        <f t="array" ref="Q1451">SUMPRODUCT(("T_B_c-ICEDSL-S2"=[1]OUT_TransportEnergyCons!$A$3:$A$1000)*1,("var_fout"=[1]OUT_TransportEnergyCons!$B$3:$B$1000)*1,ISNUMBER(SEARCH("TPBSc",[1]OUT_TransportEnergyCons!$C$3:$C$1000))*1,[1]OUT_TransportEnergyCons!O$3:O$1000)</f>
        <v>0</v>
      </c>
      <c r="S1451" s="3"/>
    </row>
    <row r="1452" spans="2:19" x14ac:dyDescent="0.5">
      <c r="B1452" s="5" t="str">
        <f t="shared" si="1609"/>
        <v>SPS1</v>
      </c>
      <c r="C1452" s="5" t="str">
        <f t="shared" si="1610"/>
        <v>CH</v>
      </c>
      <c r="D1452" t="s">
        <v>1443</v>
      </c>
      <c r="E1452" t="str">
        <f t="shared" si="1611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9.2749291543437144E-3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7.4716735201643377E-3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9.2120750968354009E-3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0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0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0</v>
      </c>
      <c r="M1452" s="1" cm="1">
        <f t="array" ref="M1452">SUMPRODUCT(("T_B_c-ICEDSL-S3"=[1]OUT_TransportEnergyCons!$A$3:$A$1000)*1,("var_fout"=[1]OUT_TransportEnergyCons!$B$3:$B$1000)*1,ISNUMBER(SEARCH("TPBSc",[1]OUT_TransportEnergyCons!$C$3:$C$1000))*1,[1]OUT_TransportEnergyCons!K$3:K$1000)</f>
        <v>0</v>
      </c>
      <c r="N1452" s="1" cm="1">
        <f t="array" ref="N1452">SUMPRODUCT(("T_B_c-ICEDSL-S3"=[1]OUT_TransportEnergyCons!$A$3:$A$1000)*1,("var_fout"=[1]OUT_TransportEnergyCons!$B$3:$B$1000)*1,ISNUMBER(SEARCH("TPBSc",[1]OUT_TransportEnergyCons!$C$3:$C$1000))*1,[1]OUT_TransportEnergyCons!L$3:L$1000)</f>
        <v>0</v>
      </c>
      <c r="O1452" s="1" cm="1">
        <f t="array" ref="O1452">SUMPRODUCT(("T_B_c-ICEDSL-S3"=[1]OUT_TransportEnergyCons!$A$3:$A$1000)*1,("var_fout"=[1]OUT_TransportEnergyCons!$B$3:$B$1000)*1,ISNUMBER(SEARCH("TPBSc",[1]OUT_TransportEnergyCons!$C$3:$C$1000))*1,[1]OUT_TransportEnergyCons!M$3:M$1000)</f>
        <v>0</v>
      </c>
      <c r="P1452" s="1" cm="1">
        <f t="array" ref="P1452">SUMPRODUCT(("T_B_c-ICEDSL-S3"=[1]OUT_TransportEnergyCons!$A$3:$A$1000)*1,("var_fout"=[1]OUT_TransportEnergyCons!$B$3:$B$1000)*1,ISNUMBER(SEARCH("TPBSc",[1]OUT_TransportEnergyCons!$C$3:$C$1000))*1,[1]OUT_TransportEnergyCons!N$3:N$1000)</f>
        <v>0</v>
      </c>
      <c r="Q1452" s="1" cm="1">
        <f t="array" ref="Q1452">SUMPRODUCT(("T_B_c-ICEDSL-S3"=[1]OUT_TransportEnergyCons!$A$3:$A$1000)*1,("var_fout"=[1]OUT_TransportEnergyCons!$B$3:$B$1000)*1,ISNUMBER(SEARCH("TPBSc",[1]OUT_TransportEnergyCons!$C$3:$C$1000))*1,[1]OUT_TransportEnergyCons!O$3:O$1000)</f>
        <v>0</v>
      </c>
      <c r="S1452" s="3"/>
    </row>
    <row r="1453" spans="2:19" x14ac:dyDescent="0.5">
      <c r="B1453" s="5" t="str">
        <f t="shared" si="1609"/>
        <v>SPS1</v>
      </c>
      <c r="C1453" s="5" t="str">
        <f t="shared" si="1610"/>
        <v>CH</v>
      </c>
      <c r="D1453" t="s">
        <v>1444</v>
      </c>
      <c r="E1453" t="str">
        <f t="shared" si="1611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5.1423147795831711E-4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1.4133533543403294E-5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1.526050146892857E-5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0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0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0</v>
      </c>
      <c r="M1453" s="1" cm="1">
        <f t="array" ref="M1453">SUMPRODUCT(("T_B_c-ICEDSL-S4"=[1]OUT_TransportEnergyCons!$A$3:$A$1000)*1,("var_fout"=[1]OUT_TransportEnergyCons!$B$3:$B$1000)*1,ISNUMBER(SEARCH("TPBSc",[1]OUT_TransportEnergyCons!$C$3:$C$1000))*1,[1]OUT_TransportEnergyCons!K$3:K$1000)</f>
        <v>0</v>
      </c>
      <c r="N1453" s="1" cm="1">
        <f t="array" ref="N1453">SUMPRODUCT(("T_B_c-ICEDSL-S4"=[1]OUT_TransportEnergyCons!$A$3:$A$1000)*1,("var_fout"=[1]OUT_TransportEnergyCons!$B$3:$B$1000)*1,ISNUMBER(SEARCH("TPBSc",[1]OUT_TransportEnergyCons!$C$3:$C$1000))*1,[1]OUT_TransportEnergyCons!L$3:L$1000)</f>
        <v>0</v>
      </c>
      <c r="O1453" s="1" cm="1">
        <f t="array" ref="O1453">SUMPRODUCT(("T_B_c-ICEDSL-S4"=[1]OUT_TransportEnergyCons!$A$3:$A$1000)*1,("var_fout"=[1]OUT_TransportEnergyCons!$B$3:$B$1000)*1,ISNUMBER(SEARCH("TPBSc",[1]OUT_TransportEnergyCons!$C$3:$C$1000))*1,[1]OUT_TransportEnergyCons!M$3:M$1000)</f>
        <v>0</v>
      </c>
      <c r="P1453" s="1" cm="1">
        <f t="array" ref="P1453">SUMPRODUCT(("T_B_c-ICEDSL-S4"=[1]OUT_TransportEnergyCons!$A$3:$A$1000)*1,("var_fout"=[1]OUT_TransportEnergyCons!$B$3:$B$1000)*1,ISNUMBER(SEARCH("TPBSc",[1]OUT_TransportEnergyCons!$C$3:$C$1000))*1,[1]OUT_TransportEnergyCons!N$3:N$1000)</f>
        <v>0</v>
      </c>
      <c r="Q1453" s="1" cm="1">
        <f t="array" ref="Q1453">SUMPRODUCT(("T_B_c-ICEDSL-S4"=[1]OUT_TransportEnergyCons!$A$3:$A$1000)*1,("var_fout"=[1]OUT_TransportEnergyCons!$B$3:$B$1000)*1,ISNUMBER(SEARCH("TPBSc",[1]OUT_TransportEnergyCons!$C$3:$C$1000))*1,[1]OUT_TransportEnergyCons!O$3:O$1000)</f>
        <v>0</v>
      </c>
      <c r="S1453" s="3"/>
    </row>
    <row r="1454" spans="2:19" x14ac:dyDescent="0.5">
      <c r="B1454" s="5" t="str">
        <f t="shared" si="1609"/>
        <v>SPS1</v>
      </c>
      <c r="C1454" s="5" t="str">
        <f t="shared" si="1610"/>
        <v>CH</v>
      </c>
      <c r="D1454" t="s">
        <v>2119</v>
      </c>
      <c r="E1454" t="str">
        <f t="shared" si="1611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1.3644285925573274E-3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1.0950937886659853E-3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6.8419249377800549E-4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M1454" s="1" cm="1">
        <f t="array" ref="M1454">SUMPRODUCT(("T_B_c-ICEngaEXT"=[1]OUT_TransportEnergyCons!$A$3:$A$1000)*1,("var_fout"=[1]OUT_TransportEnergyCons!$B$3:$B$1000)*1,ISNUMBER(SEARCH("TPBSc",[1]OUT_TransportEnergyCons!$C$3:$C$1000))*1,[1]OUT_TransportEnergyCons!K$3:K$1000)</f>
        <v>0</v>
      </c>
      <c r="N1454" s="1" cm="1">
        <f t="array" ref="N1454">SUMPRODUCT(("T_B_c-ICEngaEXT"=[1]OUT_TransportEnergyCons!$A$3:$A$1000)*1,("var_fout"=[1]OUT_TransportEnergyCons!$B$3:$B$1000)*1,ISNUMBER(SEARCH("TPBSc",[1]OUT_TransportEnergyCons!$C$3:$C$1000))*1,[1]OUT_TransportEnergyCons!L$3:L$1000)</f>
        <v>0</v>
      </c>
      <c r="O1454" s="1" cm="1">
        <f t="array" ref="O1454">SUMPRODUCT(("T_B_c-ICEngaEXT"=[1]OUT_TransportEnergyCons!$A$3:$A$1000)*1,("var_fout"=[1]OUT_TransportEnergyCons!$B$3:$B$1000)*1,ISNUMBER(SEARCH("TPBSc",[1]OUT_TransportEnergyCons!$C$3:$C$1000))*1,[1]OUT_TransportEnergyCons!M$3:M$1000)</f>
        <v>0</v>
      </c>
      <c r="P1454" s="1" cm="1">
        <f t="array" ref="P1454">SUMPRODUCT(("T_B_c-ICEngaEXT"=[1]OUT_TransportEnergyCons!$A$3:$A$1000)*1,("var_fout"=[1]OUT_TransportEnergyCons!$B$3:$B$1000)*1,ISNUMBER(SEARCH("TPBSc",[1]OUT_TransportEnergyCons!$C$3:$C$1000))*1,[1]OUT_TransportEnergyCons!N$3:N$1000)</f>
        <v>0</v>
      </c>
      <c r="Q1454" s="1" cm="1">
        <f t="array" ref="Q1454">SUMPRODUCT(("T_B_c-ICEngaEXT"=[1]OUT_TransportEnergyCons!$A$3:$A$1000)*1,("var_fout"=[1]OUT_TransportEnergyCons!$B$3:$B$1000)*1,ISNUMBER(SEARCH("TPBSc",[1]OUT_TransportEnergyCons!$C$3:$C$1000))*1,[1]OUT_TransportEnergyCons!O$3:O$1000)</f>
        <v>0</v>
      </c>
      <c r="S1454" s="3"/>
    </row>
    <row r="1455" spans="2:19" x14ac:dyDescent="0.5">
      <c r="B1455" s="5" t="str">
        <f t="shared" si="1609"/>
        <v>SPS1</v>
      </c>
      <c r="C1455" s="5" t="str">
        <f t="shared" si="1610"/>
        <v>CH</v>
      </c>
      <c r="D1455" t="s">
        <v>1445</v>
      </c>
      <c r="E1455" t="str">
        <f t="shared" si="1611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2.6914751016227696E-5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4.4525356215714495E-4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4.2418943082493524E-4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0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6.2875707740884392E-7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2.3650502858933023E-4</v>
      </c>
      <c r="M1455" s="1" cm="1">
        <f t="array" ref="M1455">SUMPRODUCT(("T_B_c-ICEnga-S1"=[1]OUT_TransportEnergyCons!$A$3:$A$1000)*1,("var_fout"=[1]OUT_TransportEnergyCons!$B$3:$B$1000)*1,ISNUMBER(SEARCH("TPBSc",[1]OUT_TransportEnergyCons!$C$3:$C$1000))*1,[1]OUT_TransportEnergyCons!K$3:K$1000)</f>
        <v>2.3601911229765809E-4</v>
      </c>
      <c r="N1455" s="1" cm="1">
        <f t="array" ref="N1455">SUMPRODUCT(("T_B_c-ICEnga-S1"=[1]OUT_TransportEnergyCons!$A$3:$A$1000)*1,("var_fout"=[1]OUT_TransportEnergyCons!$B$3:$B$1000)*1,ISNUMBER(SEARCH("TPBSc",[1]OUT_TransportEnergyCons!$C$3:$C$1000))*1,[1]OUT_TransportEnergyCons!L$3:L$1000)</f>
        <v>0</v>
      </c>
      <c r="O1455" s="1" cm="1">
        <f t="array" ref="O1455">SUMPRODUCT(("T_B_c-ICEnga-S1"=[1]OUT_TransportEnergyCons!$A$3:$A$1000)*1,("var_fout"=[1]OUT_TransportEnergyCons!$B$3:$B$1000)*1,ISNUMBER(SEARCH("TPBSc",[1]OUT_TransportEnergyCons!$C$3:$C$1000))*1,[1]OUT_TransportEnergyCons!M$3:M$1000)</f>
        <v>0</v>
      </c>
      <c r="P1455" s="1" cm="1">
        <f t="array" ref="P1455">SUMPRODUCT(("T_B_c-ICEnga-S1"=[1]OUT_TransportEnergyCons!$A$3:$A$1000)*1,("var_fout"=[1]OUT_TransportEnergyCons!$B$3:$B$1000)*1,ISNUMBER(SEARCH("TPBSc",[1]OUT_TransportEnergyCons!$C$3:$C$1000))*1,[1]OUT_TransportEnergyCons!N$3:N$1000)</f>
        <v>0</v>
      </c>
      <c r="Q1455" s="1" cm="1">
        <f t="array" ref="Q1455">SUMPRODUCT(("T_B_c-ICEnga-S1"=[1]OUT_TransportEnergyCons!$A$3:$A$1000)*1,("var_fout"=[1]OUT_TransportEnergyCons!$B$3:$B$1000)*1,ISNUMBER(SEARCH("TPBSc",[1]OUT_TransportEnergyCons!$C$3:$C$1000))*1,[1]OUT_TransportEnergyCons!O$3:O$1000)</f>
        <v>0</v>
      </c>
      <c r="S1455" s="3"/>
    </row>
    <row r="1456" spans="2:19" x14ac:dyDescent="0.5">
      <c r="B1456" s="5" t="str">
        <f t="shared" si="1609"/>
        <v>SPS1</v>
      </c>
      <c r="C1456" s="5" t="str">
        <f t="shared" si="1610"/>
        <v>CH</v>
      </c>
      <c r="D1456" t="s">
        <v>1446</v>
      </c>
      <c r="E1456" t="str">
        <f t="shared" si="1611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7.6336634147830438E-6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3.6863552629473828E-5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0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0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9.7431109935872741E-7</v>
      </c>
      <c r="M1456" s="1" cm="1">
        <f t="array" ref="M1456">SUMPRODUCT(("T_B_c-ICEnga-S2"=[1]OUT_TransportEnergyCons!$A$3:$A$1000)*1,("var_fout"=[1]OUT_TransportEnergyCons!$B$3:$B$1000)*1,ISNUMBER(SEARCH("TPBSc",[1]OUT_TransportEnergyCons!$C$3:$C$1000))*1,[1]OUT_TransportEnergyCons!K$3:K$1000)</f>
        <v>1.1002170750546161E-6</v>
      </c>
      <c r="N1456" s="1" cm="1">
        <f t="array" ref="N1456">SUMPRODUCT(("T_B_c-ICEnga-S2"=[1]OUT_TransportEnergyCons!$A$3:$A$1000)*1,("var_fout"=[1]OUT_TransportEnergyCons!$B$3:$B$1000)*1,ISNUMBER(SEARCH("TPBSc",[1]OUT_TransportEnergyCons!$C$3:$C$1000))*1,[1]OUT_TransportEnergyCons!L$3:L$1000)</f>
        <v>0</v>
      </c>
      <c r="O1456" s="1" cm="1">
        <f t="array" ref="O1456">SUMPRODUCT(("T_B_c-ICEnga-S2"=[1]OUT_TransportEnergyCons!$A$3:$A$1000)*1,("var_fout"=[1]OUT_TransportEnergyCons!$B$3:$B$1000)*1,ISNUMBER(SEARCH("TPBSc",[1]OUT_TransportEnergyCons!$C$3:$C$1000))*1,[1]OUT_TransportEnergyCons!M$3:M$1000)</f>
        <v>0</v>
      </c>
      <c r="P1456" s="1" cm="1">
        <f t="array" ref="P1456">SUMPRODUCT(("T_B_c-ICEnga-S2"=[1]OUT_TransportEnergyCons!$A$3:$A$1000)*1,("var_fout"=[1]OUT_TransportEnergyCons!$B$3:$B$1000)*1,ISNUMBER(SEARCH("TPBSc",[1]OUT_TransportEnergyCons!$C$3:$C$1000))*1,[1]OUT_TransportEnergyCons!N$3:N$1000)</f>
        <v>0</v>
      </c>
      <c r="Q1456" s="1" cm="1">
        <f t="array" ref="Q1456">SUMPRODUCT(("T_B_c-ICEnga-S2"=[1]OUT_TransportEnergyCons!$A$3:$A$1000)*1,("var_fout"=[1]OUT_TransportEnergyCons!$B$3:$B$1000)*1,ISNUMBER(SEARCH("TPBSc",[1]OUT_TransportEnergyCons!$C$3:$C$1000))*1,[1]OUT_TransportEnergyCons!O$3:O$1000)</f>
        <v>0</v>
      </c>
      <c r="S1456" s="3"/>
    </row>
    <row r="1457" spans="2:19" x14ac:dyDescent="0.5">
      <c r="B1457" s="5" t="str">
        <f t="shared" si="1609"/>
        <v>SPS1</v>
      </c>
      <c r="C1457" s="5" t="str">
        <f t="shared" si="1610"/>
        <v>CH</v>
      </c>
      <c r="D1457" t="s">
        <v>1447</v>
      </c>
      <c r="E1457" t="str">
        <f t="shared" si="1611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4.1821412922729797E-6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1.6158308743066862E-5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0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0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0</v>
      </c>
      <c r="M1457" s="1" cm="1">
        <f t="array" ref="M1457">SUMPRODUCT(("T_B_c-ICEnga-S3"=[1]OUT_TransportEnergyCons!$A$3:$A$1000)*1,("var_fout"=[1]OUT_TransportEnergyCons!$B$3:$B$1000)*1,ISNUMBER(SEARCH("TPBSc",[1]OUT_TransportEnergyCons!$C$3:$C$1000))*1,[1]OUT_TransportEnergyCons!K$3:K$1000)</f>
        <v>0</v>
      </c>
      <c r="N1457" s="1" cm="1">
        <f t="array" ref="N1457">SUMPRODUCT(("T_B_c-ICEnga-S3"=[1]OUT_TransportEnergyCons!$A$3:$A$1000)*1,("var_fout"=[1]OUT_TransportEnergyCons!$B$3:$B$1000)*1,ISNUMBER(SEARCH("TPBSc",[1]OUT_TransportEnergyCons!$C$3:$C$1000))*1,[1]OUT_TransportEnergyCons!L$3:L$1000)</f>
        <v>0</v>
      </c>
      <c r="O1457" s="1" cm="1">
        <f t="array" ref="O1457">SUMPRODUCT(("T_B_c-ICEnga-S3"=[1]OUT_TransportEnergyCons!$A$3:$A$1000)*1,("var_fout"=[1]OUT_TransportEnergyCons!$B$3:$B$1000)*1,ISNUMBER(SEARCH("TPBSc",[1]OUT_TransportEnergyCons!$C$3:$C$1000))*1,[1]OUT_TransportEnergyCons!M$3:M$1000)</f>
        <v>0</v>
      </c>
      <c r="P1457" s="1" cm="1">
        <f t="array" ref="P1457">SUMPRODUCT(("T_B_c-ICEnga-S3"=[1]OUT_TransportEnergyCons!$A$3:$A$1000)*1,("var_fout"=[1]OUT_TransportEnergyCons!$B$3:$B$1000)*1,ISNUMBER(SEARCH("TPBSc",[1]OUT_TransportEnergyCons!$C$3:$C$1000))*1,[1]OUT_TransportEnergyCons!N$3:N$1000)</f>
        <v>0</v>
      </c>
      <c r="Q1457" s="1" cm="1">
        <f t="array" ref="Q1457">SUMPRODUCT(("T_B_c-ICEnga-S3"=[1]OUT_TransportEnergyCons!$A$3:$A$1000)*1,("var_fout"=[1]OUT_TransportEnergyCons!$B$3:$B$1000)*1,ISNUMBER(SEARCH("TPBSc",[1]OUT_TransportEnergyCons!$C$3:$C$1000))*1,[1]OUT_TransportEnergyCons!O$3:O$1000)</f>
        <v>0</v>
      </c>
      <c r="S1457" s="3"/>
    </row>
    <row r="1458" spans="2:19" x14ac:dyDescent="0.5">
      <c r="B1458" s="5" t="str">
        <f t="shared" si="1609"/>
        <v>SPS1</v>
      </c>
      <c r="C1458" s="5" t="str">
        <f t="shared" si="1610"/>
        <v>CH</v>
      </c>
      <c r="D1458" t="s">
        <v>1448</v>
      </c>
      <c r="E1458" t="str">
        <f t="shared" si="1611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8.2137426396136567E-7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2.2498349313264764E-6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0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0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0</v>
      </c>
      <c r="M1458" s="1" cm="1">
        <f t="array" ref="M1458">SUMPRODUCT(("T_B_c-ICEnga-S4"=[1]OUT_TransportEnergyCons!$A$3:$A$1000)*1,("var_fout"=[1]OUT_TransportEnergyCons!$B$3:$B$1000)*1,ISNUMBER(SEARCH("TPBSc",[1]OUT_TransportEnergyCons!$C$3:$C$1000))*1,[1]OUT_TransportEnergyCons!K$3:K$1000)</f>
        <v>0</v>
      </c>
      <c r="N1458" s="1" cm="1">
        <f t="array" ref="N1458">SUMPRODUCT(("T_B_c-ICEnga-S4"=[1]OUT_TransportEnergyCons!$A$3:$A$1000)*1,("var_fout"=[1]OUT_TransportEnergyCons!$B$3:$B$1000)*1,ISNUMBER(SEARCH("TPBSc",[1]OUT_TransportEnergyCons!$C$3:$C$1000))*1,[1]OUT_TransportEnergyCons!L$3:L$1000)</f>
        <v>0</v>
      </c>
      <c r="O1458" s="1" cm="1">
        <f t="array" ref="O1458">SUMPRODUCT(("T_B_c-ICEnga-S4"=[1]OUT_TransportEnergyCons!$A$3:$A$1000)*1,("var_fout"=[1]OUT_TransportEnergyCons!$B$3:$B$1000)*1,ISNUMBER(SEARCH("TPBSc",[1]OUT_TransportEnergyCons!$C$3:$C$1000))*1,[1]OUT_TransportEnergyCons!M$3:M$1000)</f>
        <v>0</v>
      </c>
      <c r="P1458" s="1" cm="1">
        <f t="array" ref="P1458">SUMPRODUCT(("T_B_c-ICEnga-S4"=[1]OUT_TransportEnergyCons!$A$3:$A$1000)*1,("var_fout"=[1]OUT_TransportEnergyCons!$B$3:$B$1000)*1,ISNUMBER(SEARCH("TPBSc",[1]OUT_TransportEnergyCons!$C$3:$C$1000))*1,[1]OUT_TransportEnergyCons!N$3:N$1000)</f>
        <v>0</v>
      </c>
      <c r="Q1458" s="1" cm="1">
        <f t="array" ref="Q1458">SUMPRODUCT(("T_B_c-ICEnga-S4"=[1]OUT_TransportEnergyCons!$A$3:$A$1000)*1,("var_fout"=[1]OUT_TransportEnergyCons!$B$3:$B$1000)*1,ISNUMBER(SEARCH("TPBSc",[1]OUT_TransportEnergyCons!$C$3:$C$1000))*1,[1]OUT_TransportEnergyCons!O$3:O$1000)</f>
        <v>0</v>
      </c>
      <c r="S1458" s="3"/>
    </row>
    <row r="1459" spans="2:19" x14ac:dyDescent="0.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19" t="s">
        <v>292</v>
      </c>
      <c r="G1459" s="19" t="s">
        <v>292</v>
      </c>
      <c r="H1459" s="19" t="s">
        <v>292</v>
      </c>
      <c r="I1459" s="19" t="s">
        <v>292</v>
      </c>
      <c r="J1459" s="19" t="s">
        <v>292</v>
      </c>
      <c r="K1459" s="19" t="s">
        <v>292</v>
      </c>
      <c r="L1459" s="19" t="s">
        <v>292</v>
      </c>
      <c r="M1459" s="19" t="s">
        <v>292</v>
      </c>
      <c r="N1459" s="19" t="s">
        <v>292</v>
      </c>
      <c r="O1459" s="19" t="s">
        <v>292</v>
      </c>
      <c r="P1459" s="19" t="s">
        <v>292</v>
      </c>
      <c r="Q1459" s="19" t="s">
        <v>292</v>
      </c>
      <c r="S1459" s="3"/>
    </row>
    <row r="1460" spans="2:19" x14ac:dyDescent="0.5">
      <c r="B1460" s="5" t="str">
        <f t="shared" ref="B1460:B1482" si="1612">B1459</f>
        <v>SPS1</v>
      </c>
      <c r="C1460" s="5" t="str">
        <f t="shared" ref="C1460:C1482" si="1613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614">IFERROR(G1436/G1401,"-")</f>
        <v>-</v>
      </c>
      <c r="H1460" s="1" t="str">
        <f t="shared" si="1614"/>
        <v>-</v>
      </c>
      <c r="I1460" s="1" t="str">
        <f t="shared" si="1614"/>
        <v>-</v>
      </c>
      <c r="J1460" s="1" t="str">
        <f t="shared" si="1614"/>
        <v>-</v>
      </c>
      <c r="K1460" s="1" t="str">
        <f t="shared" si="1614"/>
        <v>-</v>
      </c>
      <c r="L1460" s="1" t="str">
        <f t="shared" ref="L1460:O1460" si="1615">IFERROR(L1436/L1401,"-")</f>
        <v>-</v>
      </c>
      <c r="M1460" s="1" t="str">
        <f t="shared" si="1615"/>
        <v>-</v>
      </c>
      <c r="N1460" s="1" t="str">
        <f t="shared" si="1615"/>
        <v>-</v>
      </c>
      <c r="O1460" s="1" t="str">
        <f t="shared" si="1615"/>
        <v>-</v>
      </c>
      <c r="P1460" s="1" t="str">
        <f t="shared" ref="P1460:Q1464" si="1616">IFERROR(P1436/P1401,"-")</f>
        <v>-</v>
      </c>
      <c r="Q1460" s="1" t="str">
        <f t="shared" si="1616"/>
        <v>-</v>
      </c>
      <c r="S1460" s="3"/>
    </row>
    <row r="1461" spans="2:19" x14ac:dyDescent="0.5">
      <c r="B1461" s="5" t="str">
        <f t="shared" si="1612"/>
        <v>SPS1</v>
      </c>
      <c r="C1461" s="5" t="str">
        <f t="shared" si="1613"/>
        <v>CH</v>
      </c>
      <c r="D1461" t="s">
        <v>1450</v>
      </c>
      <c r="E1461" t="s">
        <v>1229</v>
      </c>
      <c r="F1461" s="1">
        <f t="shared" ref="F1461:K1461" si="1617">IFERROR(F1437/F1402,"-")</f>
        <v>0.37869321701871783</v>
      </c>
      <c r="G1461" s="1">
        <f t="shared" si="1617"/>
        <v>0.3854781685764469</v>
      </c>
      <c r="H1461" s="1">
        <f t="shared" si="1617"/>
        <v>0.39413059696223851</v>
      </c>
      <c r="I1461" s="1">
        <f t="shared" si="1617"/>
        <v>0.44732368925464089</v>
      </c>
      <c r="J1461" s="1">
        <f t="shared" si="1617"/>
        <v>0.47065358828874299</v>
      </c>
      <c r="K1461" s="1">
        <f t="shared" si="1617"/>
        <v>0.47146657183572821</v>
      </c>
      <c r="L1461" s="1">
        <f t="shared" ref="L1461:O1461" si="1618">IFERROR(L1437/L1402,"-")</f>
        <v>0.49282692261705496</v>
      </c>
      <c r="M1461" s="1">
        <f t="shared" si="1618"/>
        <v>0.53061111474085787</v>
      </c>
      <c r="N1461" s="1">
        <f t="shared" si="1618"/>
        <v>0.53732637344606715</v>
      </c>
      <c r="O1461" s="1">
        <f t="shared" si="1618"/>
        <v>0.54235716283703506</v>
      </c>
      <c r="P1461" s="1">
        <f t="shared" si="1616"/>
        <v>0.54235716283703461</v>
      </c>
      <c r="Q1461" s="1">
        <f t="shared" si="1616"/>
        <v>0.54235716283703472</v>
      </c>
      <c r="S1461" s="3"/>
    </row>
    <row r="1462" spans="2:19" x14ac:dyDescent="0.5">
      <c r="B1462" s="5" t="str">
        <f t="shared" si="1612"/>
        <v>SPS1</v>
      </c>
      <c r="C1462" s="5" t="str">
        <f t="shared" si="1613"/>
        <v>CH</v>
      </c>
      <c r="D1462" t="s">
        <v>1451</v>
      </c>
      <c r="E1462" t="s">
        <v>1229</v>
      </c>
      <c r="F1462" s="1">
        <f t="shared" ref="F1462:K1462" si="1619">IFERROR(F1438/F1403,"-")</f>
        <v>0.27518070496490699</v>
      </c>
      <c r="G1462" s="1">
        <f t="shared" si="1619"/>
        <v>0.27861894142077376</v>
      </c>
      <c r="H1462" s="1">
        <f t="shared" si="1619"/>
        <v>0.2815675907796939</v>
      </c>
      <c r="I1462" s="1">
        <f t="shared" si="1619"/>
        <v>0.3243252282821692</v>
      </c>
      <c r="J1462" s="1">
        <f t="shared" si="1619"/>
        <v>0.32591963931783013</v>
      </c>
      <c r="K1462" s="1">
        <f t="shared" si="1619"/>
        <v>0.34974410400716416</v>
      </c>
      <c r="L1462" s="1">
        <f t="shared" ref="L1462:O1462" si="1620">IFERROR(L1438/L1403,"-")</f>
        <v>0.36137997744046924</v>
      </c>
      <c r="M1462" s="1">
        <f t="shared" si="1620"/>
        <v>0.37958717154983018</v>
      </c>
      <c r="N1462" s="1">
        <f t="shared" si="1620"/>
        <v>0.39058421151919148</v>
      </c>
      <c r="O1462" s="1">
        <f t="shared" si="1620"/>
        <v>0.3924160651173102</v>
      </c>
      <c r="P1462" s="1">
        <f t="shared" si="1616"/>
        <v>0.39241606511730942</v>
      </c>
      <c r="Q1462" s="1">
        <f t="shared" si="1616"/>
        <v>0.39241606511730903</v>
      </c>
      <c r="S1462" s="3"/>
    </row>
    <row r="1463" spans="2:19" x14ac:dyDescent="0.5">
      <c r="B1463" s="5" t="str">
        <f t="shared" si="1612"/>
        <v>SPS1</v>
      </c>
      <c r="C1463" s="5" t="str">
        <f t="shared" si="1613"/>
        <v>CH</v>
      </c>
      <c r="D1463" t="s">
        <v>1452</v>
      </c>
      <c r="E1463" t="s">
        <v>1229</v>
      </c>
      <c r="F1463" s="1">
        <f t="shared" ref="F1463:K1463" si="1621">IFERROR(F1439/F1404,"-")</f>
        <v>0.18297040713439891</v>
      </c>
      <c r="G1463" s="1">
        <f t="shared" si="1621"/>
        <v>0.18433409788587574</v>
      </c>
      <c r="H1463" s="1">
        <f t="shared" si="1621"/>
        <v>0.18698055929679577</v>
      </c>
      <c r="I1463" s="1">
        <f t="shared" si="1621"/>
        <v>0.21591894562735708</v>
      </c>
      <c r="J1463" s="1">
        <f t="shared" si="1621"/>
        <v>0.21866005613698974</v>
      </c>
      <c r="K1463" s="1">
        <f t="shared" si="1621"/>
        <v>0.23622160401977488</v>
      </c>
      <c r="L1463" s="1">
        <f t="shared" ref="L1463:O1463" si="1622">IFERROR(L1439/L1404,"-")</f>
        <v>0.24209617895581068</v>
      </c>
      <c r="M1463" s="1">
        <f t="shared" si="1622"/>
        <v>0.25837961547417565</v>
      </c>
      <c r="N1463" s="1">
        <f t="shared" si="1622"/>
        <v>0.2615755603129537</v>
      </c>
      <c r="O1463" s="1">
        <f t="shared" si="1622"/>
        <v>0.2621428183671381</v>
      </c>
      <c r="P1463" s="1">
        <f t="shared" si="1616"/>
        <v>0.26214281836713821</v>
      </c>
      <c r="Q1463" s="1">
        <f t="shared" si="1616"/>
        <v>0.26214281836713799</v>
      </c>
      <c r="S1463" s="3"/>
    </row>
    <row r="1464" spans="2:19" x14ac:dyDescent="0.5">
      <c r="B1464" s="5" t="str">
        <f t="shared" si="1612"/>
        <v>SPS1</v>
      </c>
      <c r="C1464" s="5" t="str">
        <f t="shared" si="1613"/>
        <v>CH</v>
      </c>
      <c r="D1464" t="s">
        <v>1453</v>
      </c>
      <c r="E1464" t="s">
        <v>1229</v>
      </c>
      <c r="F1464" s="1" t="str">
        <f t="shared" ref="F1464:K1464" si="1623">IFERROR(F1440/F1405,"-")</f>
        <v>-</v>
      </c>
      <c r="G1464" s="1">
        <f t="shared" si="1623"/>
        <v>0.12643429100140424</v>
      </c>
      <c r="H1464" s="1">
        <f t="shared" si="1623"/>
        <v>0.12944323119622134</v>
      </c>
      <c r="I1464" s="1">
        <f t="shared" si="1623"/>
        <v>0.14198497694782372</v>
      </c>
      <c r="J1464" s="1">
        <f t="shared" si="1623"/>
        <v>0.15167687513539907</v>
      </c>
      <c r="K1464" s="1">
        <f t="shared" si="1623"/>
        <v>0.15761222212935036</v>
      </c>
      <c r="L1464" s="1">
        <f t="shared" ref="L1464:O1464" si="1624">IFERROR(L1440/L1405,"-")</f>
        <v>0.16529986453279025</v>
      </c>
      <c r="M1464" s="1">
        <f t="shared" si="1624"/>
        <v>0.17277444819626539</v>
      </c>
      <c r="N1464" s="1">
        <f t="shared" si="1624"/>
        <v>0.17547614587850308</v>
      </c>
      <c r="O1464" s="1">
        <f t="shared" si="1624"/>
        <v>0.17547614587850291</v>
      </c>
      <c r="P1464" s="1">
        <f t="shared" si="1616"/>
        <v>0.17547614587850296</v>
      </c>
      <c r="Q1464" s="1">
        <f t="shared" si="1616"/>
        <v>0.17547614587850313</v>
      </c>
      <c r="S1464" s="3"/>
    </row>
    <row r="1465" spans="2:19" x14ac:dyDescent="0.5">
      <c r="B1465" s="5" t="str">
        <f t="shared" si="1612"/>
        <v>SPS1</v>
      </c>
      <c r="C1465" s="5" t="str">
        <f t="shared" si="1613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625">IFERROR(G1441/G1407,"-")</f>
        <v>-</v>
      </c>
      <c r="H1465" s="1" t="str">
        <f t="shared" si="1625"/>
        <v>-</v>
      </c>
      <c r="I1465" s="1" t="str">
        <f t="shared" si="1625"/>
        <v>-</v>
      </c>
      <c r="J1465" s="1" t="str">
        <f t="shared" si="1625"/>
        <v>-</v>
      </c>
      <c r="K1465" s="1" t="str">
        <f t="shared" si="1625"/>
        <v>-</v>
      </c>
      <c r="L1465" s="1" t="str">
        <f t="shared" ref="L1465:O1465" si="1626">IFERROR(L1441/L1407,"-")</f>
        <v>-</v>
      </c>
      <c r="M1465" s="1" t="str">
        <f t="shared" si="1626"/>
        <v>-</v>
      </c>
      <c r="N1465" s="1" t="str">
        <f t="shared" si="1626"/>
        <v>-</v>
      </c>
      <c r="O1465" s="1" t="str">
        <f t="shared" si="1626"/>
        <v>-</v>
      </c>
      <c r="P1465" s="1" t="str">
        <f t="shared" ref="P1465:Q1468" si="1627">IFERROR(P1441/P1407,"-")</f>
        <v>-</v>
      </c>
      <c r="Q1465" s="1" t="str">
        <f t="shared" si="1627"/>
        <v>-</v>
      </c>
      <c r="S1465" s="3"/>
    </row>
    <row r="1466" spans="2:19" x14ac:dyDescent="0.5">
      <c r="B1466" s="5" t="str">
        <f t="shared" si="1612"/>
        <v>SPS1</v>
      </c>
      <c r="C1466" s="5" t="str">
        <f t="shared" si="1613"/>
        <v>CH</v>
      </c>
      <c r="D1466" t="s">
        <v>1455</v>
      </c>
      <c r="E1466" t="s">
        <v>1229</v>
      </c>
      <c r="F1466" s="1" t="str">
        <f t="shared" ref="F1466:K1466" si="1628">IFERROR(F1442/F1408,"-")</f>
        <v>-</v>
      </c>
      <c r="G1466" s="1" t="str">
        <f t="shared" si="1628"/>
        <v>-</v>
      </c>
      <c r="H1466" s="1" t="str">
        <f t="shared" si="1628"/>
        <v>-</v>
      </c>
      <c r="I1466" s="1" t="str">
        <f t="shared" si="1628"/>
        <v>-</v>
      </c>
      <c r="J1466" s="1" t="str">
        <f t="shared" si="1628"/>
        <v>-</v>
      </c>
      <c r="K1466" s="1" t="str">
        <f t="shared" si="1628"/>
        <v>-</v>
      </c>
      <c r="L1466" s="1" t="str">
        <f t="shared" ref="L1466:O1466" si="1629">IFERROR(L1442/L1408,"-")</f>
        <v>-</v>
      </c>
      <c r="M1466" s="1" t="str">
        <f t="shared" si="1629"/>
        <v>-</v>
      </c>
      <c r="N1466" s="1" t="str">
        <f t="shared" si="1629"/>
        <v>-</v>
      </c>
      <c r="O1466" s="1" t="str">
        <f t="shared" si="1629"/>
        <v>-</v>
      </c>
      <c r="P1466" s="1" t="str">
        <f t="shared" si="1627"/>
        <v>-</v>
      </c>
      <c r="Q1466" s="1" t="str">
        <f t="shared" si="1627"/>
        <v>-</v>
      </c>
      <c r="S1466" s="3"/>
    </row>
    <row r="1467" spans="2:19" x14ac:dyDescent="0.5">
      <c r="B1467" s="5" t="str">
        <f t="shared" si="1612"/>
        <v>SPS1</v>
      </c>
      <c r="C1467" s="5" t="str">
        <f t="shared" si="1613"/>
        <v>CH</v>
      </c>
      <c r="D1467" t="s">
        <v>1456</v>
      </c>
      <c r="E1467" t="s">
        <v>1229</v>
      </c>
      <c r="F1467" s="1" t="str">
        <f t="shared" ref="F1467:K1467" si="1630">IFERROR(F1443/F1409,"-")</f>
        <v>-</v>
      </c>
      <c r="G1467" s="1" t="str">
        <f t="shared" si="1630"/>
        <v>-</v>
      </c>
      <c r="H1467" s="1" t="str">
        <f t="shared" si="1630"/>
        <v>-</v>
      </c>
      <c r="I1467" s="1" t="str">
        <f t="shared" si="1630"/>
        <v>-</v>
      </c>
      <c r="J1467" s="1" t="str">
        <f t="shared" si="1630"/>
        <v>-</v>
      </c>
      <c r="K1467" s="1" t="str">
        <f t="shared" si="1630"/>
        <v>-</v>
      </c>
      <c r="L1467" s="1" t="str">
        <f t="shared" ref="L1467:O1467" si="1631">IFERROR(L1443/L1409,"-")</f>
        <v>-</v>
      </c>
      <c r="M1467" s="1" t="str">
        <f t="shared" si="1631"/>
        <v>-</v>
      </c>
      <c r="N1467" s="1" t="str">
        <f t="shared" si="1631"/>
        <v>-</v>
      </c>
      <c r="O1467" s="1" t="str">
        <f t="shared" si="1631"/>
        <v>-</v>
      </c>
      <c r="P1467" s="1" t="str">
        <f t="shared" si="1627"/>
        <v>-</v>
      </c>
      <c r="Q1467" s="1" t="str">
        <f t="shared" si="1627"/>
        <v>-</v>
      </c>
      <c r="S1467" s="3"/>
    </row>
    <row r="1468" spans="2:19" x14ac:dyDescent="0.5">
      <c r="B1468" s="5" t="str">
        <f t="shared" si="1612"/>
        <v>SPS1</v>
      </c>
      <c r="C1468" s="5" t="str">
        <f t="shared" si="1613"/>
        <v>CH</v>
      </c>
      <c r="D1468" t="s">
        <v>1457</v>
      </c>
      <c r="E1468" t="s">
        <v>1229</v>
      </c>
      <c r="F1468" s="1" t="str">
        <f t="shared" ref="F1468:K1468" si="1632">IFERROR(F1444/F1410,"-")</f>
        <v>-</v>
      </c>
      <c r="G1468" s="1" t="str">
        <f t="shared" si="1632"/>
        <v>-</v>
      </c>
      <c r="H1468" s="1" t="str">
        <f t="shared" si="1632"/>
        <v>-</v>
      </c>
      <c r="I1468" s="1" t="str">
        <f t="shared" si="1632"/>
        <v>-</v>
      </c>
      <c r="J1468" s="1" t="str">
        <f t="shared" si="1632"/>
        <v>-</v>
      </c>
      <c r="K1468" s="1" t="str">
        <f t="shared" si="1632"/>
        <v>-</v>
      </c>
      <c r="L1468" s="1" t="str">
        <f t="shared" ref="L1468:O1468" si="1633">IFERROR(L1444/L1410,"-")</f>
        <v>-</v>
      </c>
      <c r="M1468" s="1" t="str">
        <f t="shared" si="1633"/>
        <v>-</v>
      </c>
      <c r="N1468" s="1" t="str">
        <f t="shared" si="1633"/>
        <v>-</v>
      </c>
      <c r="O1468" s="1" t="str">
        <f t="shared" si="1633"/>
        <v>-</v>
      </c>
      <c r="P1468" s="1" t="str">
        <f t="shared" si="1627"/>
        <v>-</v>
      </c>
      <c r="Q1468" s="1" t="str">
        <f t="shared" si="1627"/>
        <v>-</v>
      </c>
      <c r="S1468" s="3"/>
    </row>
    <row r="1469" spans="2:19" x14ac:dyDescent="0.5">
      <c r="B1469" s="5" t="str">
        <f t="shared" si="1612"/>
        <v>SPS1</v>
      </c>
      <c r="C1469" s="5" t="str">
        <f t="shared" si="1613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634">IFERROR(G1445/G1416,"-")</f>
        <v>0.16251369968883866</v>
      </c>
      <c r="H1469" s="1">
        <f t="shared" si="1634"/>
        <v>0.16365087763689276</v>
      </c>
      <c r="I1469" s="1">
        <f t="shared" si="1634"/>
        <v>0.16840156111204024</v>
      </c>
      <c r="J1469" s="1" t="str">
        <f t="shared" si="1634"/>
        <v>-</v>
      </c>
      <c r="K1469" s="1">
        <f t="shared" si="1634"/>
        <v>0.20464841739300313</v>
      </c>
      <c r="L1469" s="1">
        <f t="shared" ref="L1469:O1469" si="1635">IFERROR(L1445/L1416,"-")</f>
        <v>0.21474249729172615</v>
      </c>
      <c r="M1469" s="1">
        <f t="shared" si="1635"/>
        <v>0.21479064195617387</v>
      </c>
      <c r="N1469" s="1" t="str">
        <f t="shared" si="1635"/>
        <v>-</v>
      </c>
      <c r="O1469" s="1" t="str">
        <f t="shared" si="1635"/>
        <v>-</v>
      </c>
      <c r="P1469" s="1" t="str">
        <f t="shared" ref="P1469:Q1477" si="1636">IFERROR(P1445/P1416,"-")</f>
        <v>-</v>
      </c>
      <c r="Q1469" s="1" t="str">
        <f t="shared" si="1636"/>
        <v>-</v>
      </c>
      <c r="S1469" s="3"/>
    </row>
    <row r="1470" spans="2:19" x14ac:dyDescent="0.5">
      <c r="B1470" s="5" t="str">
        <f t="shared" si="1612"/>
        <v>SPS1</v>
      </c>
      <c r="C1470" s="5" t="str">
        <f t="shared" si="1613"/>
        <v>CH</v>
      </c>
      <c r="D1470" t="s">
        <v>1459</v>
      </c>
      <c r="E1470" t="s">
        <v>1229</v>
      </c>
      <c r="F1470" s="1" t="str">
        <f t="shared" ref="F1470:K1470" si="1637">IFERROR(F1446/F1417,"-")</f>
        <v>-</v>
      </c>
      <c r="G1470" s="1">
        <f t="shared" si="1637"/>
        <v>0.11649393435744142</v>
      </c>
      <c r="H1470" s="1">
        <f t="shared" si="1637"/>
        <v>0.11928174335396058</v>
      </c>
      <c r="I1470" s="1" t="str">
        <f t="shared" si="1637"/>
        <v>-</v>
      </c>
      <c r="J1470" s="1" t="str">
        <f t="shared" si="1637"/>
        <v>-</v>
      </c>
      <c r="K1470" s="1" t="str">
        <f t="shared" si="1637"/>
        <v>-</v>
      </c>
      <c r="L1470" s="1" t="str">
        <f t="shared" ref="L1470:O1470" si="1638">IFERROR(L1446/L1417,"-")</f>
        <v>-</v>
      </c>
      <c r="M1470" s="1" t="str">
        <f t="shared" si="1638"/>
        <v>-</v>
      </c>
      <c r="N1470" s="1" t="str">
        <f t="shared" si="1638"/>
        <v>-</v>
      </c>
      <c r="O1470" s="1" t="str">
        <f t="shared" si="1638"/>
        <v>-</v>
      </c>
      <c r="P1470" s="1" t="str">
        <f t="shared" si="1636"/>
        <v>-</v>
      </c>
      <c r="Q1470" s="1" t="str">
        <f t="shared" si="1636"/>
        <v>-</v>
      </c>
      <c r="S1470" s="3"/>
    </row>
    <row r="1471" spans="2:19" x14ac:dyDescent="0.5">
      <c r="B1471" s="5" t="str">
        <f t="shared" si="1612"/>
        <v>SPS1</v>
      </c>
      <c r="C1471" s="5" t="str">
        <f t="shared" si="1613"/>
        <v>CH</v>
      </c>
      <c r="D1471" t="s">
        <v>1460</v>
      </c>
      <c r="E1471" t="s">
        <v>1229</v>
      </c>
      <c r="F1471" s="1" t="str">
        <f t="shared" ref="F1471:K1471" si="1639">IFERROR(F1447/F1418,"-")</f>
        <v>-</v>
      </c>
      <c r="G1471" s="1">
        <f t="shared" si="1639"/>
        <v>7.8235828164578858E-2</v>
      </c>
      <c r="H1471" s="1">
        <f t="shared" si="1639"/>
        <v>7.9965901182682042E-2</v>
      </c>
      <c r="I1471" s="1" t="str">
        <f t="shared" si="1639"/>
        <v>-</v>
      </c>
      <c r="J1471" s="1" t="str">
        <f t="shared" si="1639"/>
        <v>-</v>
      </c>
      <c r="K1471" s="1" t="str">
        <f t="shared" si="1639"/>
        <v>-</v>
      </c>
      <c r="L1471" s="1" t="str">
        <f t="shared" ref="L1471:O1471" si="1640">IFERROR(L1447/L1418,"-")</f>
        <v>-</v>
      </c>
      <c r="M1471" s="1" t="str">
        <f t="shared" si="1640"/>
        <v>-</v>
      </c>
      <c r="N1471" s="1" t="str">
        <f t="shared" si="1640"/>
        <v>-</v>
      </c>
      <c r="O1471" s="1" t="str">
        <f t="shared" si="1640"/>
        <v>-</v>
      </c>
      <c r="P1471" s="1" t="str">
        <f t="shared" si="1636"/>
        <v>-</v>
      </c>
      <c r="Q1471" s="1" t="str">
        <f t="shared" si="1636"/>
        <v>-</v>
      </c>
      <c r="S1471" s="3"/>
    </row>
    <row r="1472" spans="2:19" x14ac:dyDescent="0.5">
      <c r="B1472" s="5" t="str">
        <f t="shared" si="1612"/>
        <v>SPS1</v>
      </c>
      <c r="C1472" s="5" t="str">
        <f t="shared" si="1613"/>
        <v>CH</v>
      </c>
      <c r="D1472" t="s">
        <v>1461</v>
      </c>
      <c r="E1472" t="s">
        <v>1229</v>
      </c>
      <c r="F1472" s="1" t="str">
        <f t="shared" ref="F1472:K1472" si="1641">IFERROR(F1448/F1419,"-")</f>
        <v>-</v>
      </c>
      <c r="G1472" s="1">
        <f t="shared" si="1641"/>
        <v>5.2751439830497765E-2</v>
      </c>
      <c r="H1472" s="1">
        <f t="shared" si="1641"/>
        <v>5.3939621123208312E-2</v>
      </c>
      <c r="I1472" s="1" t="str">
        <f t="shared" si="1641"/>
        <v>-</v>
      </c>
      <c r="J1472" s="1" t="str">
        <f t="shared" si="1641"/>
        <v>-</v>
      </c>
      <c r="K1472" s="1" t="str">
        <f t="shared" si="1641"/>
        <v>-</v>
      </c>
      <c r="L1472" s="1" t="str">
        <f t="shared" ref="L1472:O1472" si="1642">IFERROR(L1448/L1419,"-")</f>
        <v>-</v>
      </c>
      <c r="M1472" s="1" t="str">
        <f t="shared" si="1642"/>
        <v>-</v>
      </c>
      <c r="N1472" s="1" t="str">
        <f t="shared" si="1642"/>
        <v>-</v>
      </c>
      <c r="O1472" s="1" t="str">
        <f t="shared" si="1642"/>
        <v>-</v>
      </c>
      <c r="P1472" s="1" t="str">
        <f t="shared" si="1636"/>
        <v>-</v>
      </c>
      <c r="Q1472" s="1" t="str">
        <f t="shared" si="1636"/>
        <v>-</v>
      </c>
      <c r="S1472" s="3"/>
    </row>
    <row r="1473" spans="2:19" x14ac:dyDescent="0.5">
      <c r="B1473" s="5" t="str">
        <f t="shared" si="1612"/>
        <v>SPS1</v>
      </c>
      <c r="C1473" s="5" t="str">
        <f t="shared" si="1613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643">IFERROR(G1449/G1420,"-")</f>
        <v>7.9797266512003082</v>
      </c>
      <c r="H1473" s="1">
        <f t="shared" si="1643"/>
        <v>5.0239422367072901</v>
      </c>
      <c r="I1473" s="1" t="str">
        <f t="shared" si="1643"/>
        <v>-</v>
      </c>
      <c r="J1473" s="1" t="str">
        <f t="shared" si="1643"/>
        <v>-</v>
      </c>
      <c r="K1473" s="1" t="str">
        <f t="shared" si="1643"/>
        <v>-</v>
      </c>
      <c r="L1473" s="1" t="str">
        <f t="shared" ref="L1473:O1473" si="1644">IFERROR(L1449/L1420,"-")</f>
        <v>-</v>
      </c>
      <c r="M1473" s="1" t="str">
        <f t="shared" si="1644"/>
        <v>-</v>
      </c>
      <c r="N1473" s="1" t="str">
        <f t="shared" si="1644"/>
        <v>-</v>
      </c>
      <c r="O1473" s="1" t="str">
        <f t="shared" si="1644"/>
        <v>-</v>
      </c>
      <c r="P1473" s="1" t="str">
        <f t="shared" si="1636"/>
        <v>-</v>
      </c>
      <c r="Q1473" s="1" t="str">
        <f t="shared" si="1636"/>
        <v>-</v>
      </c>
      <c r="S1473" s="3"/>
    </row>
    <row r="1474" spans="2:19" x14ac:dyDescent="0.5">
      <c r="B1474" s="5" t="str">
        <f t="shared" si="1612"/>
        <v>SPS1</v>
      </c>
      <c r="C1474" s="5" t="str">
        <f t="shared" si="1613"/>
        <v>CH</v>
      </c>
      <c r="D1474" t="s">
        <v>1462</v>
      </c>
      <c r="E1474" t="s">
        <v>1229</v>
      </c>
      <c r="F1474" s="1">
        <f t="shared" ref="F1474:K1474" si="1645">IFERROR(F1450/F1421,"-")</f>
        <v>0.12391916748597487</v>
      </c>
      <c r="G1474" s="1">
        <f t="shared" si="1645"/>
        <v>0.12667782895498897</v>
      </c>
      <c r="H1474" s="1">
        <f t="shared" si="1645"/>
        <v>0.12818585935770857</v>
      </c>
      <c r="I1474" s="1">
        <f t="shared" si="1645"/>
        <v>0.12870465155526198</v>
      </c>
      <c r="J1474" s="1" t="str">
        <f t="shared" si="1645"/>
        <v>-</v>
      </c>
      <c r="K1474" s="1" t="str">
        <f t="shared" si="1645"/>
        <v>-</v>
      </c>
      <c r="L1474" s="1">
        <f t="shared" ref="L1474:O1474" si="1646">IFERROR(L1450/L1421,"-")</f>
        <v>0.17071152040619414</v>
      </c>
      <c r="M1474" s="1">
        <f t="shared" si="1646"/>
        <v>0.17071152040619436</v>
      </c>
      <c r="N1474" s="1" t="str">
        <f t="shared" si="1646"/>
        <v>-</v>
      </c>
      <c r="O1474" s="1" t="str">
        <f t="shared" si="1646"/>
        <v>-</v>
      </c>
      <c r="P1474" s="1" t="str">
        <f t="shared" si="1636"/>
        <v>-</v>
      </c>
      <c r="Q1474" s="1" t="str">
        <f t="shared" si="1636"/>
        <v>-</v>
      </c>
      <c r="S1474" s="3"/>
    </row>
    <row r="1475" spans="2:19" x14ac:dyDescent="0.5">
      <c r="B1475" s="5" t="str">
        <f t="shared" si="1612"/>
        <v>SPS1</v>
      </c>
      <c r="C1475" s="5" t="str">
        <f t="shared" si="1613"/>
        <v>CH</v>
      </c>
      <c r="D1475" t="s">
        <v>1463</v>
      </c>
      <c r="E1475" t="s">
        <v>1229</v>
      </c>
      <c r="F1475" s="1">
        <f t="shared" ref="F1475:K1475" si="1647">IFERROR(F1451/F1422,"-")</f>
        <v>8.7465847585616804E-2</v>
      </c>
      <c r="G1475" s="1">
        <f t="shared" si="1647"/>
        <v>8.7809627778489344E-2</v>
      </c>
      <c r="H1475" s="1">
        <f t="shared" si="1647"/>
        <v>8.7756724791272764E-2</v>
      </c>
      <c r="I1475" s="1">
        <f t="shared" si="1647"/>
        <v>9.1285083956918284E-2</v>
      </c>
      <c r="J1475" s="1" t="str">
        <f t="shared" si="1647"/>
        <v>-</v>
      </c>
      <c r="K1475" s="1" t="str">
        <f t="shared" si="1647"/>
        <v>-</v>
      </c>
      <c r="L1475" s="1">
        <f t="shared" ref="L1475:O1475" si="1648">IFERROR(L1451/L1422,"-")</f>
        <v>0.11870610377836537</v>
      </c>
      <c r="M1475" s="1">
        <f t="shared" si="1648"/>
        <v>0.1187061037783653</v>
      </c>
      <c r="N1475" s="1" t="str">
        <f t="shared" si="1648"/>
        <v>-</v>
      </c>
      <c r="O1475" s="1" t="str">
        <f t="shared" si="1648"/>
        <v>-</v>
      </c>
      <c r="P1475" s="1" t="str">
        <f t="shared" si="1636"/>
        <v>-</v>
      </c>
      <c r="Q1475" s="1" t="str">
        <f t="shared" si="1636"/>
        <v>-</v>
      </c>
      <c r="S1475" s="3"/>
    </row>
    <row r="1476" spans="2:19" x14ac:dyDescent="0.5">
      <c r="B1476" s="5" t="str">
        <f t="shared" si="1612"/>
        <v>SPS1</v>
      </c>
      <c r="C1476" s="5" t="str">
        <f t="shared" si="1613"/>
        <v>CH</v>
      </c>
      <c r="D1476" t="s">
        <v>1464</v>
      </c>
      <c r="E1476" t="s">
        <v>1229</v>
      </c>
      <c r="F1476" s="1">
        <f t="shared" ref="F1476:K1476" si="1649">IFERROR(F1452/F1423,"-")</f>
        <v>5.7949527986548593E-2</v>
      </c>
      <c r="G1476" s="1">
        <f t="shared" si="1649"/>
        <v>5.8175081324284311E-2</v>
      </c>
      <c r="H1476" s="1">
        <f t="shared" si="1649"/>
        <v>5.8144985487345056E-2</v>
      </c>
      <c r="I1476" s="1" t="str">
        <f t="shared" si="1649"/>
        <v>-</v>
      </c>
      <c r="J1476" s="1" t="str">
        <f t="shared" si="1649"/>
        <v>-</v>
      </c>
      <c r="K1476" s="1" t="str">
        <f t="shared" si="1649"/>
        <v>-</v>
      </c>
      <c r="L1476" s="1" t="str">
        <f t="shared" ref="L1476:O1476" si="1650">IFERROR(L1452/L1423,"-")</f>
        <v>-</v>
      </c>
      <c r="M1476" s="1" t="str">
        <f t="shared" si="1650"/>
        <v>-</v>
      </c>
      <c r="N1476" s="1" t="str">
        <f t="shared" si="1650"/>
        <v>-</v>
      </c>
      <c r="O1476" s="1" t="str">
        <f t="shared" si="1650"/>
        <v>-</v>
      </c>
      <c r="P1476" s="1" t="str">
        <f t="shared" si="1636"/>
        <v>-</v>
      </c>
      <c r="Q1476" s="1" t="str">
        <f t="shared" si="1636"/>
        <v>-</v>
      </c>
      <c r="S1476" s="3"/>
    </row>
    <row r="1477" spans="2:19" x14ac:dyDescent="0.5">
      <c r="B1477" s="5" t="str">
        <f t="shared" si="1612"/>
        <v>SPS1</v>
      </c>
      <c r="C1477" s="5" t="str">
        <f t="shared" si="1613"/>
        <v>CH</v>
      </c>
      <c r="D1477" t="s">
        <v>1465</v>
      </c>
      <c r="E1477" t="s">
        <v>1229</v>
      </c>
      <c r="F1477" s="1">
        <f t="shared" ref="F1477:K1477" si="1651">IFERROR(F1453/F1424,"-")</f>
        <v>3.864648138794749E-2</v>
      </c>
      <c r="G1477" s="1">
        <f t="shared" si="1651"/>
        <v>3.893260985806285E-2</v>
      </c>
      <c r="H1477" s="1">
        <f t="shared" si="1651"/>
        <v>3.9229349157718842E-2</v>
      </c>
      <c r="I1477" s="1" t="str">
        <f t="shared" si="1651"/>
        <v>-</v>
      </c>
      <c r="J1477" s="1" t="str">
        <f t="shared" si="1651"/>
        <v>-</v>
      </c>
      <c r="K1477" s="1" t="str">
        <f t="shared" si="1651"/>
        <v>-</v>
      </c>
      <c r="L1477" s="1" t="str">
        <f t="shared" ref="L1477:O1477" si="1652">IFERROR(L1453/L1424,"-")</f>
        <v>-</v>
      </c>
      <c r="M1477" s="1" t="str">
        <f t="shared" si="1652"/>
        <v>-</v>
      </c>
      <c r="N1477" s="1" t="str">
        <f t="shared" si="1652"/>
        <v>-</v>
      </c>
      <c r="O1477" s="1" t="str">
        <f t="shared" si="1652"/>
        <v>-</v>
      </c>
      <c r="P1477" s="1" t="str">
        <f t="shared" si="1636"/>
        <v>-</v>
      </c>
      <c r="Q1477" s="1" t="str">
        <f t="shared" si="1636"/>
        <v>-</v>
      </c>
      <c r="S1477" s="3"/>
    </row>
    <row r="1478" spans="2:19" x14ac:dyDescent="0.5">
      <c r="B1478" s="5" t="str">
        <f t="shared" si="1612"/>
        <v>SPS1</v>
      </c>
      <c r="C1478" s="5" t="str">
        <f t="shared" si="1613"/>
        <v>CH</v>
      </c>
      <c r="D1478" t="s">
        <v>2120</v>
      </c>
      <c r="E1478" t="s">
        <v>1229</v>
      </c>
      <c r="F1478" s="1">
        <f>IFERROR(F1454/F1430,"-")</f>
        <v>9.9502495941956557</v>
      </c>
      <c r="G1478" s="1">
        <f t="shared" ref="G1478:K1478" si="1653">IFERROR(G1454/G1430,"-")</f>
        <v>7.9767976048237434</v>
      </c>
      <c r="H1478" s="1">
        <f t="shared" si="1653"/>
        <v>5.0166196207658711</v>
      </c>
      <c r="I1478" s="1" t="str">
        <f t="shared" si="1653"/>
        <v>-</v>
      </c>
      <c r="J1478" s="1" t="str">
        <f t="shared" si="1653"/>
        <v>-</v>
      </c>
      <c r="K1478" s="1" t="str">
        <f t="shared" si="1653"/>
        <v>-</v>
      </c>
      <c r="L1478" s="1" t="str">
        <f t="shared" ref="L1478:O1478" si="1654">IFERROR(L1454/L1430,"-")</f>
        <v>-</v>
      </c>
      <c r="M1478" s="1" t="str">
        <f t="shared" si="1654"/>
        <v>-</v>
      </c>
      <c r="N1478" s="1" t="str">
        <f t="shared" si="1654"/>
        <v>-</v>
      </c>
      <c r="O1478" s="1" t="str">
        <f t="shared" si="1654"/>
        <v>-</v>
      </c>
      <c r="P1478" s="1" t="str">
        <f t="shared" ref="P1478:Q1482" si="1655">IFERROR(P1454/P1430,"-")</f>
        <v>-</v>
      </c>
      <c r="Q1478" s="1" t="str">
        <f t="shared" si="1655"/>
        <v>-</v>
      </c>
      <c r="S1478" s="3"/>
    </row>
    <row r="1479" spans="2:19" x14ac:dyDescent="0.5">
      <c r="B1479" s="5" t="str">
        <f t="shared" si="1612"/>
        <v>SPS1</v>
      </c>
      <c r="C1479" s="5" t="str">
        <f t="shared" si="1613"/>
        <v>CH</v>
      </c>
      <c r="D1479" t="s">
        <v>1466</v>
      </c>
      <c r="E1479" t="s">
        <v>1229</v>
      </c>
      <c r="F1479" s="1" t="str">
        <f t="shared" ref="F1479:K1479" si="1656">IFERROR(F1455/F1431,"-")</f>
        <v>-</v>
      </c>
      <c r="G1479" s="1">
        <f t="shared" si="1656"/>
        <v>0.12023751974847222</v>
      </c>
      <c r="H1479" s="1">
        <f t="shared" si="1656"/>
        <v>0.12629512342090396</v>
      </c>
      <c r="I1479" s="1">
        <f t="shared" si="1656"/>
        <v>0.12772414368657592</v>
      </c>
      <c r="J1479" s="1" t="str">
        <f t="shared" si="1656"/>
        <v>-</v>
      </c>
      <c r="K1479" s="1">
        <f t="shared" si="1656"/>
        <v>0.15290988452940515</v>
      </c>
      <c r="L1479" s="1">
        <f t="shared" ref="L1479:O1479" si="1657">IFERROR(L1455/L1431,"-")</f>
        <v>0.16047381610350647</v>
      </c>
      <c r="M1479" s="1">
        <f t="shared" si="1657"/>
        <v>0.16049525829203715</v>
      </c>
      <c r="N1479" s="1" t="str">
        <f t="shared" si="1657"/>
        <v>-</v>
      </c>
      <c r="O1479" s="1" t="str">
        <f t="shared" si="1657"/>
        <v>-</v>
      </c>
      <c r="P1479" s="1" t="str">
        <f t="shared" si="1655"/>
        <v>-</v>
      </c>
      <c r="Q1479" s="1" t="str">
        <f t="shared" si="1655"/>
        <v>-</v>
      </c>
      <c r="S1479" s="3"/>
    </row>
    <row r="1480" spans="2:19" x14ac:dyDescent="0.5">
      <c r="B1480" s="5" t="str">
        <f t="shared" si="1612"/>
        <v>SPS1</v>
      </c>
      <c r="C1480" s="5" t="str">
        <f t="shared" si="1613"/>
        <v>CH</v>
      </c>
      <c r="D1480" t="s">
        <v>1467</v>
      </c>
      <c r="E1480" t="s">
        <v>1229</v>
      </c>
      <c r="F1480" s="1" t="str">
        <f t="shared" ref="F1480:K1480" si="1658">IFERROR(F1456/F1432,"-")</f>
        <v>-</v>
      </c>
      <c r="G1480" s="1">
        <f t="shared" si="1658"/>
        <v>8.4998076233608888E-2</v>
      </c>
      <c r="H1480" s="1">
        <f t="shared" si="1658"/>
        <v>8.8317338628427361E-2</v>
      </c>
      <c r="I1480" s="1" t="str">
        <f t="shared" si="1658"/>
        <v>-</v>
      </c>
      <c r="J1480" s="1" t="str">
        <f t="shared" si="1658"/>
        <v>-</v>
      </c>
      <c r="K1480" s="1" t="str">
        <f t="shared" si="1658"/>
        <v>-</v>
      </c>
      <c r="L1480" s="1">
        <f t="shared" ref="L1480:O1480" si="1659">IFERROR(L1456/L1432,"-")</f>
        <v>0.1119592813985112</v>
      </c>
      <c r="M1480" s="1">
        <f t="shared" si="1659"/>
        <v>0.11195928139851113</v>
      </c>
      <c r="N1480" s="1" t="str">
        <f t="shared" si="1659"/>
        <v>-</v>
      </c>
      <c r="O1480" s="1" t="str">
        <f t="shared" si="1659"/>
        <v>-</v>
      </c>
      <c r="P1480" s="1" t="str">
        <f t="shared" si="1655"/>
        <v>-</v>
      </c>
      <c r="Q1480" s="1" t="str">
        <f t="shared" si="1655"/>
        <v>-</v>
      </c>
      <c r="S1480" s="3"/>
    </row>
    <row r="1481" spans="2:19" x14ac:dyDescent="0.5">
      <c r="B1481" s="5" t="str">
        <f t="shared" si="1612"/>
        <v>SPS1</v>
      </c>
      <c r="C1481" s="5" t="str">
        <f t="shared" si="1613"/>
        <v>CH</v>
      </c>
      <c r="D1481" t="s">
        <v>1468</v>
      </c>
      <c r="E1481" t="s">
        <v>1229</v>
      </c>
      <c r="F1481" s="1" t="str">
        <f t="shared" ref="F1481:K1481" si="1660">IFERROR(F1457/F1433,"-")</f>
        <v>-</v>
      </c>
      <c r="G1481" s="1">
        <f t="shared" si="1660"/>
        <v>5.6422133461237138E-2</v>
      </c>
      <c r="H1481" s="1">
        <f t="shared" si="1660"/>
        <v>5.8446285803870159E-2</v>
      </c>
      <c r="I1481" s="1" t="str">
        <f t="shared" si="1660"/>
        <v>-</v>
      </c>
      <c r="J1481" s="1" t="str">
        <f t="shared" si="1660"/>
        <v>-</v>
      </c>
      <c r="K1481" s="1" t="str">
        <f t="shared" si="1660"/>
        <v>-</v>
      </c>
      <c r="L1481" s="1" t="str">
        <f t="shared" ref="L1481:O1481" si="1661">IFERROR(L1457/L1433,"-")</f>
        <v>-</v>
      </c>
      <c r="M1481" s="1" t="str">
        <f t="shared" si="1661"/>
        <v>-</v>
      </c>
      <c r="N1481" s="1" t="str">
        <f t="shared" si="1661"/>
        <v>-</v>
      </c>
      <c r="O1481" s="1" t="str">
        <f t="shared" si="1661"/>
        <v>-</v>
      </c>
      <c r="P1481" s="1" t="str">
        <f t="shared" si="1655"/>
        <v>-</v>
      </c>
      <c r="Q1481" s="1" t="str">
        <f t="shared" si="1655"/>
        <v>-</v>
      </c>
      <c r="S1481" s="3"/>
    </row>
    <row r="1482" spans="2:19" x14ac:dyDescent="0.5">
      <c r="B1482" s="5" t="str">
        <f t="shared" si="1612"/>
        <v>SPS1</v>
      </c>
      <c r="C1482" s="5" t="str">
        <f t="shared" si="1613"/>
        <v>CH</v>
      </c>
      <c r="D1482" t="s">
        <v>1469</v>
      </c>
      <c r="E1482" t="s">
        <v>1229</v>
      </c>
      <c r="F1482" s="1" t="str">
        <f t="shared" ref="F1482:K1482" si="1662">IFERROR(F1458/F1434,"-")</f>
        <v>-</v>
      </c>
      <c r="G1482" s="1">
        <f t="shared" si="1662"/>
        <v>3.768915775983437E-2</v>
      </c>
      <c r="H1482" s="1">
        <f t="shared" si="1662"/>
        <v>3.879644605998283E-2</v>
      </c>
      <c r="I1482" s="1" t="str">
        <f t="shared" si="1662"/>
        <v>-</v>
      </c>
      <c r="J1482" s="1" t="str">
        <f t="shared" si="1662"/>
        <v>-</v>
      </c>
      <c r="K1482" s="1" t="str">
        <f t="shared" si="1662"/>
        <v>-</v>
      </c>
      <c r="L1482" s="1" t="str">
        <f t="shared" ref="L1482:O1482" si="1663">IFERROR(L1458/L1434,"-")</f>
        <v>-</v>
      </c>
      <c r="M1482" s="1" t="str">
        <f t="shared" si="1663"/>
        <v>-</v>
      </c>
      <c r="N1482" s="1" t="str">
        <f t="shared" si="1663"/>
        <v>-</v>
      </c>
      <c r="O1482" s="1" t="str">
        <f t="shared" si="1663"/>
        <v>-</v>
      </c>
      <c r="P1482" s="1" t="str">
        <f t="shared" si="1655"/>
        <v>-</v>
      </c>
      <c r="Q1482" s="1" t="str">
        <f t="shared" si="1655"/>
        <v>-</v>
      </c>
      <c r="S1482" s="3"/>
    </row>
    <row r="1483" spans="2:19" x14ac:dyDescent="0.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O1483" si="1664">G1484</f>
        <v>0.30668648626079364</v>
      </c>
      <c r="H1483" s="3">
        <f t="shared" si="1664"/>
        <v>0.35078787907941233</v>
      </c>
      <c r="I1483" s="3">
        <f t="shared" si="1664"/>
        <v>0.44905706465165934</v>
      </c>
      <c r="J1483" s="3">
        <f t="shared" si="1664"/>
        <v>0.45786518239100965</v>
      </c>
      <c r="K1483" s="3">
        <f t="shared" si="1664"/>
        <v>0.4706886426319784</v>
      </c>
      <c r="L1483" s="3">
        <f t="shared" si="1664"/>
        <v>0.47857062553803131</v>
      </c>
      <c r="M1483" s="3">
        <f t="shared" si="1664"/>
        <v>0.48645260844408511</v>
      </c>
      <c r="N1483" s="3">
        <f t="shared" si="1664"/>
        <v>0.5304172714770905</v>
      </c>
      <c r="O1483" s="3">
        <f t="shared" si="1664"/>
        <v>0.5611192082193377</v>
      </c>
      <c r="P1483" s="3">
        <f>P1484</f>
        <v>0.59169365220825365</v>
      </c>
      <c r="Q1483" s="3">
        <f>Q1484</f>
        <v>0.62178111980442863</v>
      </c>
      <c r="S1483" s="3"/>
    </row>
    <row r="1484" spans="2:19" x14ac:dyDescent="0.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O1484" si="1665">G1485</f>
        <v>0.30668648626079364</v>
      </c>
      <c r="H1484" s="1">
        <f t="shared" si="1665"/>
        <v>0.35078787907941233</v>
      </c>
      <c r="I1484" s="1">
        <f t="shared" si="1665"/>
        <v>0.44905706465165934</v>
      </c>
      <c r="J1484" s="1">
        <f t="shared" si="1665"/>
        <v>0.45786518239100965</v>
      </c>
      <c r="K1484" s="1">
        <f t="shared" si="1665"/>
        <v>0.4706886426319784</v>
      </c>
      <c r="L1484" s="1">
        <f t="shared" si="1665"/>
        <v>0.47857062553803131</v>
      </c>
      <c r="M1484" s="1">
        <f t="shared" si="1665"/>
        <v>0.48645260844408511</v>
      </c>
      <c r="N1484" s="1">
        <f t="shared" si="1665"/>
        <v>0.5304172714770905</v>
      </c>
      <c r="O1484" s="1">
        <f t="shared" si="1665"/>
        <v>0.5611192082193377</v>
      </c>
      <c r="P1484" s="1">
        <f>P1485</f>
        <v>0.59169365220825365</v>
      </c>
      <c r="Q1484" s="1">
        <f>Q1485</f>
        <v>0.62178111980442863</v>
      </c>
      <c r="S1484" s="3"/>
    </row>
    <row r="1485" spans="2:19" x14ac:dyDescent="0.5">
      <c r="B1485" s="5" t="str">
        <f t="shared" ref="B1485" si="1666">B1484</f>
        <v>SPS1</v>
      </c>
      <c r="C1485" s="5" t="str">
        <f t="shared" ref="C1485" si="1667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0.35078787907941233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0.44905706465165934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0.45786518239100965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0.4706886426319784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0.47857062553803131</v>
      </c>
      <c r="M1485" s="1" cm="1">
        <f t="array" ref="M1485">SUMPRODUCT(("T_TRLY_ELC"=[1]OUT_TransportEnergyCons!$A$3:$A$1000)*1,("Var_Fin"=[1]OUT_TransportEnergyCons!$B$3:$B$1000)*1,ISNUMBER(SEARCH("ELC",[1]OUT_TransportEnergyCons!$C$3:$C$1000))*1,[1]OUT_TransportEnergyCons!K$3:K$1000)</f>
        <v>0.48645260844408511</v>
      </c>
      <c r="N1485" s="1" cm="1">
        <f t="array" ref="N1485">SUMPRODUCT(("T_TRLY_ELC"=[1]OUT_TransportEnergyCons!$A$3:$A$1000)*1,("Var_Fin"=[1]OUT_TransportEnergyCons!$B$3:$B$1000)*1,ISNUMBER(SEARCH("ELC",[1]OUT_TransportEnergyCons!$C$3:$C$1000))*1,[1]OUT_TransportEnergyCons!L$3:L$1000)</f>
        <v>0.5304172714770905</v>
      </c>
      <c r="O1485" s="1" cm="1">
        <f t="array" ref="O1485">SUMPRODUCT(("T_TRLY_ELC"=[1]OUT_TransportEnergyCons!$A$3:$A$1000)*1,("Var_Fin"=[1]OUT_TransportEnergyCons!$B$3:$B$1000)*1,ISNUMBER(SEARCH("ELC",[1]OUT_TransportEnergyCons!$C$3:$C$1000))*1,[1]OUT_TransportEnergyCons!M$3:M$1000)</f>
        <v>0.5611192082193377</v>
      </c>
      <c r="P1485" s="1" cm="1">
        <f t="array" ref="P1485">SUMPRODUCT(("T_TRLY_ELC"=[1]OUT_TransportEnergyCons!$A$3:$A$1000)*1,("Var_Fin"=[1]OUT_TransportEnergyCons!$B$3:$B$1000)*1,ISNUMBER(SEARCH("ELC",[1]OUT_TransportEnergyCons!$C$3:$C$1000))*1,[1]OUT_TransportEnergyCons!N$3:N$1000)</f>
        <v>0.59169365220825365</v>
      </c>
      <c r="Q1485" s="1" cm="1">
        <f t="array" ref="Q1485">SUMPRODUCT(("T_TRLY_ELC"=[1]OUT_TransportEnergyCons!$A$3:$A$1000)*1,("Var_Fin"=[1]OUT_TransportEnergyCons!$B$3:$B$1000)*1,ISNUMBER(SEARCH("ELC",[1]OUT_TransportEnergyCons!$C$3:$C$1000))*1,[1]OUT_TransportEnergyCons!O$3:O$1000)</f>
        <v>0.62178111980442863</v>
      </c>
      <c r="S1485" s="3"/>
    </row>
    <row r="1486" spans="2:19" x14ac:dyDescent="0.5">
      <c r="B1486" s="9" t="str">
        <f t="shared" ref="B1486:C1489" si="1668">B1485</f>
        <v>SPS1</v>
      </c>
      <c r="C1486" s="9" t="str">
        <f t="shared" si="1668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O1486" si="1669">G1487</f>
        <v>2.7782165745480814E-2</v>
      </c>
      <c r="H1486" s="3">
        <f t="shared" si="1669"/>
        <v>2.8773914363701983E-2</v>
      </c>
      <c r="I1486" s="3">
        <f t="shared" si="1669"/>
        <v>3.042682872740389E-2</v>
      </c>
      <c r="J1486" s="3">
        <f t="shared" si="1669"/>
        <v>3.1023641718362919E-2</v>
      </c>
      <c r="K1486" s="3">
        <f t="shared" si="1669"/>
        <v>3.1892522889951397E-2</v>
      </c>
      <c r="L1486" s="3">
        <f t="shared" si="1669"/>
        <v>3.2426583620297177E-2</v>
      </c>
      <c r="M1486" s="3">
        <f t="shared" si="1669"/>
        <v>3.2960644350642984E-2</v>
      </c>
      <c r="N1486" s="3">
        <f t="shared" si="1669"/>
        <v>3.5939564798539693E-2</v>
      </c>
      <c r="O1486" s="3">
        <f t="shared" si="1669"/>
        <v>3.8019840657423198E-2</v>
      </c>
      <c r="P1486" s="3">
        <f>P1487</f>
        <v>4.0091477970173192E-2</v>
      </c>
      <c r="Q1486" s="3">
        <f>Q1487</f>
        <v>4.2130119148439206E-2</v>
      </c>
      <c r="S1486" s="3"/>
    </row>
    <row r="1487" spans="2:19" x14ac:dyDescent="0.5">
      <c r="B1487" s="5" t="str">
        <f t="shared" si="1668"/>
        <v>SPS1</v>
      </c>
      <c r="C1487" s="5" t="str">
        <f t="shared" si="1668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2.8773914363701983E-2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3.042682872740389E-2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3.1023641718362919E-2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3.1892522889951397E-2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3.2426583620297177E-2</v>
      </c>
      <c r="M1487" s="1" cm="1">
        <f t="array" ref="M1487">SUMPRODUCT(("T_TRLY_ELC"=[1]OUT_TransportEnergyCons!$A$3:$A$1000)*1,("Var_Fout"=[1]OUT_TransportEnergyCons!$B$3:$B$1000)*1,ISNUMBER(SEARCH("tptrly",[1]OUT_TransportEnergyCons!$C$3:$C$1000))*1,[1]OUT_TransportEnergyCons!K$3:K$1000)</f>
        <v>3.2960644350642984E-2</v>
      </c>
      <c r="N1487" s="1" cm="1">
        <f t="array" ref="N1487">SUMPRODUCT(("T_TRLY_ELC"=[1]OUT_TransportEnergyCons!$A$3:$A$1000)*1,("Var_Fout"=[1]OUT_TransportEnergyCons!$B$3:$B$1000)*1,ISNUMBER(SEARCH("tptrly",[1]OUT_TransportEnergyCons!$C$3:$C$1000))*1,[1]OUT_TransportEnergyCons!L$3:L$1000)</f>
        <v>3.5939564798539693E-2</v>
      </c>
      <c r="O1487" s="1" cm="1">
        <f t="array" ref="O1487">SUMPRODUCT(("T_TRLY_ELC"=[1]OUT_TransportEnergyCons!$A$3:$A$1000)*1,("Var_Fout"=[1]OUT_TransportEnergyCons!$B$3:$B$1000)*1,ISNUMBER(SEARCH("tptrly",[1]OUT_TransportEnergyCons!$C$3:$C$1000))*1,[1]OUT_TransportEnergyCons!M$3:M$1000)</f>
        <v>3.8019840657423198E-2</v>
      </c>
      <c r="P1487" s="1" cm="1">
        <f t="array" ref="P1487">SUMPRODUCT(("T_TRLY_ELC"=[1]OUT_TransportEnergyCons!$A$3:$A$1000)*1,("Var_Fout"=[1]OUT_TransportEnergyCons!$B$3:$B$1000)*1,ISNUMBER(SEARCH("tptrly",[1]OUT_TransportEnergyCons!$C$3:$C$1000))*1,[1]OUT_TransportEnergyCons!N$3:N$1000)</f>
        <v>4.0091477970173192E-2</v>
      </c>
      <c r="Q1487" s="1" cm="1">
        <f t="array" ref="Q1487">SUMPRODUCT(("T_TRLY_ELC"=[1]OUT_TransportEnergyCons!$A$3:$A$1000)*1,("Var_Fout"=[1]OUT_TransportEnergyCons!$B$3:$B$1000)*1,ISNUMBER(SEARCH("tptrly",[1]OUT_TransportEnergyCons!$C$3:$C$1000))*1,[1]OUT_TransportEnergyCons!O$3:O$1000)</f>
        <v>4.2130119148439206E-2</v>
      </c>
      <c r="S1487" s="3"/>
    </row>
    <row r="1488" spans="2:19" x14ac:dyDescent="0.5">
      <c r="B1488" s="9" t="str">
        <f t="shared" si="1668"/>
        <v>SPS1</v>
      </c>
      <c r="C1488" s="9" t="str">
        <f t="shared" si="1668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M1488" s="1" t="s">
        <v>292</v>
      </c>
      <c r="N1488" s="1" t="s">
        <v>292</v>
      </c>
      <c r="O1488" s="1" t="s">
        <v>292</v>
      </c>
      <c r="P1488" s="1" t="s">
        <v>292</v>
      </c>
      <c r="Q1488" s="1" t="s">
        <v>292</v>
      </c>
      <c r="S1488" s="3"/>
    </row>
    <row r="1489" spans="2:19" x14ac:dyDescent="0.5">
      <c r="B1489" s="5" t="str">
        <f t="shared" si="1668"/>
        <v>SPS1</v>
      </c>
      <c r="C1489" s="5" t="str">
        <f t="shared" si="1668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670">G1487/G1485</f>
        <v>9.0588164102724744E-2</v>
      </c>
      <c r="H1489" s="1">
        <f t="shared" si="1670"/>
        <v>8.2026535350122706E-2</v>
      </c>
      <c r="I1489" s="1">
        <f t="shared" si="1670"/>
        <v>6.7757154095786157E-2</v>
      </c>
      <c r="J1489" s="1">
        <f t="shared" si="1670"/>
        <v>6.7757154095786254E-2</v>
      </c>
      <c r="K1489" s="1">
        <f t="shared" si="1670"/>
        <v>6.7757154095786185E-2</v>
      </c>
      <c r="L1489" s="1">
        <f t="shared" ref="L1489:O1489" si="1671">L1487/L1485</f>
        <v>6.7757154095786185E-2</v>
      </c>
      <c r="M1489" s="1">
        <f t="shared" si="1671"/>
        <v>6.7757154095786115E-2</v>
      </c>
      <c r="N1489" s="1">
        <f t="shared" si="1671"/>
        <v>6.7757154095786212E-2</v>
      </c>
      <c r="O1489" s="1">
        <f t="shared" si="1671"/>
        <v>6.7757154095786185E-2</v>
      </c>
      <c r="P1489" s="1">
        <f>P1487/P1485</f>
        <v>6.775715409578624E-2</v>
      </c>
      <c r="Q1489" s="1">
        <f>Q1487/Q1485</f>
        <v>6.7757154095786254E-2</v>
      </c>
      <c r="S1489" s="3"/>
    </row>
    <row r="1490" spans="2:19" x14ac:dyDescent="0.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672">G1491</f>
        <v>0.61504030570008339</v>
      </c>
      <c r="H1490" s="3">
        <f t="shared" ref="H1490:H1491" si="1673">H1491</f>
        <v>0.65847123751882963</v>
      </c>
      <c r="I1490" s="3">
        <f t="shared" ref="I1490:I1491" si="1674">I1491</f>
        <v>0.73826743502205472</v>
      </c>
      <c r="J1490" s="3">
        <f t="shared" ref="J1490:J1491" si="1675">J1491</f>
        <v>0.7564574460789345</v>
      </c>
      <c r="K1490" s="3">
        <f t="shared" ref="K1490:O1491" si="1676">K1491</f>
        <v>0.77350814954032066</v>
      </c>
      <c r="L1490" s="3">
        <f t="shared" si="1676"/>
        <v>0.78633099956125296</v>
      </c>
      <c r="M1490" s="3">
        <f t="shared" si="1676"/>
        <v>0.7991538495821856</v>
      </c>
      <c r="N1490" s="3">
        <f t="shared" si="1676"/>
        <v>0.83907095970389334</v>
      </c>
      <c r="O1490" s="3">
        <f t="shared" si="1676"/>
        <v>0.86191110505360957</v>
      </c>
      <c r="P1490" s="3">
        <f>P1491</f>
        <v>0.88464264231103162</v>
      </c>
      <c r="Q1490" s="3">
        <f>Q1491</f>
        <v>0.90719138572521052</v>
      </c>
      <c r="S1490" s="3"/>
    </row>
    <row r="1491" spans="2:19" x14ac:dyDescent="0.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672"/>
        <v>0.61504030570008339</v>
      </c>
      <c r="H1491" s="1">
        <f t="shared" si="1673"/>
        <v>0.65847123751882963</v>
      </c>
      <c r="I1491" s="1">
        <f t="shared" si="1674"/>
        <v>0.73826743502205472</v>
      </c>
      <c r="J1491" s="1">
        <f t="shared" si="1675"/>
        <v>0.7564574460789345</v>
      </c>
      <c r="K1491" s="1">
        <f t="shared" si="1676"/>
        <v>0.77350814954032066</v>
      </c>
      <c r="L1491" s="1">
        <f t="shared" si="1676"/>
        <v>0.78633099956125296</v>
      </c>
      <c r="M1491" s="1">
        <f t="shared" si="1676"/>
        <v>0.7991538495821856</v>
      </c>
      <c r="N1491" s="1">
        <f t="shared" si="1676"/>
        <v>0.83907095970389334</v>
      </c>
      <c r="O1491" s="1">
        <f t="shared" si="1676"/>
        <v>0.86191110505360957</v>
      </c>
      <c r="P1491" s="1">
        <f>P1492</f>
        <v>0.88464264231103162</v>
      </c>
      <c r="Q1491" s="1">
        <f>Q1492</f>
        <v>0.90719138572521052</v>
      </c>
      <c r="S1491" s="3"/>
    </row>
    <row r="1492" spans="2:19" x14ac:dyDescent="0.5">
      <c r="B1492" s="5" t="str">
        <f t="shared" ref="B1492" si="1677">B1491</f>
        <v>SPS1</v>
      </c>
      <c r="C1492" s="5" t="str">
        <f t="shared" ref="C1492" si="1678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0.65847123751882963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0.73826743502205472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0.7564574460789345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0.77350814954032066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0.78633099956125296</v>
      </c>
      <c r="M1492" s="1" cm="1">
        <f t="array" ref="M1492">SUMPRODUCT(("T_TRM_ELC"=[1]OUT_TransportEnergyCons!$A$3:$A$1000)*1,("Var_Fin"=[1]OUT_TransportEnergyCons!$B$3:$B$1000)*1,ISNUMBER(SEARCH("ELC",[1]OUT_TransportEnergyCons!$C$3:$C$1000))*1,[1]OUT_TransportEnergyCons!K$3:K$1000)</f>
        <v>0.7991538495821856</v>
      </c>
      <c r="N1492" s="1" cm="1">
        <f t="array" ref="N1492">SUMPRODUCT(("T_TRM_ELC"=[1]OUT_TransportEnergyCons!$A$3:$A$1000)*1,("Var_Fin"=[1]OUT_TransportEnergyCons!$B$3:$B$1000)*1,ISNUMBER(SEARCH("ELC",[1]OUT_TransportEnergyCons!$C$3:$C$1000))*1,[1]OUT_TransportEnergyCons!L$3:L$1000)</f>
        <v>0.83907095970389334</v>
      </c>
      <c r="O1492" s="1" cm="1">
        <f t="array" ref="O1492">SUMPRODUCT(("T_TRM_ELC"=[1]OUT_TransportEnergyCons!$A$3:$A$1000)*1,("Var_Fin"=[1]OUT_TransportEnergyCons!$B$3:$B$1000)*1,ISNUMBER(SEARCH("ELC",[1]OUT_TransportEnergyCons!$C$3:$C$1000))*1,[1]OUT_TransportEnergyCons!M$3:M$1000)</f>
        <v>0.86191110505360957</v>
      </c>
      <c r="P1492" s="1" cm="1">
        <f t="array" ref="P1492">SUMPRODUCT(("T_TRM_ELC"=[1]OUT_TransportEnergyCons!$A$3:$A$1000)*1,("Var_Fin"=[1]OUT_TransportEnergyCons!$B$3:$B$1000)*1,ISNUMBER(SEARCH("ELC",[1]OUT_TransportEnergyCons!$C$3:$C$1000))*1,[1]OUT_TransportEnergyCons!N$3:N$1000)</f>
        <v>0.88464264231103162</v>
      </c>
      <c r="Q1492" s="1" cm="1">
        <f t="array" ref="Q1492">SUMPRODUCT(("T_TRM_ELC"=[1]OUT_TransportEnergyCons!$A$3:$A$1000)*1,("Var_Fin"=[1]OUT_TransportEnergyCons!$B$3:$B$1000)*1,ISNUMBER(SEARCH("ELC",[1]OUT_TransportEnergyCons!$C$3:$C$1000))*1,[1]OUT_TransportEnergyCons!O$3:O$1000)</f>
        <v>0.90719138572521052</v>
      </c>
      <c r="S1492" s="3"/>
    </row>
    <row r="1493" spans="2:19" x14ac:dyDescent="0.5">
      <c r="B1493" s="9" t="str">
        <f t="shared" ref="B1493:C1497" si="1679">B1492</f>
        <v>SPS1</v>
      </c>
      <c r="C1493" s="9" t="str">
        <f t="shared" si="1679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680">G1494</f>
        <v>3.4238693943285006E-2</v>
      </c>
      <c r="H1493" s="3">
        <f t="shared" ref="H1493" si="1681">H1494</f>
        <v>3.537973485821249E-2</v>
      </c>
      <c r="I1493" s="3">
        <f t="shared" ref="I1493" si="1682">I1494</f>
        <v>3.7281469716424979E-2</v>
      </c>
      <c r="J1493" s="3">
        <f t="shared" ref="J1493" si="1683">J1494</f>
        <v>3.8200039755124107E-2</v>
      </c>
      <c r="K1493" s="3">
        <f t="shared" ref="K1493:O1493" si="1684">K1494</f>
        <v>3.9061076358642186E-2</v>
      </c>
      <c r="L1493" s="3">
        <f t="shared" si="1684"/>
        <v>3.9708612294883733E-2</v>
      </c>
      <c r="M1493" s="3">
        <f t="shared" si="1684"/>
        <v>4.0356148231125301E-2</v>
      </c>
      <c r="N1493" s="3">
        <f t="shared" si="1684"/>
        <v>4.2371906290567779E-2</v>
      </c>
      <c r="O1493" s="3">
        <f t="shared" si="1684"/>
        <v>4.3525301587149907E-2</v>
      </c>
      <c r="P1493" s="3">
        <f>P1494</f>
        <v>4.4673212327442917E-2</v>
      </c>
      <c r="Q1493" s="3">
        <f>Q1494</f>
        <v>4.5811892235102694E-2</v>
      </c>
      <c r="S1493" s="3"/>
    </row>
    <row r="1494" spans="2:19" x14ac:dyDescent="0.5">
      <c r="B1494" s="5" t="str">
        <f t="shared" si="1679"/>
        <v>SPS1</v>
      </c>
      <c r="C1494" s="5" t="str">
        <f t="shared" si="1679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3.537973485821249E-2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3.7281469716424979E-2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3.8200039755124107E-2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3.9061076358642186E-2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3.9708612294883733E-2</v>
      </c>
      <c r="M1494" s="1" cm="1">
        <f t="array" ref="M1494">SUMPRODUCT(("T_TRM_ELC"=[1]OUT_TransportEnergyCons!$A$3:$A$1000)*1,("Var_Fout"=[1]OUT_TransportEnergyCons!$B$3:$B$1000)*1,ISNUMBER(SEARCH("tptrm",[1]OUT_TransportEnergyCons!$C$3:$C$1000))*1,[1]OUT_TransportEnergyCons!K$3:K$1000)</f>
        <v>4.0356148231125301E-2</v>
      </c>
      <c r="N1494" s="1" cm="1">
        <f t="array" ref="N1494">SUMPRODUCT(("T_TRM_ELC"=[1]OUT_TransportEnergyCons!$A$3:$A$1000)*1,("Var_Fout"=[1]OUT_TransportEnergyCons!$B$3:$B$1000)*1,ISNUMBER(SEARCH("tptrm",[1]OUT_TransportEnergyCons!$C$3:$C$1000))*1,[1]OUT_TransportEnergyCons!L$3:L$1000)</f>
        <v>4.2371906290567779E-2</v>
      </c>
      <c r="O1494" s="1" cm="1">
        <f t="array" ref="O1494">SUMPRODUCT(("T_TRM_ELC"=[1]OUT_TransportEnergyCons!$A$3:$A$1000)*1,("Var_Fout"=[1]OUT_TransportEnergyCons!$B$3:$B$1000)*1,ISNUMBER(SEARCH("tptrm",[1]OUT_TransportEnergyCons!$C$3:$C$1000))*1,[1]OUT_TransportEnergyCons!M$3:M$1000)</f>
        <v>4.3525301587149907E-2</v>
      </c>
      <c r="P1494" s="1" cm="1">
        <f t="array" ref="P1494">SUMPRODUCT(("T_TRM_ELC"=[1]OUT_TransportEnergyCons!$A$3:$A$1000)*1,("Var_Fout"=[1]OUT_TransportEnergyCons!$B$3:$B$1000)*1,ISNUMBER(SEARCH("tptrm",[1]OUT_TransportEnergyCons!$C$3:$C$1000))*1,[1]OUT_TransportEnergyCons!N$3:N$1000)</f>
        <v>4.4673212327442917E-2</v>
      </c>
      <c r="Q1494" s="1" cm="1">
        <f t="array" ref="Q1494">SUMPRODUCT(("T_TRM_ELC"=[1]OUT_TransportEnergyCons!$A$3:$A$1000)*1,("Var_Fout"=[1]OUT_TransportEnergyCons!$B$3:$B$1000)*1,ISNUMBER(SEARCH("tptrm",[1]OUT_TransportEnergyCons!$C$3:$C$1000))*1,[1]OUT_TransportEnergyCons!O$3:O$1000)</f>
        <v>4.5811892235102694E-2</v>
      </c>
      <c r="S1494" s="3"/>
    </row>
    <row r="1495" spans="2:19" x14ac:dyDescent="0.5">
      <c r="B1495" s="9" t="str">
        <f t="shared" si="1679"/>
        <v>SPS1</v>
      </c>
      <c r="C1495" s="9" t="str">
        <f t="shared" si="1679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M1495" s="1" t="s">
        <v>292</v>
      </c>
      <c r="N1495" s="1" t="s">
        <v>292</v>
      </c>
      <c r="O1495" s="1" t="s">
        <v>292</v>
      </c>
      <c r="P1495" s="1" t="s">
        <v>292</v>
      </c>
      <c r="Q1495" s="1" t="s">
        <v>292</v>
      </c>
      <c r="S1495" s="3"/>
    </row>
    <row r="1496" spans="2:19" x14ac:dyDescent="0.5">
      <c r="B1496" s="5" t="str">
        <f t="shared" si="1679"/>
        <v>SPS1</v>
      </c>
      <c r="C1496" s="5" t="str">
        <f t="shared" si="1679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685">G1494/G1492</f>
        <v>5.5669024657354849E-2</v>
      </c>
      <c r="H1496" s="1">
        <f t="shared" si="1685"/>
        <v>5.3730114304652181E-2</v>
      </c>
      <c r="I1496" s="1">
        <f t="shared" si="1685"/>
        <v>5.0498597050147885E-2</v>
      </c>
      <c r="J1496" s="1">
        <f t="shared" si="1685"/>
        <v>5.0498597050147913E-2</v>
      </c>
      <c r="K1496" s="1">
        <f t="shared" si="1685"/>
        <v>5.0498597050147885E-2</v>
      </c>
      <c r="L1496" s="1">
        <f t="shared" ref="L1496:O1496" si="1686">L1494/L1492</f>
        <v>5.0498597050147892E-2</v>
      </c>
      <c r="M1496" s="1">
        <f t="shared" si="1686"/>
        <v>5.0498597050147906E-2</v>
      </c>
      <c r="N1496" s="1">
        <f t="shared" si="1686"/>
        <v>5.0498597050147878E-2</v>
      </c>
      <c r="O1496" s="1">
        <f t="shared" si="1686"/>
        <v>5.0498597050147878E-2</v>
      </c>
      <c r="P1496" s="1">
        <f>P1494/P1492</f>
        <v>5.0498597050147913E-2</v>
      </c>
      <c r="Q1496" s="1">
        <f>Q1494/Q1492</f>
        <v>5.0498597050147892E-2</v>
      </c>
      <c r="S1496" s="3"/>
    </row>
    <row r="1497" spans="2:19" x14ac:dyDescent="0.5">
      <c r="B1497" s="9" t="str">
        <f t="shared" si="1679"/>
        <v>SPS1</v>
      </c>
      <c r="C1497" s="9" t="str">
        <f t="shared" si="1679"/>
        <v>CH</v>
      </c>
      <c r="D1497" s="2" t="s">
        <v>1487</v>
      </c>
      <c r="E1497" s="2" t="s">
        <v>8</v>
      </c>
      <c r="F1497" s="3">
        <f>SUM(F1498,F1503,F1508)</f>
        <v>2.4119597646172415</v>
      </c>
      <c r="G1497" s="3">
        <f t="shared" ref="G1497:K1497" si="1687">SUM(G1498,G1503,G1508)</f>
        <v>1.6973898066313517</v>
      </c>
      <c r="H1497" s="3">
        <f t="shared" si="1687"/>
        <v>1.675447379661704</v>
      </c>
      <c r="I1497" s="3">
        <f t="shared" si="1687"/>
        <v>1.501214510011611</v>
      </c>
      <c r="J1497" s="3">
        <f t="shared" si="1687"/>
        <v>1.1727194227725273</v>
      </c>
      <c r="K1497" s="3">
        <f t="shared" si="1687"/>
        <v>1.070853114509134</v>
      </c>
      <c r="L1497" s="3">
        <f t="shared" ref="L1497:O1497" si="1688">SUM(L1498,L1503,L1508)</f>
        <v>0.92467882802153312</v>
      </c>
      <c r="M1497" s="3">
        <f t="shared" si="1688"/>
        <v>0.47159104493186221</v>
      </c>
      <c r="N1497" s="3">
        <f t="shared" si="1688"/>
        <v>0.27776176256637752</v>
      </c>
      <c r="O1497" s="3">
        <f t="shared" si="1688"/>
        <v>0.16122740284128478</v>
      </c>
      <c r="P1497" s="3">
        <f>SUM(P1498,P1503,P1508)</f>
        <v>0.15874145314097488</v>
      </c>
      <c r="Q1497" s="3">
        <f>SUM(Q1498,Q1503,Q1508)</f>
        <v>0.15906357561291531</v>
      </c>
      <c r="S1497" s="3"/>
    </row>
    <row r="1498" spans="2:19" x14ac:dyDescent="0.5">
      <c r="B1498" s="5" t="str">
        <f>B1497</f>
        <v>SPS1</v>
      </c>
      <c r="C1498" t="str">
        <f t="shared" ref="C1498:C1502" si="1689">C1497</f>
        <v>CH</v>
      </c>
      <c r="D1498" t="s">
        <v>1488</v>
      </c>
      <c r="E1498" t="str">
        <f>E1497</f>
        <v>PJ/yr.</v>
      </c>
      <c r="F1498" s="1">
        <f>SUM(F1499:F1502)</f>
        <v>2.0333528846449181E-3</v>
      </c>
      <c r="G1498" s="1">
        <f t="shared" ref="G1498:K1498" si="1690">SUM(G1499:G1502)</f>
        <v>2.8163333185839399E-3</v>
      </c>
      <c r="H1498" s="1">
        <f t="shared" si="1690"/>
        <v>2.8904129402124962E-3</v>
      </c>
      <c r="I1498" s="1">
        <f t="shared" si="1690"/>
        <v>2.2012864190000003E-3</v>
      </c>
      <c r="J1498" s="1">
        <f t="shared" si="1690"/>
        <v>8.2758236232542855E-4</v>
      </c>
      <c r="K1498" s="1">
        <f t="shared" si="1690"/>
        <v>1.0388163546204319E-3</v>
      </c>
      <c r="L1498" s="1">
        <f t="shared" ref="L1498:O1498" si="1691">SUM(L1499:L1502)</f>
        <v>4.6084526838208462E-3</v>
      </c>
      <c r="M1498" s="1">
        <f t="shared" si="1691"/>
        <v>9.4131168486737291E-2</v>
      </c>
      <c r="N1498" s="1">
        <f t="shared" si="1691"/>
        <v>0.13206285476247345</v>
      </c>
      <c r="O1498" s="1">
        <f t="shared" si="1691"/>
        <v>0.15342081828903745</v>
      </c>
      <c r="P1498" s="1">
        <f>SUM(P1499:P1502)</f>
        <v>0.15054959456867748</v>
      </c>
      <c r="Q1498" s="1">
        <f>SUM(Q1499:Q1502)</f>
        <v>0.14736571609314147</v>
      </c>
      <c r="S1498" s="3"/>
    </row>
    <row r="1499" spans="2:19" x14ac:dyDescent="0.5">
      <c r="B1499" t="str">
        <f t="shared" ref="B1499:B1502" si="1692">B1498</f>
        <v>SPS1</v>
      </c>
      <c r="C1499" t="str">
        <f t="shared" si="1689"/>
        <v>CH</v>
      </c>
      <c r="D1499" t="s">
        <v>1489</v>
      </c>
      <c r="E1499" t="str">
        <f t="shared" ref="E1499:E1502" si="1693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1.5590443089679863E-3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2.1286065432738499E-3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2.1473507009995198E-3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1.4722614479931442E-3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2.7278351467492179E-4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4.3763502076496892E-4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3.9373907535549075E-3</v>
      </c>
      <c r="M1499" s="1" cm="1">
        <f t="array" ref="M1499">SUMPRODUCT(("T_TW-BEVELC-S1"=[1]OUT_TransportEnergyCons!$A$3:$A$1000)*1,("Var_Fin"=[1]OUT_TransportEnergyCons!$B$3:$B$1000)*1,ISNUMBER(SEARCH("ELC",[1]OUT_TransportEnergyCons!$C$3:$C$1000))*1,[1]OUT_TransportEnergyCons!K$3:K$1000)</f>
        <v>9.3304744420503974E-2</v>
      </c>
      <c r="N1499" s="1" cm="1">
        <f t="array" ref="N1499">SUMPRODUCT(("T_TW-BEVELC-S1"=[1]OUT_TransportEnergyCons!$A$3:$A$1000)*1,("Var_Fin"=[1]OUT_TransportEnergyCons!$B$3:$B$1000)*1,ISNUMBER(SEARCH("ELC",[1]OUT_TransportEnergyCons!$C$3:$C$1000))*1,[1]OUT_TransportEnergyCons!L$3:L$1000)</f>
        <v>0.13109052794469198</v>
      </c>
      <c r="O1499" s="1" cm="1">
        <f t="array" ref="O1499">SUMPRODUCT(("T_TW-BEVELC-S1"=[1]OUT_TransportEnergyCons!$A$3:$A$1000)*1,("Var_Fin"=[1]OUT_TransportEnergyCons!$B$3:$B$1000)*1,ISNUMBER(SEARCH("ELC",[1]OUT_TransportEnergyCons!$C$3:$C$1000))*1,[1]OUT_TransportEnergyCons!M$3:M$1000)</f>
        <v>0.15221236318576573</v>
      </c>
      <c r="P1499" s="1" cm="1">
        <f t="array" ref="P1499">SUMPRODUCT(("T_TW-BEVELC-S1"=[1]OUT_TransportEnergyCons!$A$3:$A$1000)*1,("Var_Fin"=[1]OUT_TransportEnergyCons!$B$3:$B$1000)*1,ISNUMBER(SEARCH("ELC",[1]OUT_TransportEnergyCons!$C$3:$C$1000))*1,[1]OUT_TransportEnergyCons!N$3:N$1000)</f>
        <v>0.14926529899149962</v>
      </c>
      <c r="Q1499" s="1" cm="1">
        <f t="array" ref="Q1499">SUMPRODUCT(("T_TW-BEVELC-S1"=[1]OUT_TransportEnergyCons!$A$3:$A$1000)*1,("Var_Fin"=[1]OUT_TransportEnergyCons!$B$3:$B$1000)*1,ISNUMBER(SEARCH("ELC",[1]OUT_TransportEnergyCons!$C$3:$C$1000))*1,[1]OUT_TransportEnergyCons!O$3:O$1000)</f>
        <v>0.14566912558167694</v>
      </c>
      <c r="S1499" s="3"/>
    </row>
    <row r="1500" spans="2:19" x14ac:dyDescent="0.5">
      <c r="B1500" t="str">
        <f t="shared" si="1692"/>
        <v>SPS1</v>
      </c>
      <c r="C1500" t="str">
        <f t="shared" si="1689"/>
        <v>CH</v>
      </c>
      <c r="D1500" t="s">
        <v>1490</v>
      </c>
      <c r="E1500" t="str">
        <f t="shared" si="1693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3.5928026311060087E-4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4.6411844197717932E-4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4.6964303667018913E-4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4.1282940062903659E-4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1.4313983689714327E-4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1.5297618940205075E-4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2.2535837115328616E-4</v>
      </c>
      <c r="M1500" s="1" cm="1">
        <f t="array" ref="M1500">SUMPRODUCT(("T_TW-BEVELC-S2"=[1]OUT_TransportEnergyCons!$A$3:$A$1000)*1,("Var_Fin"=[1]OUT_TransportEnergyCons!$B$3:$B$1000)*1,ISNUMBER(SEARCH("ELC",[1]OUT_TransportEnergyCons!$C$3:$C$1000))*1,[1]OUT_TransportEnergyCons!K$3:K$1000)</f>
        <v>2.9707886645583009E-4</v>
      </c>
      <c r="N1500" s="1" cm="1">
        <f t="array" ref="N1500">SUMPRODUCT(("T_TW-BEVELC-S2"=[1]OUT_TransportEnergyCons!$A$3:$A$1000)*1,("Var_Fin"=[1]OUT_TransportEnergyCons!$B$3:$B$1000)*1,ISNUMBER(SEARCH("ELC",[1]OUT_TransportEnergyCons!$C$3:$C$1000))*1,[1]OUT_TransportEnergyCons!L$3:L$1000)</f>
        <v>3.465234574081675E-4</v>
      </c>
      <c r="O1500" s="1" cm="1">
        <f t="array" ref="O1500">SUMPRODUCT(("T_TW-BEVELC-S2"=[1]OUT_TransportEnergyCons!$A$3:$A$1000)*1,("Var_Fin"=[1]OUT_TransportEnergyCons!$B$3:$B$1000)*1,ISNUMBER(SEARCH("ELC",[1]OUT_TransportEnergyCons!$C$3:$C$1000))*1,[1]OUT_TransportEnergyCons!M$3:M$1000)</f>
        <v>4.590512137986173E-4</v>
      </c>
      <c r="P1500" s="1" cm="1">
        <f t="array" ref="P1500">SUMPRODUCT(("T_TW-BEVELC-S2"=[1]OUT_TransportEnergyCons!$A$3:$A$1000)*1,("Var_Fin"=[1]OUT_TransportEnergyCons!$B$3:$B$1000)*1,ISNUMBER(SEARCH("ELC",[1]OUT_TransportEnergyCons!$C$3:$C$1000))*1,[1]OUT_TransportEnergyCons!N$3:N$1000)</f>
        <v>4.3647965689114243E-4</v>
      </c>
      <c r="Q1500" s="1" cm="1">
        <f t="array" ref="Q1500">SUMPRODUCT(("T_TW-BEVELC-S2"=[1]OUT_TransportEnergyCons!$A$3:$A$1000)*1,("Var_Fin"=[1]OUT_TransportEnergyCons!$B$3:$B$1000)*1,ISNUMBER(SEARCH("ELC",[1]OUT_TransportEnergyCons!$C$3:$C$1000))*1,[1]OUT_TransportEnergyCons!O$3:O$1000)</f>
        <v>6.3738246156499936E-4</v>
      </c>
      <c r="S1500" s="3"/>
    </row>
    <row r="1501" spans="2:19" x14ac:dyDescent="0.5">
      <c r="B1501" t="str">
        <f t="shared" si="1692"/>
        <v>SPS1</v>
      </c>
      <c r="C1501" t="str">
        <f t="shared" si="1689"/>
        <v>CH</v>
      </c>
      <c r="D1501" t="s">
        <v>1492</v>
      </c>
      <c r="E1501" t="str">
        <f t="shared" si="1693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7.778519521685344E-5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1.4752271867632256E-4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1.7386761855975403E-4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1.9501294156075083E-4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2.5333911795042514E-4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2.4501027467629065E-4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2.2420815209821924E-4</v>
      </c>
      <c r="M1501" s="1" cm="1">
        <f t="array" ref="M1501">SUMPRODUCT(("T_TW-BEVELC-S3"=[1]OUT_TransportEnergyCons!$A$3:$A$1000)*1,("Var_Fin"=[1]OUT_TransportEnergyCons!$B$3:$B$1000)*1,ISNUMBER(SEARCH("ELC",[1]OUT_TransportEnergyCons!$C$3:$C$1000))*1,[1]OUT_TransportEnergyCons!K$3:K$1000)</f>
        <v>2.90436988670511E-4</v>
      </c>
      <c r="N1501" s="1" cm="1">
        <f t="array" ref="N1501">SUMPRODUCT(("T_TW-BEVELC-S3"=[1]OUT_TransportEnergyCons!$A$3:$A$1000)*1,("Var_Fin"=[1]OUT_TransportEnergyCons!$B$3:$B$1000)*1,ISNUMBER(SEARCH("ELC",[1]OUT_TransportEnergyCons!$C$3:$C$1000))*1,[1]OUT_TransportEnergyCons!L$3:L$1000)</f>
        <v>3.4330958690769782E-4</v>
      </c>
      <c r="O1501" s="1" cm="1">
        <f t="array" ref="O1501">SUMPRODUCT(("T_TW-BEVELC-S3"=[1]OUT_TransportEnergyCons!$A$3:$A$1000)*1,("Var_Fin"=[1]OUT_TransportEnergyCons!$B$3:$B$1000)*1,ISNUMBER(SEARCH("ELC",[1]OUT_TransportEnergyCons!$C$3:$C$1000))*1,[1]OUT_TransportEnergyCons!M$3:M$1000)</f>
        <v>4.122817727606162E-4</v>
      </c>
      <c r="P1501" s="1" cm="1">
        <f t="array" ref="P1501">SUMPRODUCT(("T_TW-BEVELC-S3"=[1]OUT_TransportEnergyCons!$A$3:$A$1000)*1,("Var_Fin"=[1]OUT_TransportEnergyCons!$B$3:$B$1000)*1,ISNUMBER(SEARCH("ELC",[1]OUT_TransportEnergyCons!$C$3:$C$1000))*1,[1]OUT_TransportEnergyCons!N$3:N$1000)</f>
        <v>4.735489678148838E-4</v>
      </c>
      <c r="Q1501" s="1" cm="1">
        <f t="array" ref="Q1501">SUMPRODUCT(("T_TW-BEVELC-S3"=[1]OUT_TransportEnergyCons!$A$3:$A$1000)*1,("Var_Fin"=[1]OUT_TransportEnergyCons!$B$3:$B$1000)*1,ISNUMBER(SEARCH("ELC",[1]OUT_TransportEnergyCons!$C$3:$C$1000))*1,[1]OUT_TransportEnergyCons!O$3:O$1000)</f>
        <v>5.8872422268435457E-4</v>
      </c>
      <c r="S1501" s="3"/>
    </row>
    <row r="1502" spans="2:19" x14ac:dyDescent="0.5">
      <c r="B1502" t="str">
        <f t="shared" si="1692"/>
        <v>SPS1</v>
      </c>
      <c r="C1502" t="str">
        <f t="shared" si="1689"/>
        <v>CH</v>
      </c>
      <c r="D1502" t="s">
        <v>1491</v>
      </c>
      <c r="E1502" t="str">
        <f t="shared" si="1693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3.7243117349477699E-5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7.608561465658835E-5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9.9551583983032988E-5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1.2118262881706879E-4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1.5831989280293835E-4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2.0319486977712155E-4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2.2149540701443319E-4</v>
      </c>
      <c r="M1502" s="1" cm="1">
        <f t="array" ref="M1502">SUMPRODUCT(("T_TW-BEVELC-S4"=[1]OUT_TransportEnergyCons!$A$3:$A$1000)*1,("Var_Fin"=[1]OUT_TransportEnergyCons!$B$3:$B$1000)*1,ISNUMBER(SEARCH("ELC",[1]OUT_TransportEnergyCons!$C$3:$C$1000))*1,[1]OUT_TransportEnergyCons!K$3:K$1000)</f>
        <v>2.3890821110697562E-4</v>
      </c>
      <c r="N1502" s="1" cm="1">
        <f t="array" ref="N1502">SUMPRODUCT(("T_TW-BEVELC-S4"=[1]OUT_TransportEnergyCons!$A$3:$A$1000)*1,("Var_Fin"=[1]OUT_TransportEnergyCons!$B$3:$B$1000)*1,ISNUMBER(SEARCH("ELC",[1]OUT_TransportEnergyCons!$C$3:$C$1000))*1,[1]OUT_TransportEnergyCons!L$3:L$1000)</f>
        <v>2.8249377346562128E-4</v>
      </c>
      <c r="O1502" s="1" cm="1">
        <f t="array" ref="O1502">SUMPRODUCT(("T_TW-BEVELC-S4"=[1]OUT_TransportEnergyCons!$A$3:$A$1000)*1,("Var_Fin"=[1]OUT_TransportEnergyCons!$B$3:$B$1000)*1,ISNUMBER(SEARCH("ELC",[1]OUT_TransportEnergyCons!$C$3:$C$1000))*1,[1]OUT_TransportEnergyCons!M$3:M$1000)</f>
        <v>3.3712211671248698E-4</v>
      </c>
      <c r="P1502" s="1" cm="1">
        <f t="array" ref="P1502">SUMPRODUCT(("T_TW-BEVELC-S4"=[1]OUT_TransportEnergyCons!$A$3:$A$1000)*1,("Var_Fin"=[1]OUT_TransportEnergyCons!$B$3:$B$1000)*1,ISNUMBER(SEARCH("ELC",[1]OUT_TransportEnergyCons!$C$3:$C$1000))*1,[1]OUT_TransportEnergyCons!N$3:N$1000)</f>
        <v>3.7426695247184331E-4</v>
      </c>
      <c r="Q1502" s="1" cm="1">
        <f t="array" ref="Q1502">SUMPRODUCT(("T_TW-BEVELC-S4"=[1]OUT_TransportEnergyCons!$A$3:$A$1000)*1,("Var_Fin"=[1]OUT_TransportEnergyCons!$B$3:$B$1000)*1,ISNUMBER(SEARCH("ELC",[1]OUT_TransportEnergyCons!$C$3:$C$1000))*1,[1]OUT_TransportEnergyCons!O$3:O$1000)</f>
        <v>4.704838272151686E-4</v>
      </c>
      <c r="S1502" s="3"/>
    </row>
    <row r="1503" spans="2:19" x14ac:dyDescent="0.5">
      <c r="B1503" s="5" t="str">
        <f>B1502</f>
        <v>SPS1</v>
      </c>
      <c r="C1503" t="str">
        <f t="shared" ref="C1503:C1507" si="1694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95">SUM(G1504:G1507)</f>
        <v>0</v>
      </c>
      <c r="H1503" s="1">
        <f t="shared" si="1695"/>
        <v>0</v>
      </c>
      <c r="I1503" s="1">
        <f t="shared" si="1695"/>
        <v>9.1741389959235477E-5</v>
      </c>
      <c r="J1503" s="1">
        <f t="shared" si="1695"/>
        <v>2.4467532837986114E-4</v>
      </c>
      <c r="K1503" s="1">
        <f t="shared" si="1695"/>
        <v>4.0692525058414494E-4</v>
      </c>
      <c r="L1503" s="1">
        <f t="shared" ref="L1503:O1503" si="1696">SUM(L1504:L1507)</f>
        <v>6.149157906046056E-4</v>
      </c>
      <c r="M1503" s="1">
        <f t="shared" si="1696"/>
        <v>8.7273350818626813E-4</v>
      </c>
      <c r="N1503" s="1">
        <f t="shared" si="1696"/>
        <v>1.080488812417941E-3</v>
      </c>
      <c r="O1503" s="1">
        <f t="shared" si="1696"/>
        <v>1.3483145441662711E-3</v>
      </c>
      <c r="P1503" s="1">
        <f>SUM(P1504:P1507)</f>
        <v>1.3911856531831489E-3</v>
      </c>
      <c r="Q1503" s="1">
        <f>SUM(Q1504:Q1507)</f>
        <v>1.9245629735289125E-3</v>
      </c>
      <c r="S1503" s="3"/>
    </row>
    <row r="1504" spans="2:19" x14ac:dyDescent="0.5">
      <c r="B1504" t="str">
        <f t="shared" ref="B1504:B1507" si="1697">B1503</f>
        <v>SPS1</v>
      </c>
      <c r="C1504" t="str">
        <f t="shared" si="1694"/>
        <v>CH</v>
      </c>
      <c r="D1504" t="s">
        <v>1494</v>
      </c>
      <c r="E1504" t="str">
        <f t="shared" ref="E1504:E1507" si="1698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2.7637831850817771E-5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7.7374172965401436E-5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1.2815497419002756E-4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2.191923327638265E-4</v>
      </c>
      <c r="M1504" s="1" cm="1">
        <f t="array" ref="M1504">SUMPRODUCT(("T_TW-fclh2o-S1"=[1]OUT_TransportEnergyCons!$A$3:$A$1000)*1,("Var_Fin"=[1]OUT_TransportEnergyCons!$B$3:$B$1000)*1,ISNUMBER(SEARCH("h2",[1]OUT_TransportEnergyCons!$C$3:$C$1000))*1,[1]OUT_TransportEnergyCons!K$3:K$1000)</f>
        <v>3.2545990626029608E-4</v>
      </c>
      <c r="N1504" s="1" cm="1">
        <f t="array" ref="N1504">SUMPRODUCT(("T_TW-fclh2o-S1"=[1]OUT_TransportEnergyCons!$A$3:$A$1000)*1,("Var_Fin"=[1]OUT_TransportEnergyCons!$B$3:$B$1000)*1,ISNUMBER(SEARCH("h2",[1]OUT_TransportEnergyCons!$C$3:$C$1000))*1,[1]OUT_TransportEnergyCons!L$3:L$1000)</f>
        <v>4.3559069575214906E-4</v>
      </c>
      <c r="O1504" s="1" cm="1">
        <f t="array" ref="O1504">SUMPRODUCT(("T_TW-fclh2o-S1"=[1]OUT_TransportEnergyCons!$A$3:$A$1000)*1,("Var_Fin"=[1]OUT_TransportEnergyCons!$B$3:$B$1000)*1,ISNUMBER(SEARCH("h2",[1]OUT_TransportEnergyCons!$C$3:$C$1000))*1,[1]OUT_TransportEnergyCons!M$3:M$1000)</f>
        <v>5.4126722191245207E-4</v>
      </c>
      <c r="P1504" s="1" cm="1">
        <f t="array" ref="P1504">SUMPRODUCT(("T_TW-fclh2o-S1"=[1]OUT_TransportEnergyCons!$A$3:$A$1000)*1,("Var_Fin"=[1]OUT_TransportEnergyCons!$B$3:$B$1000)*1,ISNUMBER(SEARCH("h2",[1]OUT_TransportEnergyCons!$C$3:$C$1000))*1,[1]OUT_TransportEnergyCons!N$3:N$1000)</f>
        <v>5.1654822290071777E-4</v>
      </c>
      <c r="Q1504" s="1" cm="1">
        <f t="array" ref="Q1504">SUMPRODUCT(("T_TW-fclh2o-S1"=[1]OUT_TransportEnergyCons!$A$3:$A$1000)*1,("Var_Fin"=[1]OUT_TransportEnergyCons!$B$3:$B$1000)*1,ISNUMBER(SEARCH("h2",[1]OUT_TransportEnergyCons!$C$3:$C$1000))*1,[1]OUT_TransportEnergyCons!O$3:O$1000)</f>
        <v>7.5882610774297946E-4</v>
      </c>
      <c r="S1504" s="3"/>
    </row>
    <row r="1505" spans="2:19" x14ac:dyDescent="0.5">
      <c r="B1505" t="str">
        <f t="shared" si="1697"/>
        <v>SPS1</v>
      </c>
      <c r="C1505" t="str">
        <f t="shared" si="1694"/>
        <v>CH</v>
      </c>
      <c r="D1505" t="s">
        <v>1495</v>
      </c>
      <c r="E1505" t="str">
        <f t="shared" si="1698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2.4680931369914481E-5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6.2898581243910092E-5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1.020087202446695E-4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1.4304128550205337E-4</v>
      </c>
      <c r="M1505" s="1" cm="1">
        <f t="array" ref="M1505">SUMPRODUCT(("T_TW-fclh2o-S2"=[1]OUT_TransportEnergyCons!$A$3:$A$1000)*1,("Var_Fin"=[1]OUT_TransportEnergyCons!$B$3:$B$1000)*1,ISNUMBER(SEARCH("h2",[1]OUT_TransportEnergyCons!$C$3:$C$1000))*1,[1]OUT_TransportEnergyCons!K$3:K$1000)</f>
        <v>1.9262268022228552E-4</v>
      </c>
      <c r="N1505" s="1" cm="1">
        <f t="array" ref="N1505">SUMPRODUCT(("T_TW-fclh2o-S2"=[1]OUT_TransportEnergyCons!$A$3:$A$1000)*1,("Var_Fin"=[1]OUT_TransportEnergyCons!$B$3:$B$1000)*1,ISNUMBER(SEARCH("h2",[1]OUT_TransportEnergyCons!$C$3:$C$1000))*1,[1]OUT_TransportEnergyCons!L$3:L$1000)</f>
        <v>2.196437285035788E-4</v>
      </c>
      <c r="O1505" s="1" cm="1">
        <f t="array" ref="O1505">SUMPRODUCT(("T_TW-fclh2o-S2"=[1]OUT_TransportEnergyCons!$A$3:$A$1000)*1,("Var_Fin"=[1]OUT_TransportEnergyCons!$B$3:$B$1000)*1,ISNUMBER(SEARCH("h2",[1]OUT_TransportEnergyCons!$C$3:$C$1000))*1,[1]OUT_TransportEnergyCons!M$3:M$1000)</f>
        <v>2.9276847741764014E-4</v>
      </c>
      <c r="P1505" s="1" cm="1">
        <f t="array" ref="P1505">SUMPRODUCT(("T_TW-fclh2o-S2"=[1]OUT_TransportEnergyCons!$A$3:$A$1000)*1,("Var_Fin"=[1]OUT_TransportEnergyCons!$B$3:$B$1000)*1,ISNUMBER(SEARCH("h2",[1]OUT_TransportEnergyCons!$C$3:$C$1000))*1,[1]OUT_TransportEnergyCons!N$3:N$1000)</f>
        <v>2.8378835054115924E-4</v>
      </c>
      <c r="Q1505" s="1" cm="1">
        <f t="array" ref="Q1505">SUMPRODUCT(("T_TW-fclh2o-S2"=[1]OUT_TransportEnergyCons!$A$3:$A$1000)*1,("Var_Fin"=[1]OUT_TransportEnergyCons!$B$3:$B$1000)*1,ISNUMBER(SEARCH("h2",[1]OUT_TransportEnergyCons!$C$3:$C$1000))*1,[1]OUT_TransportEnergyCons!O$3:O$1000)</f>
        <v>4.1928424821178936E-4</v>
      </c>
      <c r="S1505" s="3"/>
    </row>
    <row r="1506" spans="2:19" x14ac:dyDescent="0.5">
      <c r="B1506" t="str">
        <f t="shared" si="1697"/>
        <v>SPS1</v>
      </c>
      <c r="C1506" t="str">
        <f t="shared" si="1694"/>
        <v>CH</v>
      </c>
      <c r="D1506" t="s">
        <v>1496</v>
      </c>
      <c r="E1506" t="str">
        <f t="shared" si="1698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2.3071800380153931E-5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6.4334546487292238E-5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1.0602792544455501E-4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1.4704889656263321E-4</v>
      </c>
      <c r="M1506" s="1" cm="1">
        <f t="array" ref="M1506">SUMPRODUCT(("T_TW-fclh2o-S3"=[1]OUT_TransportEnergyCons!$A$3:$A$1000)*1,("Var_Fin"=[1]OUT_TransportEnergyCons!$B$3:$B$1000)*1,ISNUMBER(SEARCH("h2",[1]OUT_TransportEnergyCons!$C$3:$C$1000))*1,[1]OUT_TransportEnergyCons!K$3:K$1000)</f>
        <v>1.9767655949834962E-4</v>
      </c>
      <c r="N1506" s="1" cm="1">
        <f t="array" ref="N1506">SUMPRODUCT(("T_TW-fclh2o-S3"=[1]OUT_TransportEnergyCons!$A$3:$A$1000)*1,("Var_Fin"=[1]OUT_TransportEnergyCons!$B$3:$B$1000)*1,ISNUMBER(SEARCH("h2",[1]OUT_TransportEnergyCons!$C$3:$C$1000))*1,[1]OUT_TransportEnergyCons!L$3:L$1000)</f>
        <v>2.3517133283022039E-4</v>
      </c>
      <c r="O1506" s="1" cm="1">
        <f t="array" ref="O1506">SUMPRODUCT(("T_TW-fclh2o-S3"=[1]OUT_TransportEnergyCons!$A$3:$A$1000)*1,("Var_Fin"=[1]OUT_TransportEnergyCons!$B$3:$B$1000)*1,ISNUMBER(SEARCH("h2",[1]OUT_TransportEnergyCons!$C$3:$C$1000))*1,[1]OUT_TransportEnergyCons!M$3:M$1000)</f>
        <v>2.8245883019585008E-4</v>
      </c>
      <c r="P1506" s="1" cm="1">
        <f t="array" ref="P1506">SUMPRODUCT(("T_TW-fclh2o-S3"=[1]OUT_TransportEnergyCons!$A$3:$A$1000)*1,("Var_Fin"=[1]OUT_TransportEnergyCons!$B$3:$B$1000)*1,ISNUMBER(SEARCH("h2",[1]OUT_TransportEnergyCons!$C$3:$C$1000))*1,[1]OUT_TransportEnergyCons!N$3:N$1000)</f>
        <v>3.2750369910972799E-4</v>
      </c>
      <c r="Q1506" s="1" cm="1">
        <f t="array" ref="Q1506">SUMPRODUCT(("T_TW-fclh2o-S3"=[1]OUT_TransportEnergyCons!$A$3:$A$1000)*1,("Var_Fin"=[1]OUT_TransportEnergyCons!$B$3:$B$1000)*1,ISNUMBER(SEARCH("h2",[1]OUT_TransportEnergyCons!$C$3:$C$1000))*1,[1]OUT_TransportEnergyCons!O$3:O$1000)</f>
        <v>4.0899562497171777E-4</v>
      </c>
      <c r="S1506" s="3"/>
    </row>
    <row r="1507" spans="2:19" x14ac:dyDescent="0.5">
      <c r="B1507" t="str">
        <f t="shared" si="1697"/>
        <v>SPS1</v>
      </c>
      <c r="C1507" t="str">
        <f t="shared" si="1694"/>
        <v>CH</v>
      </c>
      <c r="D1507" t="s">
        <v>1497</v>
      </c>
      <c r="E1507" t="str">
        <f t="shared" si="1698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1.6350826358349293E-5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4.0068027683257342E-5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7.0733630704892869E-5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1.0563327577609243E-4</v>
      </c>
      <c r="M1507" s="1" cm="1">
        <f t="array" ref="M1507">SUMPRODUCT(("T_TW-fclh2o-S4"=[1]OUT_TransportEnergyCons!$A$3:$A$1000)*1,("Var_Fin"=[1]OUT_TransportEnergyCons!$B$3:$B$1000)*1,ISNUMBER(SEARCH("h2",[1]OUT_TransportEnergyCons!$C$3:$C$1000))*1,[1]OUT_TransportEnergyCons!K$3:K$1000)</f>
        <v>1.56974362205337E-4</v>
      </c>
      <c r="N1507" s="1" cm="1">
        <f t="array" ref="N1507">SUMPRODUCT(("T_TW-fclh2o-S4"=[1]OUT_TransportEnergyCons!$A$3:$A$1000)*1,("Var_Fin"=[1]OUT_TransportEnergyCons!$B$3:$B$1000)*1,ISNUMBER(SEARCH("h2",[1]OUT_TransportEnergyCons!$C$3:$C$1000))*1,[1]OUT_TransportEnergyCons!L$3:L$1000)</f>
        <v>1.900830553319928E-4</v>
      </c>
      <c r="O1507" s="1" cm="1">
        <f t="array" ref="O1507">SUMPRODUCT(("T_TW-fclh2o-S4"=[1]OUT_TransportEnergyCons!$A$3:$A$1000)*1,("Var_Fin"=[1]OUT_TransportEnergyCons!$B$3:$B$1000)*1,ISNUMBER(SEARCH("h2",[1]OUT_TransportEnergyCons!$C$3:$C$1000))*1,[1]OUT_TransportEnergyCons!M$3:M$1000)</f>
        <v>2.3182001464032881E-4</v>
      </c>
      <c r="P1507" s="1" cm="1">
        <f t="array" ref="P1507">SUMPRODUCT(("T_TW-fclh2o-S4"=[1]OUT_TransportEnergyCons!$A$3:$A$1000)*1,("Var_Fin"=[1]OUT_TransportEnergyCons!$B$3:$B$1000)*1,ISNUMBER(SEARCH("h2",[1]OUT_TransportEnergyCons!$C$3:$C$1000))*1,[1]OUT_TransportEnergyCons!N$3:N$1000)</f>
        <v>2.6334538063154403E-4</v>
      </c>
      <c r="Q1507" s="1" cm="1">
        <f t="array" ref="Q1507">SUMPRODUCT(("T_TW-fclh2o-S4"=[1]OUT_TransportEnergyCons!$A$3:$A$1000)*1,("Var_Fin"=[1]OUT_TransportEnergyCons!$B$3:$B$1000)*1,ISNUMBER(SEARCH("h2",[1]OUT_TransportEnergyCons!$C$3:$C$1000))*1,[1]OUT_TransportEnergyCons!O$3:O$1000)</f>
        <v>3.3745699260242606E-4</v>
      </c>
      <c r="S1507" s="3"/>
    </row>
    <row r="1508" spans="2:19" x14ac:dyDescent="0.5">
      <c r="B1508" s="5" t="str">
        <f>B1507</f>
        <v>SPS1</v>
      </c>
      <c r="C1508" t="str">
        <f t="shared" ref="C1508:C1518" si="1699">C1507</f>
        <v>CH</v>
      </c>
      <c r="D1508" t="s">
        <v>1498</v>
      </c>
      <c r="E1508" t="str">
        <f>E1507</f>
        <v>PJ/yr.</v>
      </c>
      <c r="F1508" s="1">
        <f>SUM(F1513:F1517)</f>
        <v>2.4099264117325965</v>
      </c>
      <c r="G1508" s="1">
        <f t="shared" ref="G1508:K1508" si="1700">SUM(G1513:G1517)</f>
        <v>1.6945734733127678</v>
      </c>
      <c r="H1508" s="1">
        <f t="shared" si="1700"/>
        <v>1.6725569667214915</v>
      </c>
      <c r="I1508" s="1">
        <f t="shared" si="1700"/>
        <v>1.4989214822026518</v>
      </c>
      <c r="J1508" s="1">
        <f t="shared" si="1700"/>
        <v>1.1716471650818221</v>
      </c>
      <c r="K1508" s="1">
        <f t="shared" si="1700"/>
        <v>1.0694073729039295</v>
      </c>
      <c r="L1508" s="1">
        <f t="shared" ref="L1508:O1508" si="1701">SUM(L1513:L1517)</f>
        <v>0.91945545954710761</v>
      </c>
      <c r="M1508" s="1">
        <f t="shared" si="1701"/>
        <v>0.37658714293693862</v>
      </c>
      <c r="N1508" s="1">
        <f t="shared" si="1701"/>
        <v>0.14461841899148617</v>
      </c>
      <c r="O1508" s="1">
        <f t="shared" si="1701"/>
        <v>6.45827000808105E-3</v>
      </c>
      <c r="P1508" s="1">
        <f>SUM(P1513:P1517)</f>
        <v>6.8006729191142715E-3</v>
      </c>
      <c r="Q1508" s="1">
        <f>SUM(Q1513:Q1517)</f>
        <v>9.7732965462449233E-3</v>
      </c>
      <c r="S1508" s="3"/>
    </row>
    <row r="1509" spans="2:19" x14ac:dyDescent="0.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2.2780054351831893</v>
      </c>
      <c r="G1509" s="1">
        <f t="shared" ref="G1509:K1509" si="1702">IF(G1508-G1510&lt;0,0,G1508-G1510)</f>
        <v>1.6018117500670201</v>
      </c>
      <c r="H1509" s="1">
        <f t="shared" si="1702"/>
        <v>1.5810001857550777</v>
      </c>
      <c r="I1509" s="1">
        <f t="shared" si="1702"/>
        <v>1.4168265753410934</v>
      </c>
      <c r="J1509" s="1">
        <f t="shared" si="1702"/>
        <v>1.1044232663210733</v>
      </c>
      <c r="K1509" s="1">
        <f t="shared" si="1702"/>
        <v>0.98220344798481929</v>
      </c>
      <c r="L1509" s="1">
        <f t="shared" ref="L1509:O1509" si="1703">IF(L1508-L1510&lt;0,0,L1508-L1510)</f>
        <v>0.34686008300812143</v>
      </c>
      <c r="M1509" s="1">
        <f t="shared" si="1703"/>
        <v>0</v>
      </c>
      <c r="N1509" s="1">
        <f t="shared" si="1703"/>
        <v>1.5335210422108614E-2</v>
      </c>
      <c r="O1509" s="1">
        <f t="shared" si="1703"/>
        <v>4.5468102385546466E-4</v>
      </c>
      <c r="P1509" s="1">
        <f>IF(P1508-P1510&lt;0,0,P1508-P1510)</f>
        <v>4.7737990837593957E-4</v>
      </c>
      <c r="Q1509" s="1">
        <f>IF(Q1508-Q1510&lt;0,0,Q1508-Q1510)</f>
        <v>6.8460509167707177E-4</v>
      </c>
      <c r="S1509" s="3"/>
    </row>
    <row r="1510" spans="2:19" x14ac:dyDescent="0.5">
      <c r="B1510" s="5" t="str">
        <f t="shared" ref="B1510:B1512" si="1704">B1509</f>
        <v>SPS1</v>
      </c>
      <c r="C1510" s="5" t="str">
        <f t="shared" ref="C1510:C1512" si="1705">C1509</f>
        <v>CH</v>
      </c>
      <c r="D1510" t="s">
        <v>1500</v>
      </c>
      <c r="E1510" t="str">
        <f>E1509</f>
        <v>PJ/yr.</v>
      </c>
      <c r="F1510" s="1">
        <f>SUM(F1511:F1512)</f>
        <v>0.1319209765494071</v>
      </c>
      <c r="G1510" s="1">
        <f t="shared" ref="G1510" si="1706">SUM(G1511:G1512)</f>
        <v>9.2761723245747704E-2</v>
      </c>
      <c r="H1510" s="1">
        <f t="shared" ref="H1510" si="1707">SUM(H1511:H1512)</f>
        <v>9.1556780966413787E-2</v>
      </c>
      <c r="I1510" s="1">
        <f t="shared" ref="I1510" si="1708">SUM(I1511:I1512)</f>
        <v>8.2094906861558445E-2</v>
      </c>
      <c r="J1510" s="1">
        <f t="shared" ref="J1510" si="1709">SUM(J1511:J1512)</f>
        <v>6.7223898760748857E-2</v>
      </c>
      <c r="K1510" s="1">
        <f t="shared" ref="K1510" si="1710">SUM(K1511:K1512)</f>
        <v>8.7203924919110221E-2</v>
      </c>
      <c r="L1510" s="1">
        <f t="shared" ref="L1510:O1510" si="1711">SUM(L1511:L1512)</f>
        <v>0.57259537653898618</v>
      </c>
      <c r="M1510" s="1">
        <f t="shared" si="1711"/>
        <v>0.37743001554636124</v>
      </c>
      <c r="N1510" s="1">
        <f t="shared" si="1711"/>
        <v>0.12928320856937756</v>
      </c>
      <c r="O1510" s="1">
        <f t="shared" si="1711"/>
        <v>6.0035889842255854E-3</v>
      </c>
      <c r="P1510" s="1">
        <f>SUM(P1511:P1512)</f>
        <v>6.3232930107383319E-3</v>
      </c>
      <c r="Q1510" s="1">
        <f>SUM(Q1511:Q1512)</f>
        <v>9.0886914545678515E-3</v>
      </c>
      <c r="S1510" s="3"/>
    </row>
    <row r="1511" spans="2:19" x14ac:dyDescent="0.5">
      <c r="B1511" s="5" t="str">
        <f t="shared" si="1704"/>
        <v>SPS1</v>
      </c>
      <c r="C1511" s="5" t="str">
        <f t="shared" si="1705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0.1319209765494071</v>
      </c>
      <c r="G1511" s="1">
        <f>[1]Transport!C$25/SUM([1]Transport!C$21,[1]Transport!C$25)*G1508*(G$35+G$600)/(G$35+G$600+G$39)</f>
        <v>9.2761723245747704E-2</v>
      </c>
      <c r="H1511" s="1">
        <f>[1]Transport!D$25/SUM([1]Transport!D$21,[1]Transport!D$25)*H1508*(H$35+H$600)/(H$35+H$600+H$39)</f>
        <v>9.1556780966413787E-2</v>
      </c>
      <c r="I1511" s="1">
        <f>[1]Transport!E$25/SUM([1]Transport!E$21,[1]Transport!E$25)*I1508*(I$35+I$600)/(I$35+I$600+I$39)</f>
        <v>8.2094906861558445E-2</v>
      </c>
      <c r="J1511" s="1">
        <f>[1]Transport!F$25/SUM([1]Transport!F$21,[1]Transport!F$25)*J1508*(J$35+J$600)/(J$35+J$600+J$39)</f>
        <v>6.7223898760748857E-2</v>
      </c>
      <c r="K1511" s="1">
        <f>[1]Transport!G$25/SUM([1]Transport!G$21,[1]Transport!G$25)*K1508*(K$35+K$600)/(K$35+K$600+K$39)</f>
        <v>5.8643718549104364E-2</v>
      </c>
      <c r="L1511" s="1">
        <f>[1]Transport!H$25/SUM([1]Transport!H$21,[1]Transport!H$25)*L1508*(L$35+L$600)/(L$35+L$600+L$39)</f>
        <v>0.533347881655441</v>
      </c>
      <c r="M1511" s="1">
        <f>[1]Transport!I$25/SUM([1]Transport!I$21,[1]Transport!I$25)*M1508*(M$35+M$600)/(M$35+M$600+M$39)</f>
        <v>0.32007654502345023</v>
      </c>
      <c r="N1511" s="1">
        <f>[1]Transport!J$25/SUM([1]Transport!J$21,[1]Transport!J$25)*N1508*(N$35+N$600)/(N$35+N$600+N$39)</f>
        <v>0.12290875840253017</v>
      </c>
      <c r="O1511" s="1">
        <f>[1]Transport!K$25/SUM([1]Transport!K$21,[1]Transport!K$25)*O1508*(O$35+O$600)/(O$35+O$600+O$39)</f>
        <v>5.4879296211516639E-3</v>
      </c>
      <c r="P1511" s="1">
        <f>[1]Transport!L$25/SUM([1]Transport!L$21,[1]Transport!L$25)*P1508*(P$35+P$600)/(P$35+P$600+P$39)</f>
        <v>5.7792931258493861E-3</v>
      </c>
      <c r="Q1511" s="1">
        <f>[1]Transport!M$25/SUM([1]Transport!M$21,[1]Transport!M$25)*Q1508*(Q$35+Q$600)/(Q$35+Q$600+Q$39)</f>
        <v>8.3026390719140499E-3</v>
      </c>
      <c r="S1511" s="3"/>
    </row>
    <row r="1512" spans="2:19" x14ac:dyDescent="0.5">
      <c r="B1512" s="5" t="str">
        <f t="shared" si="1704"/>
        <v>SPS1</v>
      </c>
      <c r="C1512" s="5" t="str">
        <f t="shared" si="1705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2.856020637000585E-2</v>
      </c>
      <c r="L1512" s="1">
        <f>(L$39+L$719)/([1]Transport!H$21+[1]Transport!H$25)*L1508</f>
        <v>3.924749488354512E-2</v>
      </c>
      <c r="M1512" s="1">
        <f>(M$39+M$719)/([1]Transport!I$21+[1]Transport!I$25)*M1508</f>
        <v>5.7353470522911003E-2</v>
      </c>
      <c r="N1512" s="1">
        <f>(N$39+N$719)/([1]Transport!J$21+[1]Transport!J$25)*N1508</f>
        <v>6.3744501668473895E-3</v>
      </c>
      <c r="O1512" s="1">
        <f>(O$39+O$719)/([1]Transport!K$21+[1]Transport!K$25)*O1508</f>
        <v>5.156593630739211E-4</v>
      </c>
      <c r="P1512" s="1">
        <f>(P$39+P$719)/([1]Transport!L$21+[1]Transport!L$25)*P1508</f>
        <v>5.4399988488894552E-4</v>
      </c>
      <c r="Q1512" s="1">
        <f>(Q$39+Q$719)/([1]Transport!M$21+[1]Transport!M$25)*Q1508</f>
        <v>7.8605238265380228E-4</v>
      </c>
      <c r="S1512" s="3"/>
    </row>
    <row r="1513" spans="2:19" x14ac:dyDescent="0.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1.9851976098224891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0.71337398687271991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0.69244517134404338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0.4531255613896405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M1513" s="1" cm="1">
        <f t="array" ref="M1513">SUMPRODUCT(("T_TW-ICEGSLEXT"=[1]OUT_TransportEnergyCons!$A$3:$A$1000)*1,("Var_Fin"=[1]OUT_TransportEnergyCons!$B$3:$B$1000)*1,ISNUMBER(SEARCH("gsl",[1]OUT_TransportEnergyCons!$C$3:$C$1000))*1,[1]OUT_TransportEnergyCons!K$3:K$1000)</f>
        <v>0</v>
      </c>
      <c r="N1513" s="1" cm="1">
        <f t="array" ref="N1513">SUMPRODUCT(("T_TW-ICEGSLEXT"=[1]OUT_TransportEnergyCons!$A$3:$A$1000)*1,("Var_Fin"=[1]OUT_TransportEnergyCons!$B$3:$B$1000)*1,ISNUMBER(SEARCH("gsl",[1]OUT_TransportEnergyCons!$C$3:$C$1000))*1,[1]OUT_TransportEnergyCons!L$3:L$1000)</f>
        <v>0</v>
      </c>
      <c r="O1513" s="1" cm="1">
        <f t="array" ref="O1513">SUMPRODUCT(("T_TW-ICEGSLEXT"=[1]OUT_TransportEnergyCons!$A$3:$A$1000)*1,("Var_Fin"=[1]OUT_TransportEnergyCons!$B$3:$B$1000)*1,ISNUMBER(SEARCH("gsl",[1]OUT_TransportEnergyCons!$C$3:$C$1000))*1,[1]OUT_TransportEnergyCons!M$3:M$1000)</f>
        <v>0</v>
      </c>
      <c r="P1513" s="1" cm="1">
        <f t="array" ref="P1513">SUMPRODUCT(("T_TW-ICEGSLEXT"=[1]OUT_TransportEnergyCons!$A$3:$A$1000)*1,("Var_Fin"=[1]OUT_TransportEnergyCons!$B$3:$B$1000)*1,ISNUMBER(SEARCH("gsl",[1]OUT_TransportEnergyCons!$C$3:$C$1000))*1,[1]OUT_TransportEnergyCons!N$3:N$1000)</f>
        <v>0</v>
      </c>
      <c r="Q1513" s="1" cm="1">
        <f t="array" ref="Q1513">SUMPRODUCT(("T_TW-ICEGSLEXT"=[1]OUT_TransportEnergyCons!$A$3:$A$1000)*1,("Var_Fin"=[1]OUT_TransportEnergyCons!$B$3:$B$1000)*1,ISNUMBER(SEARCH("gsl",[1]OUT_TransportEnergyCons!$C$3:$C$1000))*1,[1]OUT_TransportEnergyCons!O$3:O$1000)</f>
        <v>0</v>
      </c>
      <c r="S1513" s="3"/>
    </row>
    <row r="1514" spans="2:19" x14ac:dyDescent="0.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4.4239986756199189E-2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0.49556911546899007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0.5011515808366318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0.6208062722719071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0.84655519102219168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0.89270179194657018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0.89127055197275362</v>
      </c>
      <c r="M1514" s="1" cm="1">
        <f t="array" ref="M1514">SUMPRODUCT(("T_TW-icegsl-S1"=[1]OUT_TransportEnergyCons!$A$3:$A$1000)*1,("Var_Fin"=[1]OUT_TransportEnergyCons!$B$3:$B$1000)*1,ISNUMBER(SEARCH("gsl",[1]OUT_TransportEnergyCons!$C$3:$C$1000))*1,[1]OUT_TransportEnergyCons!K$3:K$1000)</f>
        <v>0.37502673437923251</v>
      </c>
      <c r="N1514" s="1" cm="1">
        <f t="array" ref="N1514">SUMPRODUCT(("T_TW-icegsl-S1"=[1]OUT_TransportEnergyCons!$A$3:$A$1000)*1,("Var_Fin"=[1]OUT_TransportEnergyCons!$B$3:$B$1000)*1,ISNUMBER(SEARCH("gsl",[1]OUT_TransportEnergyCons!$C$3:$C$1000))*1,[1]OUT_TransportEnergyCons!L$3:L$1000)</f>
        <v>0.14300962074910639</v>
      </c>
      <c r="O1514" s="1" cm="1">
        <f t="array" ref="O1514">SUMPRODUCT(("T_TW-icegsl-S1"=[1]OUT_TransportEnergyCons!$A$3:$A$1000)*1,("Var_Fin"=[1]OUT_TransportEnergyCons!$B$3:$B$1000)*1,ISNUMBER(SEARCH("gsl",[1]OUT_TransportEnergyCons!$C$3:$C$1000))*1,[1]OUT_TransportEnergyCons!M$3:M$1000)</f>
        <v>4.5619575929016238E-3</v>
      </c>
      <c r="P1514" s="1" cm="1">
        <f t="array" ref="P1514">SUMPRODUCT(("T_TW-icegsl-S1"=[1]OUT_TransportEnergyCons!$A$3:$A$1000)*1,("Var_Fin"=[1]OUT_TransportEnergyCons!$B$3:$B$1000)*1,ISNUMBER(SEARCH("gsl",[1]OUT_TransportEnergyCons!$C$3:$C$1000))*1,[1]OUT_TransportEnergyCons!N$3:N$1000)</f>
        <v>4.8302374096481438E-3</v>
      </c>
      <c r="Q1514" s="1" cm="1">
        <f t="array" ref="Q1514">SUMPRODUCT(("T_TW-icegsl-S1"=[1]OUT_TransportEnergyCons!$A$3:$A$1000)*1,("Var_Fin"=[1]OUT_TransportEnergyCons!$B$3:$B$1000)*1,ISNUMBER(SEARCH("gsl",[1]OUT_TransportEnergyCons!$C$3:$C$1000))*1,[1]OUT_TransportEnergyCons!O$3:O$1000)</f>
        <v>7.1109322622681286E-3</v>
      </c>
      <c r="S1514" s="3"/>
    </row>
    <row r="1515" spans="2:19" x14ac:dyDescent="0.5">
      <c r="B1515" t="str">
        <f t="shared" ref="B1515:B1518" si="1712">B1514</f>
        <v>SPS1</v>
      </c>
      <c r="C1515" t="str">
        <f t="shared" si="1699"/>
        <v>CH</v>
      </c>
      <c r="D1515" t="s">
        <v>1579</v>
      </c>
      <c r="E1515" t="str">
        <f t="shared" ref="E1515:E1517" si="1713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0.11226724357795728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0.16297329444442366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0.15411879898515077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0.1018299402479115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1.0060525010745973E-2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5.0350354130644876E-4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5.5649888068972644E-4</v>
      </c>
      <c r="M1515" s="1" cm="1">
        <f t="array" ref="M1515">SUMPRODUCT(("T_TW-icegsl-S2"=[1]OUT_TransportEnergyCons!$A$3:$A$1000)*1,("Var_Fin"=[1]OUT_TransportEnergyCons!$B$3:$B$1000)*1,ISNUMBER(SEARCH("gsl",[1]OUT_TransportEnergyCons!$C$3:$C$1000))*1,[1]OUT_TransportEnergyCons!K$3:K$1000)</f>
        <v>5.6850028818728436E-4</v>
      </c>
      <c r="N1515" s="1" cm="1">
        <f t="array" ref="N1515">SUMPRODUCT(("T_TW-icegsl-S2"=[1]OUT_TransportEnergyCons!$A$3:$A$1000)*1,("Var_Fin"=[1]OUT_TransportEnergyCons!$B$3:$B$1000)*1,ISNUMBER(SEARCH("gsl",[1]OUT_TransportEnergyCons!$C$3:$C$1000))*1,[1]OUT_TransportEnergyCons!L$3:L$1000)</f>
        <v>5.5846774314696659E-4</v>
      </c>
      <c r="O1515" s="1" cm="1">
        <f t="array" ref="O1515">SUMPRODUCT(("T_TW-icegsl-S2"=[1]OUT_TransportEnergyCons!$A$3:$A$1000)*1,("Var_Fin"=[1]OUT_TransportEnergyCons!$B$3:$B$1000)*1,ISNUMBER(SEARCH("gsl",[1]OUT_TransportEnergyCons!$C$3:$C$1000))*1,[1]OUT_TransportEnergyCons!M$3:M$1000)</f>
        <v>7.1288476355408736E-4</v>
      </c>
      <c r="P1515" s="1" cm="1">
        <f t="array" ref="P1515">SUMPRODUCT(("T_TW-icegsl-S2"=[1]OUT_TransportEnergyCons!$A$3:$A$1000)*1,("Var_Fin"=[1]OUT_TransportEnergyCons!$B$3:$B$1000)*1,ISNUMBER(SEARCH("gsl",[1]OUT_TransportEnergyCons!$C$3:$C$1000))*1,[1]OUT_TransportEnergyCons!N$3:N$1000)</f>
        <v>6.9096184063797104E-4</v>
      </c>
      <c r="Q1515" s="1" cm="1">
        <f t="array" ref="Q1515">SUMPRODUCT(("T_TW-icegsl-S2"=[1]OUT_TransportEnergyCons!$A$3:$A$1000)*1,("Var_Fin"=[1]OUT_TransportEnergyCons!$B$3:$B$1000)*1,ISNUMBER(SEARCH("gsl",[1]OUT_TransportEnergyCons!$C$3:$C$1000))*1,[1]OUT_TransportEnergyCons!O$3:O$1000)</f>
        <v>1.0331342418027003E-3</v>
      </c>
      <c r="S1515" s="3"/>
    </row>
    <row r="1516" spans="2:19" x14ac:dyDescent="0.5">
      <c r="B1516" t="str">
        <f t="shared" si="1712"/>
        <v>SPS1</v>
      </c>
      <c r="C1516" t="str">
        <f t="shared" si="1699"/>
        <v>CH</v>
      </c>
      <c r="D1516" t="s">
        <v>1580</v>
      </c>
      <c r="E1516" t="str">
        <f t="shared" si="1713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0.1623879164066693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0.19684314739782338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0.19804265405629734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0.19710409584542693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0.18864093059761897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5.4596396011742113E-2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5.233046182140476E-4</v>
      </c>
      <c r="M1516" s="1" cm="1">
        <f t="array" ref="M1516">SUMPRODUCT(("T_TW-icegsl-S3"=[1]OUT_TransportEnergyCons!$A$3:$A$1000)*1,("Var_Fin"=[1]OUT_TransportEnergyCons!$B$3:$B$1000)*1,ISNUMBER(SEARCH("gsl",[1]OUT_TransportEnergyCons!$C$3:$C$1000))*1,[1]OUT_TransportEnergyCons!K$3:K$1000)</f>
        <v>5.6373899845611709E-4</v>
      </c>
      <c r="N1516" s="1" cm="1">
        <f t="array" ref="N1516">SUMPRODUCT(("T_TW-icegsl-S3"=[1]OUT_TransportEnergyCons!$A$3:$A$1000)*1,("Var_Fin"=[1]OUT_TransportEnergyCons!$B$3:$B$1000)*1,ISNUMBER(SEARCH("gsl",[1]OUT_TransportEnergyCons!$C$3:$C$1000))*1,[1]OUT_TransportEnergyCons!L$3:L$1000)</f>
        <v>5.9908992353391072E-4</v>
      </c>
      <c r="O1516" s="1" cm="1">
        <f t="array" ref="O1516">SUMPRODUCT(("T_TW-icegsl-S3"=[1]OUT_TransportEnergyCons!$A$3:$A$1000)*1,("Var_Fin"=[1]OUT_TransportEnergyCons!$B$3:$B$1000)*1,ISNUMBER(SEARCH("gsl",[1]OUT_TransportEnergyCons!$C$3:$C$1000))*1,[1]OUT_TransportEnergyCons!M$3:M$1000)</f>
        <v>6.6571615765638286E-4</v>
      </c>
      <c r="P1516" s="1" cm="1">
        <f t="array" ref="P1516">SUMPRODUCT(("T_TW-icegsl-S3"=[1]OUT_TransportEnergyCons!$A$3:$A$1000)*1,("Var_Fin"=[1]OUT_TransportEnergyCons!$B$3:$B$1000)*1,ISNUMBER(SEARCH("gsl",[1]OUT_TransportEnergyCons!$C$3:$C$1000))*1,[1]OUT_TransportEnergyCons!N$3:N$1000)</f>
        <v>7.3273015499467542E-4</v>
      </c>
      <c r="Q1516" s="1" cm="1">
        <f t="array" ref="Q1516">SUMPRODUCT(("T_TW-icegsl-S3"=[1]OUT_TransportEnergyCons!$A$3:$A$1000)*1,("Var_Fin"=[1]OUT_TransportEnergyCons!$B$3:$B$1000)*1,ISNUMBER(SEARCH("gsl",[1]OUT_TransportEnergyCons!$C$3:$C$1000))*1,[1]OUT_TransportEnergyCons!O$3:O$1000)</f>
        <v>9.3537674211337089E-4</v>
      </c>
      <c r="S1516" s="3"/>
    </row>
    <row r="1517" spans="2:19" x14ac:dyDescent="0.5">
      <c r="B1517" t="str">
        <f t="shared" si="1712"/>
        <v>SPS1</v>
      </c>
      <c r="C1517" t="str">
        <f t="shared" si="1699"/>
        <v>CH</v>
      </c>
      <c r="D1517" t="s">
        <v>1581</v>
      </c>
      <c r="E1517" t="str">
        <f t="shared" si="1713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0.10583365516928091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0.12581392912881093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0.12679876149936825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0.12605561244776578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0.12639051845126556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0.12160568140431072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2.7105104075450227E-2</v>
      </c>
      <c r="M1517" s="1" cm="1">
        <f t="array" ref="M1517">SUMPRODUCT(("T_TW-icegsl-S4"=[1]OUT_TransportEnergyCons!$A$3:$A$1000)*1,("Var_Fin"=[1]OUT_TransportEnergyCons!$B$3:$B$1000)*1,ISNUMBER(SEARCH("gsl",[1]OUT_TransportEnergyCons!$C$3:$C$1000))*1,[1]OUT_TransportEnergyCons!K$3:K$1000)</f>
        <v>4.2816927106271763E-4</v>
      </c>
      <c r="N1517" s="1" cm="1">
        <f t="array" ref="N1517">SUMPRODUCT(("T_TW-icegsl-S4"=[1]OUT_TransportEnergyCons!$A$3:$A$1000)*1,("Var_Fin"=[1]OUT_TransportEnergyCons!$B$3:$B$1000)*1,ISNUMBER(SEARCH("gsl",[1]OUT_TransportEnergyCons!$C$3:$C$1000))*1,[1]OUT_TransportEnergyCons!L$3:L$1000)</f>
        <v>4.5124057569888553E-4</v>
      </c>
      <c r="O1517" s="1" cm="1">
        <f t="array" ref="O1517">SUMPRODUCT(("T_TW-icegsl-S4"=[1]OUT_TransportEnergyCons!$A$3:$A$1000)*1,("Var_Fin"=[1]OUT_TransportEnergyCons!$B$3:$B$1000)*1,ISNUMBER(SEARCH("gsl",[1]OUT_TransportEnergyCons!$C$3:$C$1000))*1,[1]OUT_TransportEnergyCons!M$3:M$1000)</f>
        <v>5.1771149396895614E-4</v>
      </c>
      <c r="P1517" s="1" cm="1">
        <f t="array" ref="P1517">SUMPRODUCT(("T_TW-icegsl-S4"=[1]OUT_TransportEnergyCons!$A$3:$A$1000)*1,("Var_Fin"=[1]OUT_TransportEnergyCons!$B$3:$B$1000)*1,ISNUMBER(SEARCH("gsl",[1]OUT_TransportEnergyCons!$C$3:$C$1000))*1,[1]OUT_TransportEnergyCons!N$3:N$1000)</f>
        <v>5.4674351383348176E-4</v>
      </c>
      <c r="Q1517" s="1" cm="1">
        <f t="array" ref="Q1517">SUMPRODUCT(("T_TW-icegsl-S4"=[1]OUT_TransportEnergyCons!$A$3:$A$1000)*1,("Var_Fin"=[1]OUT_TransportEnergyCons!$B$3:$B$1000)*1,ISNUMBER(SEARCH("gsl",[1]OUT_TransportEnergyCons!$C$3:$C$1000))*1,[1]OUT_TransportEnergyCons!O$3:O$1000)</f>
        <v>6.9385330006072467E-4</v>
      </c>
      <c r="S1517" s="3"/>
    </row>
    <row r="1518" spans="2:19" x14ac:dyDescent="0.5">
      <c r="B1518" s="9" t="str">
        <f t="shared" si="1712"/>
        <v>SPS1</v>
      </c>
      <c r="C1518" s="9" t="str">
        <f t="shared" si="1699"/>
        <v>CH</v>
      </c>
      <c r="D1518" s="2" t="s">
        <v>1503</v>
      </c>
      <c r="E1518" s="2" t="s">
        <v>1517</v>
      </c>
      <c r="F1518" s="3">
        <f>SUM(F1519:F1531)</f>
        <v>1.9491167186130109</v>
      </c>
      <c r="G1518" s="3">
        <f t="shared" ref="G1518:K1518" si="1714">SUM(G1519:G1531)</f>
        <v>1.9513547405916403</v>
      </c>
      <c r="H1518" s="3">
        <f t="shared" si="1714"/>
        <v>1.9547027933685208</v>
      </c>
      <c r="I1518" s="3">
        <f t="shared" si="1714"/>
        <v>1.960279077617209</v>
      </c>
      <c r="J1518" s="3">
        <f t="shared" si="1714"/>
        <v>1.963510780016493</v>
      </c>
      <c r="K1518" s="3">
        <f t="shared" si="1714"/>
        <v>1.9678269261034469</v>
      </c>
      <c r="L1518" s="3">
        <f t="shared" ref="L1518:O1518" si="1715">SUM(L1519:L1531)</f>
        <v>1.9436279448400737</v>
      </c>
      <c r="M1518" s="3">
        <f t="shared" si="1715"/>
        <v>1.9194540723488549</v>
      </c>
      <c r="N1518" s="3">
        <f t="shared" si="1715"/>
        <v>1.877906440156494</v>
      </c>
      <c r="O1518" s="3">
        <f t="shared" si="1715"/>
        <v>1.8359934353192526</v>
      </c>
      <c r="P1518" s="3">
        <f>SUM(P1519:P1531)</f>
        <v>1.8018007967294256</v>
      </c>
      <c r="Q1518" s="3">
        <f>SUM(Q1519:Q1531)</f>
        <v>1.7687893839918221</v>
      </c>
      <c r="S1518" s="3"/>
    </row>
    <row r="1519" spans="2:19" x14ac:dyDescent="0.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1.7303718994382992E-2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2.364252524908388E-2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2.3854273022312876E-2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1.6372043789858702E-2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3.1317883507115548E-3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5.0667634369861879E-3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4.6329329907831535E-2</v>
      </c>
      <c r="M1519" s="1" cm="1">
        <f t="array" ref="M1519">SUMPRODUCT(("T_TW-BEVELC-S1"=[1]OUT_TransportEnergyCons!$A$3:$A$1000)*1,("var_fout"=[1]OUT_TransportEnergyCons!$B$3:$B$1000)*1,ISNUMBER(SEARCH("TPTWL",[1]OUT_TransportEnergyCons!$C$3:$C$1000))*1,[1]OUT_TransportEnergyCons!K$3:K$1000)</f>
        <v>1.1111722418769985</v>
      </c>
      <c r="N1519" s="1" cm="1">
        <f t="array" ref="N1519">SUMPRODUCT(("T_TW-BEVELC-S1"=[1]OUT_TransportEnergyCons!$A$3:$A$1000)*1,("var_fout"=[1]OUT_TransportEnergyCons!$B$3:$B$1000)*1,ISNUMBER(SEARCH("TPTWL",[1]OUT_TransportEnergyCons!$C$3:$C$1000))*1,[1]OUT_TransportEnergyCons!L$3:L$1000)</f>
        <v>1.5616024669427506</v>
      </c>
      <c r="O1519" s="1" cm="1">
        <f t="array" ref="O1519">SUMPRODUCT(("T_TW-BEVELC-S1"=[1]OUT_TransportEnergyCons!$A$3:$A$1000)*1,("var_fout"=[1]OUT_TransportEnergyCons!$B$3:$B$1000)*1,ISNUMBER(SEARCH("TPTWL",[1]OUT_TransportEnergyCons!$C$3:$C$1000))*1,[1]OUT_TransportEnergyCons!M$3:M$1000)</f>
        <v>1.8134371655221924</v>
      </c>
      <c r="P1519" s="1" cm="1">
        <f t="array" ref="P1519">SUMPRODUCT(("T_TW-BEVELC-S1"=[1]OUT_TransportEnergyCons!$A$3:$A$1000)*1,("var_fout"=[1]OUT_TransportEnergyCons!$B$3:$B$1000)*1,ISNUMBER(SEARCH("TPTWL",[1]OUT_TransportEnergyCons!$C$3:$C$1000))*1,[1]OUT_TransportEnergyCons!N$3:N$1000)</f>
        <v>1.7783262479383177</v>
      </c>
      <c r="Q1519" s="1" cm="1">
        <f t="array" ref="Q1519">SUMPRODUCT(("T_TW-BEVELC-S1"=[1]OUT_TransportEnergyCons!$A$3:$A$1000)*1,("var_fout"=[1]OUT_TransportEnergyCons!$B$3:$B$1000)*1,ISNUMBER(SEARCH("TPTWL",[1]OUT_TransportEnergyCons!$C$3:$C$1000))*1,[1]OUT_TransportEnergyCons!O$3:O$1000)</f>
        <v>1.7354819324139872</v>
      </c>
      <c r="S1519" s="3"/>
    </row>
    <row r="1520" spans="2:19" x14ac:dyDescent="0.5">
      <c r="B1520" t="str">
        <f t="shared" ref="B1520:B1545" si="1716">B1519</f>
        <v>SPS1</v>
      </c>
      <c r="C1520" t="str">
        <f t="shared" ref="C1520:C1545" si="1717">C1519</f>
        <v>CH</v>
      </c>
      <c r="D1520" t="s">
        <v>1505</v>
      </c>
      <c r="E1520" t="str">
        <f t="shared" ref="E1520:E1531" si="1718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2.2579055666406261E-3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2.9186010401561235E-3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2.9551071496388246E-3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2.6023738919900524E-3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9.2411045249337427E-4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1.0012738487634246E-3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1.489481816230314E-3</v>
      </c>
      <c r="M1520" s="1" cm="1">
        <f t="array" ref="M1520">SUMPRODUCT(("T_TW-BEVELC-S2"=[1]OUT_TransportEnergyCons!$A$3:$A$1000)*1,("var_fout"=[1]OUT_TransportEnergyCons!$B$3:$B$1000)*1,ISNUMBER(SEARCH("TPTWL",[1]OUT_TransportEnergyCons!$C$3:$C$1000))*1,[1]OUT_TransportEnergyCons!K$3:K$1000)</f>
        <v>1.9885623885456854E-3</v>
      </c>
      <c r="N1520" s="1" cm="1">
        <f t="array" ref="N1520">SUMPRODUCT(("T_TW-BEVELC-S2"=[1]OUT_TransportEnergyCons!$A$3:$A$1000)*1,("var_fout"=[1]OUT_TransportEnergyCons!$B$3:$B$1000)*1,ISNUMBER(SEARCH("TPTWL",[1]OUT_TransportEnergyCons!$C$3:$C$1000))*1,[1]OUT_TransportEnergyCons!L$3:L$1000)</f>
        <v>2.3327992975787065E-3</v>
      </c>
      <c r="O1520" s="1" cm="1">
        <f t="array" ref="O1520">SUMPRODUCT(("T_TW-BEVELC-S2"=[1]OUT_TransportEnergyCons!$A$3:$A$1000)*1,("var_fout"=[1]OUT_TransportEnergyCons!$B$3:$B$1000)*1,ISNUMBER(SEARCH("TPTWL",[1]OUT_TransportEnergyCons!$C$3:$C$1000))*1,[1]OUT_TransportEnergyCons!M$3:M$1000)</f>
        <v>3.0970575216075686E-3</v>
      </c>
      <c r="P1520" s="1" cm="1">
        <f t="array" ref="P1520">SUMPRODUCT(("T_TW-BEVELC-S2"=[1]OUT_TransportEnergyCons!$A$3:$A$1000)*1,("var_fout"=[1]OUT_TransportEnergyCons!$B$3:$B$1000)*1,ISNUMBER(SEARCH("TPTWL",[1]OUT_TransportEnergyCons!$C$3:$C$1000))*1,[1]OUT_TransportEnergyCons!N$3:N$1000)</f>
        <v>2.9447751444056252E-3</v>
      </c>
      <c r="Q1520" s="1" cm="1">
        <f t="array" ref="Q1520">SUMPRODUCT(("T_TW-BEVELC-S2"=[1]OUT_TransportEnergyCons!$A$3:$A$1000)*1,("var_fout"=[1]OUT_TransportEnergyCons!$B$3:$B$1000)*1,ISNUMBER(SEARCH("TPTWL",[1]OUT_TransportEnergyCons!$C$3:$C$1000))*1,[1]OUT_TransportEnergyCons!O$3:O$1000)</f>
        <v>4.3001958983962321E-3</v>
      </c>
      <c r="S1520" s="3"/>
    </row>
    <row r="1521" spans="2:19" x14ac:dyDescent="0.5">
      <c r="B1521" t="str">
        <f t="shared" si="1716"/>
        <v>SPS1</v>
      </c>
      <c r="C1521" t="str">
        <f t="shared" si="1717"/>
        <v>CH</v>
      </c>
      <c r="D1521" t="s">
        <v>1506</v>
      </c>
      <c r="E1521" t="str">
        <f t="shared" si="1718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3.1815259299903593E-4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6.0457407032526458E-4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7.1423695389183643E-4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8.0401306661231334E-4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1.0535773125626298E-3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1.0342947332227749E-3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9.6824548215380295E-4</v>
      </c>
      <c r="M1521" s="1" cm="1">
        <f t="array" ref="M1521">SUMPRODUCT(("T_TW-BEVELC-S3"=[1]OUT_TransportEnergyCons!$A$3:$A$1000)*1,("var_fout"=[1]OUT_TransportEnergyCons!$B$3:$B$1000)*1,ISNUMBER(SEARCH("TPTWL",[1]OUT_TransportEnergyCons!$C$3:$C$1000))*1,[1]OUT_TransportEnergyCons!K$3:K$1000)</f>
        <v>1.2684441416511293E-3</v>
      </c>
      <c r="N1521" s="1" cm="1">
        <f t="array" ref="N1521">SUMPRODUCT(("T_TW-BEVELC-S3"=[1]OUT_TransportEnergyCons!$A$3:$A$1000)*1,("var_fout"=[1]OUT_TransportEnergyCons!$B$3:$B$1000)*1,ISNUMBER(SEARCH("TPTWL",[1]OUT_TransportEnergyCons!$C$3:$C$1000))*1,[1]OUT_TransportEnergyCons!L$3:L$1000)</f>
        <v>1.5109261972603885E-3</v>
      </c>
      <c r="O1521" s="1" cm="1">
        <f t="array" ref="O1521">SUMPRODUCT(("T_TW-BEVELC-S3"=[1]OUT_TransportEnergyCons!$A$3:$A$1000)*1,("var_fout"=[1]OUT_TransportEnergyCons!$B$3:$B$1000)*1,ISNUMBER(SEARCH("TPTWL",[1]OUT_TransportEnergyCons!$C$3:$C$1000))*1,[1]OUT_TransportEnergyCons!M$3:M$1000)</f>
        <v>1.8260810349617434E-3</v>
      </c>
      <c r="P1521" s="1" cm="1">
        <f t="array" ref="P1521">SUMPRODUCT(("T_TW-BEVELC-S3"=[1]OUT_TransportEnergyCons!$A$3:$A$1000)*1,("var_fout"=[1]OUT_TransportEnergyCons!$B$3:$B$1000)*1,ISNUMBER(SEARCH("TPTWL",[1]OUT_TransportEnergyCons!$C$3:$C$1000))*1,[1]OUT_TransportEnergyCons!N$3:N$1000)</f>
        <v>2.1020800307448751E-3</v>
      </c>
      <c r="Q1521" s="1" cm="1">
        <f t="array" ref="Q1521">SUMPRODUCT(("T_TW-BEVELC-S3"=[1]OUT_TransportEnergyCons!$A$3:$A$1000)*1,("var_fout"=[1]OUT_TransportEnergyCons!$B$3:$B$1000)*1,ISNUMBER(SEARCH("TPTWL",[1]OUT_TransportEnergyCons!$C$3:$C$1000))*1,[1]OUT_TransportEnergyCons!O$3:O$1000)</f>
        <v>2.6133420537923216E-3</v>
      </c>
      <c r="S1521" s="3"/>
    </row>
    <row r="1522" spans="2:19" x14ac:dyDescent="0.5">
      <c r="B1522" t="str">
        <f t="shared" si="1716"/>
        <v>SPS1</v>
      </c>
      <c r="C1522" t="str">
        <f t="shared" si="1717"/>
        <v>CH</v>
      </c>
      <c r="D1522" t="s">
        <v>1507</v>
      </c>
      <c r="E1522" t="str">
        <f t="shared" si="1718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1.4022232869294042E-4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2.8729259935200978E-4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3.7723710881224523E-4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4.6182945207552477E-4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6.0867065217406026E-4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7.8857287822357814E-4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8.7513028018080174E-4</v>
      </c>
      <c r="M1522" s="1" cm="1">
        <f t="array" ref="M1522">SUMPRODUCT(("T_TW-BEVELC-S4"=[1]OUT_TransportEnergyCons!$A$3:$A$1000)*1,("var_fout"=[1]OUT_TransportEnergyCons!$B$3:$B$1000)*1,ISNUMBER(SEARCH("TPTWL",[1]OUT_TransportEnergyCons!$C$3:$C$1000))*1,[1]OUT_TransportEnergyCons!K$3:K$1000)</f>
        <v>9.6470322909051557E-4</v>
      </c>
      <c r="N1522" s="1" cm="1">
        <f t="array" ref="N1522">SUMPRODUCT(("T_TW-BEVELC-S4"=[1]OUT_TransportEnergyCons!$A$3:$A$1000)*1,("var_fout"=[1]OUT_TransportEnergyCons!$B$3:$B$1000)*1,ISNUMBER(SEARCH("TPTWL",[1]OUT_TransportEnergyCons!$C$3:$C$1000))*1,[1]OUT_TransportEnergyCons!L$3:L$1000)</f>
        <v>1.1501282964172539E-3</v>
      </c>
      <c r="O1522" s="1" cm="1">
        <f t="array" ref="O1522">SUMPRODUCT(("T_TW-BEVELC-S4"=[1]OUT_TransportEnergyCons!$A$3:$A$1000)*1,("var_fout"=[1]OUT_TransportEnergyCons!$B$3:$B$1000)*1,ISNUMBER(SEARCH("TPTWL",[1]OUT_TransportEnergyCons!$C$3:$C$1000))*1,[1]OUT_TransportEnergyCons!M$3:M$1000)</f>
        <v>1.3818196730957322E-3</v>
      </c>
      <c r="P1522" s="1" cm="1">
        <f t="array" ref="P1522">SUMPRODUCT(("T_TW-BEVELC-S4"=[1]OUT_TransportEnergyCons!$A$3:$A$1000)*1,("var_fout"=[1]OUT_TransportEnergyCons!$B$3:$B$1000)*1,ISNUMBER(SEARCH("TPTWL",[1]OUT_TransportEnergyCons!$C$3:$C$1000))*1,[1]OUT_TransportEnergyCons!N$3:N$1000)</f>
        <v>1.5405860114173209E-3</v>
      </c>
      <c r="Q1522" s="1" cm="1">
        <f t="array" ref="Q1522">SUMPRODUCT(("T_TW-BEVELC-S4"=[1]OUT_TransportEnergyCons!$A$3:$A$1000)*1,("var_fout"=[1]OUT_TransportEnergyCons!$B$3:$B$1000)*1,ISNUMBER(SEARCH("TPTWL",[1]OUT_TransportEnergyCons!$C$3:$C$1000))*1,[1]OUT_TransportEnergyCons!O$3:O$1000)</f>
        <v>1.9401613206658701E-3</v>
      </c>
      <c r="S1522" s="3"/>
    </row>
    <row r="1523" spans="2:19" x14ac:dyDescent="0.5">
      <c r="B1523" t="str">
        <f t="shared" si="1716"/>
        <v>SPS1</v>
      </c>
      <c r="C1523" t="str">
        <f t="shared" si="1717"/>
        <v>CH</v>
      </c>
      <c r="D1523" t="s">
        <v>1508</v>
      </c>
      <c r="E1523" t="str">
        <f t="shared" si="1718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1.2821516179777013E-4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3.6268500902260825E-4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6.0901266490591942E-4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1.0566577679116966E-3</v>
      </c>
      <c r="M1523" s="1" cm="1">
        <f t="array" ref="M1523">SUMPRODUCT(("T_TW-fclh2o-S1"=[1]OUT_TransportEnergyCons!$A$3:$A$1000)*1,("var_fout"=[1]OUT_TransportEnergyCons!$B$3:$B$1000)*1,ISNUMBER(SEARCH("TPTWL",[1]OUT_TransportEnergyCons!$C$3:$C$1000))*1,[1]OUT_TransportEnergyCons!K$3:K$1000)</f>
        <v>1.5949562389788758E-3</v>
      </c>
      <c r="N1523" s="1" cm="1">
        <f t="array" ref="N1523">SUMPRODUCT(("T_TW-fclh2o-S1"=[1]OUT_TransportEnergyCons!$A$3:$A$1000)*1,("var_fout"=[1]OUT_TransportEnergyCons!$B$3:$B$1000)*1,ISNUMBER(SEARCH("TPTWL",[1]OUT_TransportEnergyCons!$C$3:$C$1000))*1,[1]OUT_TransportEnergyCons!L$3:L$1000)</f>
        <v>2.1469602588037027E-3</v>
      </c>
      <c r="O1523" s="1" cm="1">
        <f t="array" ref="O1523">SUMPRODUCT(("T_TW-fclh2o-S1"=[1]OUT_TransportEnergyCons!$A$3:$A$1000)*1,("var_fout"=[1]OUT_TransportEnergyCons!$B$3:$B$1000)*1,ISNUMBER(SEARCH("TPTWL",[1]OUT_TransportEnergyCons!$C$3:$C$1000))*1,[1]OUT_TransportEnergyCons!M$3:M$1000)</f>
        <v>2.6725649969347089E-3</v>
      </c>
      <c r="P1523" s="1" cm="1">
        <f t="array" ref="P1523">SUMPRODUCT(("T_TW-fclh2o-S1"=[1]OUT_TransportEnergyCons!$A$3:$A$1000)*1,("var_fout"=[1]OUT_TransportEnergyCons!$B$3:$B$1000)*1,ISNUMBER(SEARCH("TPTWL",[1]OUT_TransportEnergyCons!$C$3:$C$1000))*1,[1]OUT_TransportEnergyCons!N$3:N$1000)</f>
        <v>2.5505122864738598E-3</v>
      </c>
      <c r="Q1523" s="1" cm="1">
        <f t="array" ref="Q1523">SUMPRODUCT(("T_TW-fclh2o-S1"=[1]OUT_TransportEnergyCons!$A$3:$A$1000)*1,("var_fout"=[1]OUT_TransportEnergyCons!$B$3:$B$1000)*1,ISNUMBER(SEARCH("TPTWL",[1]OUT_TransportEnergyCons!$C$3:$C$1000))*1,[1]OUT_TransportEnergyCons!O$3:O$1000)</f>
        <v>3.7467853441199473E-3</v>
      </c>
      <c r="S1523" s="3"/>
    </row>
    <row r="1524" spans="2:19" x14ac:dyDescent="0.5">
      <c r="B1524" t="str">
        <f t="shared" si="1716"/>
        <v>SPS1</v>
      </c>
      <c r="C1524" t="str">
        <f t="shared" si="1717"/>
        <v>CH</v>
      </c>
      <c r="D1524" t="s">
        <v>1509</v>
      </c>
      <c r="E1524" t="str">
        <f t="shared" si="1718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6.6660403007419647E-5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1.7143780388489201E-4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2.8098707902798941E-4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3.9912694615454851E-4</v>
      </c>
      <c r="M1524" s="1" cm="1">
        <f t="array" ref="M1524">SUMPRODUCT(("T_TW-fclh2o-S2"=[1]OUT_TransportEnergyCons!$A$3:$A$1000)*1,("var_fout"=[1]OUT_TransportEnergyCons!$B$3:$B$1000)*1,ISNUMBER(SEARCH("TPTWL",[1]OUT_TransportEnergyCons!$C$3:$C$1000))*1,[1]OUT_TransportEnergyCons!K$3:K$1000)</f>
        <v>5.4514535604863689E-4</v>
      </c>
      <c r="N1524" s="1" cm="1">
        <f t="array" ref="N1524">SUMPRODUCT(("T_TW-fclh2o-S2"=[1]OUT_TransportEnergyCons!$A$3:$A$1000)*1,("var_fout"=[1]OUT_TransportEnergyCons!$B$3:$B$1000)*1,ISNUMBER(SEARCH("TPTWL",[1]OUT_TransportEnergyCons!$C$3:$C$1000))*1,[1]OUT_TransportEnergyCons!L$3:L$1000)</f>
        <v>6.2702216706521472E-4</v>
      </c>
      <c r="O1524" s="1" cm="1">
        <f t="array" ref="O1524">SUMPRODUCT(("T_TW-fclh2o-S2"=[1]OUT_TransportEnergyCons!$A$3:$A$1000)*1,("var_fout"=[1]OUT_TransportEnergyCons!$B$3:$B$1000)*1,ISNUMBER(SEARCH("TPTWL",[1]OUT_TransportEnergyCons!$C$3:$C$1000))*1,[1]OUT_TransportEnergyCons!M$3:M$1000)</f>
        <v>8.3817044921718207E-4</v>
      </c>
      <c r="P1524" s="1" cm="1">
        <f t="array" ref="P1524">SUMPRODUCT(("T_TW-fclh2o-S2"=[1]OUT_TransportEnergyCons!$A$3:$A$1000)*1,("var_fout"=[1]OUT_TransportEnergyCons!$B$3:$B$1000)*1,ISNUMBER(SEARCH("TPTWL",[1]OUT_TransportEnergyCons!$C$3:$C$1000))*1,[1]OUT_TransportEnergyCons!N$3:N$1000)</f>
        <v>8.1246113431935663E-4</v>
      </c>
      <c r="Q1524" s="1" cm="1">
        <f t="array" ref="Q1524">SUMPRODUCT(("T_TW-fclh2o-S2"=[1]OUT_TransportEnergyCons!$A$3:$A$1000)*1,("var_fout"=[1]OUT_TransportEnergyCons!$B$3:$B$1000)*1,ISNUMBER(SEARCH("TPTWL",[1]OUT_TransportEnergyCons!$C$3:$C$1000))*1,[1]OUT_TransportEnergyCons!O$3:O$1000)</f>
        <v>1.2003739944039134E-3</v>
      </c>
      <c r="S1524" s="3"/>
    </row>
    <row r="1525" spans="2:19" x14ac:dyDescent="0.5">
      <c r="B1525" t="str">
        <f t="shared" si="1716"/>
        <v>SPS1</v>
      </c>
      <c r="C1525" t="str">
        <f t="shared" si="1717"/>
        <v>CH</v>
      </c>
      <c r="D1525" t="s">
        <v>1510</v>
      </c>
      <c r="E1525" t="str">
        <f t="shared" si="1718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4.0621331543115637E-5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1.1445508926598103E-4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1.9019019267185516E-4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2.6665003149519356E-4</v>
      </c>
      <c r="M1525" s="1" cm="1">
        <f t="array" ref="M1525">SUMPRODUCT(("T_TW-fclh2o-S3"=[1]OUT_TransportEnergyCons!$A$3:$A$1000)*1,("var_fout"=[1]OUT_TransportEnergyCons!$B$3:$B$1000)*1,ISNUMBER(SEARCH("TPTWL",[1]OUT_TransportEnergyCons!$C$3:$C$1000))*1,[1]OUT_TransportEnergyCons!K$3:K$1000)</f>
        <v>3.6343474493710976E-4</v>
      </c>
      <c r="N1525" s="1" cm="1">
        <f t="array" ref="N1525">SUMPRODUCT(("T_TW-fclh2o-S3"=[1]OUT_TransportEnergyCons!$A$3:$A$1000)*1,("var_fout"=[1]OUT_TransportEnergyCons!$B$3:$B$1000)*1,ISNUMBER(SEARCH("TPTWL",[1]OUT_TransportEnergyCons!$C$3:$C$1000))*1,[1]OUT_TransportEnergyCons!L$3:L$1000)</f>
        <v>4.3657596120270551E-4</v>
      </c>
      <c r="O1525" s="1" cm="1">
        <f t="array" ref="O1525">SUMPRODUCT(("T_TW-fclh2o-S3"=[1]OUT_TransportEnergyCons!$A$3:$A$1000)*1,("var_fout"=[1]OUT_TransportEnergyCons!$B$3:$B$1000)*1,ISNUMBER(SEARCH("TPTWL",[1]OUT_TransportEnergyCons!$C$3:$C$1000))*1,[1]OUT_TransportEnergyCons!M$3:M$1000)</f>
        <v>5.2827260728266316E-4</v>
      </c>
      <c r="P1525" s="1" cm="1">
        <f t="array" ref="P1525">SUMPRODUCT(("T_TW-fclh2o-S3"=[1]OUT_TransportEnergyCons!$A$3:$A$1000)*1,("var_fout"=[1]OUT_TransportEnergyCons!$B$3:$B$1000)*1,ISNUMBER(SEARCH("TPTWL",[1]OUT_TransportEnergyCons!$C$3:$C$1000))*1,[1]OUT_TransportEnergyCons!N$3:N$1000)</f>
        <v>6.1414319415526342E-4</v>
      </c>
      <c r="Q1525" s="1" cm="1">
        <f t="array" ref="Q1525">SUMPRODUCT(("T_TW-fclh2o-S3"=[1]OUT_TransportEnergyCons!$A$3:$A$1000)*1,("var_fout"=[1]OUT_TransportEnergyCons!$B$3:$B$1000)*1,ISNUMBER(SEARCH("TPTWL",[1]OUT_TransportEnergyCons!$C$3:$C$1000))*1,[1]OUT_TransportEnergyCons!O$3:O$1000)</f>
        <v>7.6695890824580299E-4</v>
      </c>
      <c r="S1525" s="3"/>
    </row>
    <row r="1526" spans="2:19" x14ac:dyDescent="0.5">
      <c r="B1526" t="str">
        <f t="shared" si="1716"/>
        <v>SPS1</v>
      </c>
      <c r="C1526" t="str">
        <f t="shared" si="1717"/>
        <v>CH</v>
      </c>
      <c r="D1526" t="s">
        <v>1511</v>
      </c>
      <c r="E1526" t="str">
        <f t="shared" si="1718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2.5540664075515575E-5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6.3275221959091751E-5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1.1288148926414453E-4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1.7051623051770657E-4</v>
      </c>
      <c r="M1526" s="1" cm="1">
        <f t="array" ref="M1526">SUMPRODUCT(("T_TW-fclh2o-S4"=[1]OUT_TransportEnergyCons!$A$3:$A$1000)*1,("var_fout"=[1]OUT_TransportEnergyCons!$B$3:$B$1000)*1,ISNUMBER(SEARCH("TPTWL",[1]OUT_TransportEnergyCons!$C$3:$C$1000))*1,[1]OUT_TransportEnergyCons!K$3:K$1000)</f>
        <v>2.5672028541891154E-4</v>
      </c>
      <c r="N1526" s="1" cm="1">
        <f t="array" ref="N1526">SUMPRODUCT(("T_TW-fclh2o-S4"=[1]OUT_TransportEnergyCons!$A$3:$A$1000)*1,("var_fout"=[1]OUT_TransportEnergyCons!$B$3:$B$1000)*1,ISNUMBER(SEARCH("TPTWL",[1]OUT_TransportEnergyCons!$C$3:$C$1000))*1,[1]OUT_TransportEnergyCons!L$3:L$1000)</f>
        <v>3.1423585845532609E-4</v>
      </c>
      <c r="O1526" s="1" cm="1">
        <f t="array" ref="O1526">SUMPRODUCT(("T_TW-fclh2o-S4"=[1]OUT_TransportEnergyCons!$A$3:$A$1000)*1,("var_fout"=[1]OUT_TransportEnergyCons!$B$3:$B$1000)*1,ISNUMBER(SEARCH("TPTWL",[1]OUT_TransportEnergyCons!$C$3:$C$1000))*1,[1]OUT_TransportEnergyCons!M$3:M$1000)</f>
        <v>3.8631862062186496E-4</v>
      </c>
      <c r="P1526" s="1" cm="1">
        <f t="array" ref="P1526">SUMPRODUCT(("T_TW-fclh2o-S4"=[1]OUT_TransportEnergyCons!$A$3:$A$1000)*1,("var_fout"=[1]OUT_TransportEnergyCons!$B$3:$B$1000)*1,ISNUMBER(SEARCH("TPTWL",[1]OUT_TransportEnergyCons!$C$3:$C$1000))*1,[1]OUT_TransportEnergyCons!N$3:N$1000)</f>
        <v>4.4101901971263611E-4</v>
      </c>
      <c r="Q1526" s="1" cm="1">
        <f t="array" ref="Q1526">SUMPRODUCT(("T_TW-fclh2o-S4"=[1]OUT_TransportEnergyCons!$A$3:$A$1000)*1,("var_fout"=[1]OUT_TransportEnergyCons!$B$3:$B$1000)*1,ISNUMBER(SEARCH("TPTWL",[1]OUT_TransportEnergyCons!$C$3:$C$1000))*1,[1]OUT_TransportEnergyCons!O$3:O$1000)</f>
        <v>5.6624797697998571E-4</v>
      </c>
      <c r="S1526" s="3"/>
    </row>
    <row r="1527" spans="2:19" x14ac:dyDescent="0.5">
      <c r="B1527" t="str">
        <f t="shared" si="1716"/>
        <v>SPS1</v>
      </c>
      <c r="C1527" t="str">
        <f t="shared" si="1717"/>
        <v>CH</v>
      </c>
      <c r="D1527" t="s">
        <v>1512</v>
      </c>
      <c r="E1527" t="str">
        <f t="shared" si="1718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1.5309151239109449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0.56159534606780903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0.56181412044849299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0.38585056593379774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M1527" s="1" cm="1">
        <f t="array" ref="M1527">SUMPRODUCT(("T_TW-ICEGSLEXT"=[1]OUT_TransportEnergyCons!$A$3:$A$1000)*1,("var_fout"=[1]OUT_TransportEnergyCons!$B$3:$B$1000)*1,ISNUMBER(SEARCH("TPTWL",[1]OUT_TransportEnergyCons!$C$3:$C$1000))*1,[1]OUT_TransportEnergyCons!K$3:K$1000)</f>
        <v>0</v>
      </c>
      <c r="N1527" s="1" cm="1">
        <f t="array" ref="N1527">SUMPRODUCT(("T_TW-ICEGSLEXT"=[1]OUT_TransportEnergyCons!$A$3:$A$1000)*1,("var_fout"=[1]OUT_TransportEnergyCons!$B$3:$B$1000)*1,ISNUMBER(SEARCH("TPTWL",[1]OUT_TransportEnergyCons!$C$3:$C$1000))*1,[1]OUT_TransportEnergyCons!L$3:L$1000)</f>
        <v>0</v>
      </c>
      <c r="O1527" s="1" cm="1">
        <f t="array" ref="O1527">SUMPRODUCT(("T_TW-ICEGSLEXT"=[1]OUT_TransportEnergyCons!$A$3:$A$1000)*1,("var_fout"=[1]OUT_TransportEnergyCons!$B$3:$B$1000)*1,ISNUMBER(SEARCH("TPTWL",[1]OUT_TransportEnergyCons!$C$3:$C$1000))*1,[1]OUT_TransportEnergyCons!M$3:M$1000)</f>
        <v>0</v>
      </c>
      <c r="P1527" s="1" cm="1">
        <f t="array" ref="P1527">SUMPRODUCT(("T_TW-ICEGSLEXT"=[1]OUT_TransportEnergyCons!$A$3:$A$1000)*1,("var_fout"=[1]OUT_TransportEnergyCons!$B$3:$B$1000)*1,ISNUMBER(SEARCH("TPTWL",[1]OUT_TransportEnergyCons!$C$3:$C$1000))*1,[1]OUT_TransportEnergyCons!N$3:N$1000)</f>
        <v>0</v>
      </c>
      <c r="Q1527" s="1" cm="1">
        <f t="array" ref="Q1527">SUMPRODUCT(("T_TW-ICEGSLEXT"=[1]OUT_TransportEnergyCons!$A$3:$A$1000)*1,("var_fout"=[1]OUT_TransportEnergyCons!$B$3:$B$1000)*1,ISNUMBER(SEARCH("TPTWL",[1]OUT_TransportEnergyCons!$C$3:$C$1000))*1,[1]OUT_TransportEnergyCons!O$3:O$1000)</f>
        <v>0</v>
      </c>
      <c r="S1527" s="3"/>
    </row>
    <row r="1528" spans="2:19" x14ac:dyDescent="0.5">
      <c r="B1528" t="str">
        <f t="shared" si="1716"/>
        <v>SPS1</v>
      </c>
      <c r="C1528" t="str">
        <f t="shared" si="1717"/>
        <v>CH</v>
      </c>
      <c r="D1528" t="s">
        <v>1513</v>
      </c>
      <c r="E1528" t="str">
        <f t="shared" si="1718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8.4404746674475686E-2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0.95350318572853032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0.9644079413462272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1.2122458154677289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1.7226510213934656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1.835939517248055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1.8726120612904</v>
      </c>
      <c r="M1528" s="1" cm="1">
        <f t="array" ref="M1528">SUMPRODUCT(("T_TW-icegsl-S1"=[1]OUT_TransportEnergyCons!$A$3:$A$1000)*1,("var_fout"=[1]OUT_TransportEnergyCons!$B$3:$B$1000)*1,ISNUMBER(SEARCH("TPTWL",[1]OUT_TransportEnergyCons!$C$3:$C$1000))*1,[1]OUT_TransportEnergyCons!K$3:K$1000)</f>
        <v>0.79982773449450373</v>
      </c>
      <c r="N1528" s="1" cm="1">
        <f t="array" ref="N1528">SUMPRODUCT(("T_TW-icegsl-S1"=[1]OUT_TransportEnergyCons!$A$3:$A$1000)*1,("var_fout"=[1]OUT_TransportEnergyCons!$B$3:$B$1000)*1,ISNUMBER(SEARCH("TPTWL",[1]OUT_TransportEnergyCons!$C$3:$C$1000))*1,[1]OUT_TransportEnergyCons!L$3:L$1000)</f>
        <v>0.30625667372845644</v>
      </c>
      <c r="O1528" s="1" cm="1">
        <f t="array" ref="O1528">SUMPRODUCT(("T_TW-icegsl-S1"=[1]OUT_TransportEnergyCons!$A$3:$A$1000)*1,("var_fout"=[1]OUT_TransportEnergyCons!$B$3:$B$1000)*1,ISNUMBER(SEARCH("TPTWL",[1]OUT_TransportEnergyCons!$C$3:$C$1000))*1,[1]OUT_TransportEnergyCons!M$3:M$1000)</f>
        <v>9.9828338029456041E-3</v>
      </c>
      <c r="P1528" s="1" cm="1">
        <f t="array" ref="P1528">SUMPRODUCT(("T_TW-icegsl-S1"=[1]OUT_TransportEnergyCons!$A$3:$A$1000)*1,("var_fout"=[1]OUT_TransportEnergyCons!$B$3:$B$1000)*1,ISNUMBER(SEARCH("TPTWL",[1]OUT_TransportEnergyCons!$C$3:$C$1000))*1,[1]OUT_TransportEnergyCons!N$3:N$1000)</f>
        <v>1.0569904762884486E-2</v>
      </c>
      <c r="Q1528" s="1" cm="1">
        <f t="array" ref="Q1528">SUMPRODUCT(("T_TW-icegsl-S1"=[1]OUT_TransportEnergyCons!$A$3:$A$1000)*1,("var_fout"=[1]OUT_TransportEnergyCons!$B$3:$B$1000)*1,ISNUMBER(SEARCH("TPTWL",[1]OUT_TransportEnergyCons!$C$3:$C$1000))*1,[1]OUT_TransportEnergyCons!O$3:O$1000)</f>
        <v>1.5560700316171837E-2</v>
      </c>
      <c r="S1528" s="3"/>
    </row>
    <row r="1529" spans="2:19" x14ac:dyDescent="0.5">
      <c r="B1529" t="str">
        <f t="shared" si="1716"/>
        <v>SPS1</v>
      </c>
      <c r="C1529" t="str">
        <f t="shared" si="1717"/>
        <v>CH</v>
      </c>
      <c r="D1529" t="s">
        <v>1514</v>
      </c>
      <c r="E1529" t="str">
        <f t="shared" si="1718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0.12380416061738271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0.17997111487215844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0.17020268979051531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0.11248637413539291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1.1169725298766288E-2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5.9552551866266985E-4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6.7124394487632234E-4</v>
      </c>
      <c r="M1529" s="1" cm="1">
        <f t="array" ref="M1529">SUMPRODUCT(("T_TW-icegsl-S2"=[1]OUT_TransportEnergyCons!$A$3:$A$1000)*1,("var_fout"=[1]OUT_TransportEnergyCons!$B$3:$B$1000)*1,ISNUMBER(SEARCH("TPTWL",[1]OUT_TransportEnergyCons!$C$3:$C$1000))*1,[1]OUT_TransportEnergyCons!K$3:K$1000)</f>
        <v>7.0030029010184354E-4</v>
      </c>
      <c r="N1529" s="1" cm="1">
        <f t="array" ref="N1529">SUMPRODUCT(("T_TW-icegsl-S2"=[1]OUT_TransportEnergyCons!$A$3:$A$1000)*1,("var_fout"=[1]OUT_TransportEnergyCons!$B$3:$B$1000)*1,ISNUMBER(SEARCH("TPTWL",[1]OUT_TransportEnergyCons!$C$3:$C$1000))*1,[1]OUT_TransportEnergyCons!L$3:L$1000)</f>
        <v>6.985833823249444E-4</v>
      </c>
      <c r="O1529" s="1" cm="1">
        <f t="array" ref="O1529">SUMPRODUCT(("T_TW-icegsl-S2"=[1]OUT_TransportEnergyCons!$A$3:$A$1000)*1,("var_fout"=[1]OUT_TransportEnergyCons!$B$3:$B$1000)*1,ISNUMBER(SEARCH("TPTWL",[1]OUT_TransportEnergyCons!$C$3:$C$1000))*1,[1]OUT_TransportEnergyCons!M$3:M$1000)</f>
        <v>8.9650813327193989E-4</v>
      </c>
      <c r="P1529" s="1" cm="1">
        <f t="array" ref="P1529">SUMPRODUCT(("T_TW-icegsl-S2"=[1]OUT_TransportEnergyCons!$A$3:$A$1000)*1,("var_fout"=[1]OUT_TransportEnergyCons!$B$3:$B$1000)*1,ISNUMBER(SEARCH("TPTWL",[1]OUT_TransportEnergyCons!$C$3:$C$1000))*1,[1]OUT_TransportEnergyCons!N$3:N$1000)</f>
        <v>8.6893834962078499E-4</v>
      </c>
      <c r="Q1529" s="1" cm="1">
        <f t="array" ref="Q1529">SUMPRODUCT(("T_TW-icegsl-S2"=[1]OUT_TransportEnergyCons!$A$3:$A$1000)*1,("var_fout"=[1]OUT_TransportEnergyCons!$B$3:$B$1000)*1,ISNUMBER(SEARCH("TPTWL",[1]OUT_TransportEnergyCons!$C$3:$C$1000))*1,[1]OUT_TransportEnergyCons!O$3:O$1000)</f>
        <v>1.2992468038175301E-3</v>
      </c>
      <c r="S1529" s="3"/>
    </row>
    <row r="1530" spans="2:19" x14ac:dyDescent="0.5">
      <c r="B1530" t="str">
        <f t="shared" si="1716"/>
        <v>SPS1</v>
      </c>
      <c r="C1530" t="str">
        <f t="shared" si="1717"/>
        <v>CH</v>
      </c>
      <c r="D1530" t="s">
        <v>1515</v>
      </c>
      <c r="E1530" t="str">
        <f t="shared" si="1718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0.11845012752387045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0.14372967477388535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0.14460758305385402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0.14392603562644157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0.13776081653057698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3.9937156433950988E-2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4.1253714742318893E-4</v>
      </c>
      <c r="M1530" s="1" cm="1">
        <f t="array" ref="M1530">SUMPRODUCT(("T_TW-icegsl-S3"=[1]OUT_TransportEnergyCons!$A$3:$A$1000)*1,("var_fout"=[1]OUT_TransportEnergyCons!$B$3:$B$1000)*1,ISNUMBER(SEARCH("TPTWL",[1]OUT_TransportEnergyCons!$C$3:$C$1000))*1,[1]OUT_TransportEnergyCons!K$3:K$1000)</f>
        <v>4.5392030031903311E-4</v>
      </c>
      <c r="N1530" s="1" cm="1">
        <f t="array" ref="N1530">SUMPRODUCT(("T_TW-icegsl-S3"=[1]OUT_TransportEnergyCons!$A$3:$A$1000)*1,("var_fout"=[1]OUT_TransportEnergyCons!$B$3:$B$1000)*1,ISNUMBER(SEARCH("TPTWL",[1]OUT_TransportEnergyCons!$C$3:$C$1000))*1,[1]OUT_TransportEnergyCons!L$3:L$1000)</f>
        <v>4.894877222693314E-4</v>
      </c>
      <c r="O1530" s="1" cm="1">
        <f t="array" ref="O1530">SUMPRODUCT(("T_TW-icegsl-S3"=[1]OUT_TransportEnergyCons!$A$3:$A$1000)*1,("var_fout"=[1]OUT_TransportEnergyCons!$B$3:$B$1000)*1,ISNUMBER(SEARCH("TPTWL",[1]OUT_TransportEnergyCons!$C$3:$C$1000))*1,[1]OUT_TransportEnergyCons!M$3:M$1000)</f>
        <v>5.5106668264902998E-4</v>
      </c>
      <c r="P1530" s="1" cm="1">
        <f t="array" ref="P1530">SUMPRODUCT(("T_TW-icegsl-S3"=[1]OUT_TransportEnergyCons!$A$3:$A$1000)*1,("var_fout"=[1]OUT_TransportEnergyCons!$B$3:$B$1000)*1,ISNUMBER(SEARCH("TPTWL",[1]OUT_TransportEnergyCons!$C$3:$C$1000))*1,[1]OUT_TransportEnergyCons!N$3:N$1000)</f>
        <v>6.0915361087411483E-4</v>
      </c>
      <c r="Q1530" s="1" cm="1">
        <f t="array" ref="Q1530">SUMPRODUCT(("T_TW-icegsl-S3"=[1]OUT_TransportEnergyCons!$A$3:$A$1000)*1,("var_fout"=[1]OUT_TransportEnergyCons!$B$3:$B$1000)*1,ISNUMBER(SEARCH("TPTWL",[1]OUT_TransportEnergyCons!$C$3:$C$1000))*1,[1]OUT_TransportEnergyCons!O$3:O$1000)</f>
        <v>7.7762340761063108E-4</v>
      </c>
      <c r="S1530" s="3"/>
    </row>
    <row r="1531" spans="2:19" x14ac:dyDescent="0.5">
      <c r="B1531" t="str">
        <f t="shared" si="1716"/>
        <v>SPS1</v>
      </c>
      <c r="C1531" t="str">
        <f t="shared" si="1717"/>
        <v>CH</v>
      </c>
      <c r="D1531" t="s">
        <v>1516</v>
      </c>
      <c r="E1531" t="str">
        <f t="shared" si="1718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7.1522560403621635E-2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8.5102426190339683E-2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8.5769604494775553E-2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8.5268988692887557E-2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8.5499216901609762E-2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8.2270750579712296E-2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1.8376963994898601E-2</v>
      </c>
      <c r="M1531" s="1" cm="1">
        <f t="array" ref="M1531">SUMPRODUCT(("T_TW-icegsl-S4"=[1]OUT_TransportEnergyCons!$A$3:$A$1000)*1,("var_fout"=[1]OUT_TransportEnergyCons!$B$3:$B$1000)*1,ISNUMBER(SEARCH("TPTWL",[1]OUT_TransportEnergyCons!$C$3:$C$1000))*1,[1]OUT_TransportEnergyCons!K$3:K$1000)</f>
        <v>3.1790900226105133E-4</v>
      </c>
      <c r="N1531" s="1" cm="1">
        <f t="array" ref="N1531">SUMPRODUCT(("T_TW-icegsl-S4"=[1]OUT_TransportEnergyCons!$A$3:$A$1000)*1,("var_fout"=[1]OUT_TransportEnergyCons!$B$3:$B$1000)*1,ISNUMBER(SEARCH("TPTWL",[1]OUT_TransportEnergyCons!$C$3:$C$1000))*1,[1]OUT_TransportEnergyCons!L$3:L$1000)</f>
        <v>3.4058034390915842E-4</v>
      </c>
      <c r="O1531" s="1" cm="1">
        <f t="array" ref="O1531">SUMPRODUCT(("T_TW-icegsl-S4"=[1]OUT_TransportEnergyCons!$A$3:$A$1000)*1,("var_fout"=[1]OUT_TransportEnergyCons!$B$3:$B$1000)*1,ISNUMBER(SEARCH("TPTWL",[1]OUT_TransportEnergyCons!$C$3:$C$1000))*1,[1]OUT_TransportEnergyCons!M$3:M$1000)</f>
        <v>3.9557627447251619E-4</v>
      </c>
      <c r="P1531" s="1" cm="1">
        <f t="array" ref="P1531">SUMPRODUCT(("T_TW-icegsl-S4"=[1]OUT_TransportEnergyCons!$A$3:$A$1000)*1,("var_fout"=[1]OUT_TransportEnergyCons!$B$3:$B$1000)*1,ISNUMBER(SEARCH("TPTWL",[1]OUT_TransportEnergyCons!$C$3:$C$1000))*1,[1]OUT_TransportEnergyCons!N$3:N$1000)</f>
        <v>4.2097524649951424E-4</v>
      </c>
      <c r="Q1531" s="1" cm="1">
        <f t="array" ref="Q1531">SUMPRODUCT(("T_TW-icegsl-S4"=[1]OUT_TransportEnergyCons!$A$3:$A$1000)*1,("var_fout"=[1]OUT_TransportEnergyCons!$B$3:$B$1000)*1,ISNUMBER(SEARCH("TPTWL",[1]OUT_TransportEnergyCons!$C$3:$C$1000))*1,[1]OUT_TransportEnergyCons!O$3:O$1000)</f>
        <v>5.3581555363102951E-4</v>
      </c>
      <c r="S1531" s="3"/>
    </row>
    <row r="1532" spans="2:19" x14ac:dyDescent="0.5">
      <c r="B1532" s="9" t="str">
        <f t="shared" si="1716"/>
        <v>SPS1</v>
      </c>
      <c r="C1532" s="9" t="str">
        <f t="shared" si="1717"/>
        <v>CH</v>
      </c>
      <c r="D1532" s="2" t="s">
        <v>1518</v>
      </c>
      <c r="E1532" s="2" t="s">
        <v>1229</v>
      </c>
      <c r="F1532" s="21" t="s">
        <v>1527</v>
      </c>
      <c r="G1532" s="21" t="s">
        <v>1527</v>
      </c>
      <c r="H1532" s="21" t="s">
        <v>1527</v>
      </c>
      <c r="I1532" s="21" t="s">
        <v>1527</v>
      </c>
      <c r="J1532" s="21" t="s">
        <v>1527</v>
      </c>
      <c r="K1532" s="21" t="s">
        <v>1527</v>
      </c>
      <c r="L1532" s="21" t="s">
        <v>1527</v>
      </c>
      <c r="M1532" s="21" t="s">
        <v>1527</v>
      </c>
      <c r="N1532" s="21" t="s">
        <v>1527</v>
      </c>
      <c r="O1532" s="21" t="s">
        <v>1527</v>
      </c>
      <c r="P1532" s="21" t="s">
        <v>1527</v>
      </c>
      <c r="Q1532" s="21" t="s">
        <v>1527</v>
      </c>
      <c r="S1532" s="3"/>
    </row>
    <row r="1533" spans="2:19" x14ac:dyDescent="0.5">
      <c r="B1533" t="str">
        <f t="shared" si="1716"/>
        <v>SPS1</v>
      </c>
      <c r="C1533" t="str">
        <f t="shared" si="1717"/>
        <v>CH</v>
      </c>
      <c r="D1533" t="s">
        <v>1519</v>
      </c>
      <c r="E1533" t="s">
        <v>1229</v>
      </c>
      <c r="F1533" s="1">
        <f t="shared" ref="F1533:K1536" si="1719">IFERROR(F1519/F1499,"-")</f>
        <v>11.09892701243189</v>
      </c>
      <c r="G1533" s="1">
        <f t="shared" si="1719"/>
        <v>11.107043395967903</v>
      </c>
      <c r="H1533" s="1">
        <f t="shared" si="1719"/>
        <v>11.108699203725553</v>
      </c>
      <c r="I1533" s="1">
        <f t="shared" si="1719"/>
        <v>11.120337228265818</v>
      </c>
      <c r="J1533" s="1">
        <f t="shared" si="1719"/>
        <v>11.480856364959338</v>
      </c>
      <c r="K1533" s="1">
        <f t="shared" si="1719"/>
        <v>11.577600504022012</v>
      </c>
      <c r="L1533" s="1">
        <f t="shared" ref="L1533:O1533" si="1720">IFERROR(L1519/L1499,"-")</f>
        <v>11.76650548742278</v>
      </c>
      <c r="M1533" s="1">
        <f t="shared" si="1720"/>
        <v>11.909064740257895</v>
      </c>
      <c r="N1533" s="1">
        <f t="shared" si="1720"/>
        <v>11.912397420518451</v>
      </c>
      <c r="O1533" s="1">
        <f t="shared" si="1720"/>
        <v>11.913862498205912</v>
      </c>
      <c r="P1533" s="1">
        <f t="shared" ref="P1533:Q1536" si="1721">IFERROR(P1519/P1499,"-")</f>
        <v>11.913862498205896</v>
      </c>
      <c r="Q1533" s="1">
        <f t="shared" si="1721"/>
        <v>11.913862498205903</v>
      </c>
      <c r="S1533" s="3"/>
    </row>
    <row r="1534" spans="2:19" x14ac:dyDescent="0.5">
      <c r="B1534" t="str">
        <f t="shared" si="1716"/>
        <v>SPS1</v>
      </c>
      <c r="C1534" t="str">
        <f t="shared" si="1717"/>
        <v>CH</v>
      </c>
      <c r="D1534" t="s">
        <v>1520</v>
      </c>
      <c r="E1534" t="s">
        <v>1229</v>
      </c>
      <c r="F1534" s="1">
        <f t="shared" si="1719"/>
        <v>6.2845243629359961</v>
      </c>
      <c r="G1534" s="1">
        <f t="shared" si="1719"/>
        <v>6.2884832322599902</v>
      </c>
      <c r="H1534" s="1">
        <f t="shared" si="1719"/>
        <v>6.292240955153507</v>
      </c>
      <c r="I1534" s="1">
        <f t="shared" si="1719"/>
        <v>6.3037513511023251</v>
      </c>
      <c r="J1534" s="1">
        <f t="shared" si="1719"/>
        <v>6.455997663022468</v>
      </c>
      <c r="K1534" s="1">
        <f t="shared" si="1719"/>
        <v>6.5452921312602772</v>
      </c>
      <c r="L1534" s="1">
        <f t="shared" ref="L1534:O1534" si="1722">IFERROR(L1520/L1500,"-")</f>
        <v>6.6093920035354961</v>
      </c>
      <c r="M1534" s="1">
        <f t="shared" si="1722"/>
        <v>6.6937187833970224</v>
      </c>
      <c r="N1534" s="1">
        <f t="shared" si="1722"/>
        <v>6.7320097606867604</v>
      </c>
      <c r="O1534" s="1">
        <f t="shared" si="1722"/>
        <v>6.7466492376300025</v>
      </c>
      <c r="P1534" s="1">
        <f t="shared" si="1721"/>
        <v>6.7466492376299891</v>
      </c>
      <c r="Q1534" s="1">
        <f t="shared" si="1721"/>
        <v>6.7466492376299945</v>
      </c>
      <c r="S1534" s="3"/>
    </row>
    <row r="1535" spans="2:19" x14ac:dyDescent="0.5">
      <c r="B1535" t="str">
        <f t="shared" si="1716"/>
        <v>SPS1</v>
      </c>
      <c r="C1535" t="str">
        <f t="shared" si="1717"/>
        <v>CH</v>
      </c>
      <c r="D1535" t="s">
        <v>1521</v>
      </c>
      <c r="E1535" t="s">
        <v>1229</v>
      </c>
      <c r="F1535" s="1">
        <f t="shared" si="1719"/>
        <v>4.0901432735634886</v>
      </c>
      <c r="G1535" s="1">
        <f t="shared" si="1719"/>
        <v>4.0981760351892085</v>
      </c>
      <c r="H1535" s="1">
        <f t="shared" si="1719"/>
        <v>4.107935450018088</v>
      </c>
      <c r="I1535" s="1">
        <f t="shared" si="1719"/>
        <v>4.1228703089012457</v>
      </c>
      <c r="J1535" s="1">
        <f t="shared" si="1719"/>
        <v>4.158762851494572</v>
      </c>
      <c r="K1535" s="1">
        <f t="shared" si="1719"/>
        <v>4.2214341198110672</v>
      </c>
      <c r="L1535" s="1">
        <f t="shared" ref="L1535:O1535" si="1723">IFERROR(L1521/L1501,"-")</f>
        <v>4.3185114952004158</v>
      </c>
      <c r="M1535" s="1">
        <f t="shared" si="1723"/>
        <v>4.3673643204245165</v>
      </c>
      <c r="N1535" s="1">
        <f t="shared" si="1723"/>
        <v>4.4010603108109994</v>
      </c>
      <c r="O1535" s="1">
        <f t="shared" si="1723"/>
        <v>4.429206323467576</v>
      </c>
      <c r="P1535" s="1">
        <f t="shared" si="1721"/>
        <v>4.4389918965394184</v>
      </c>
      <c r="Q1535" s="1">
        <f t="shared" si="1721"/>
        <v>4.4389918965394246</v>
      </c>
      <c r="S1535" s="3"/>
    </row>
    <row r="1536" spans="2:19" x14ac:dyDescent="0.5">
      <c r="B1536" t="str">
        <f t="shared" si="1716"/>
        <v>SPS1</v>
      </c>
      <c r="C1536" t="str">
        <f t="shared" si="1717"/>
        <v>CH</v>
      </c>
      <c r="D1536" t="s">
        <v>1522</v>
      </c>
      <c r="E1536" t="s">
        <v>1229</v>
      </c>
      <c r="F1536" s="1">
        <f t="shared" si="1719"/>
        <v>3.7650534829600377</v>
      </c>
      <c r="G1536" s="1">
        <f t="shared" si="1719"/>
        <v>3.7759121832517488</v>
      </c>
      <c r="H1536" s="1">
        <f t="shared" si="1719"/>
        <v>3.7893631996507398</v>
      </c>
      <c r="I1536" s="1">
        <f t="shared" si="1719"/>
        <v>3.8110202475693056</v>
      </c>
      <c r="J1536" s="1">
        <f t="shared" si="1719"/>
        <v>3.844562053434915</v>
      </c>
      <c r="K1536" s="1">
        <f t="shared" si="1719"/>
        <v>3.8808700194475403</v>
      </c>
      <c r="L1536" s="1">
        <f t="shared" ref="L1536:O1536" si="1724">IFERROR(L1522/L1502,"-")</f>
        <v>3.9510087002561463</v>
      </c>
      <c r="M1536" s="1">
        <f t="shared" si="1724"/>
        <v>4.03796598124688</v>
      </c>
      <c r="N1536" s="1">
        <f t="shared" si="1724"/>
        <v>4.0713403425057129</v>
      </c>
      <c r="O1536" s="1">
        <f t="shared" si="1724"/>
        <v>4.0988698296356825</v>
      </c>
      <c r="P1536" s="1">
        <f t="shared" si="1721"/>
        <v>4.1162758326444058</v>
      </c>
      <c r="Q1536" s="1">
        <f t="shared" si="1721"/>
        <v>4.1237577328637203</v>
      </c>
      <c r="S1536" s="3"/>
    </row>
    <row r="1537" spans="2:19" x14ac:dyDescent="0.5">
      <c r="B1537" t="str">
        <f t="shared" si="1716"/>
        <v>SPS1</v>
      </c>
      <c r="C1537" t="str">
        <f t="shared" si="1717"/>
        <v>CH</v>
      </c>
      <c r="D1537" t="s">
        <v>1523</v>
      </c>
      <c r="E1537" t="s">
        <v>1229</v>
      </c>
      <c r="F1537" s="1" t="str">
        <f t="shared" ref="F1537:K1540" si="1725">IFERROR(F1523/F1504,"-")</f>
        <v>-</v>
      </c>
      <c r="G1537" s="1" t="str">
        <f t="shared" si="1725"/>
        <v>-</v>
      </c>
      <c r="H1537" s="1" t="str">
        <f t="shared" si="1725"/>
        <v>-</v>
      </c>
      <c r="I1537" s="1">
        <f t="shared" si="1725"/>
        <v>4.6391179485367768</v>
      </c>
      <c r="J1537" s="1">
        <f t="shared" si="1725"/>
        <v>4.6874169393033274</v>
      </c>
      <c r="K1537" s="1">
        <f t="shared" si="1725"/>
        <v>4.7521578366742006</v>
      </c>
      <c r="L1537" s="1">
        <f t="shared" ref="L1537:O1537" si="1726">IFERROR(L1523/L1504,"-")</f>
        <v>4.8206876334958997</v>
      </c>
      <c r="M1537" s="1">
        <f t="shared" si="1726"/>
        <v>4.9006228057574095</v>
      </c>
      <c r="N1537" s="1">
        <f t="shared" si="1726"/>
        <v>4.9288478375243399</v>
      </c>
      <c r="O1537" s="1">
        <f t="shared" si="1726"/>
        <v>4.9376073198960242</v>
      </c>
      <c r="P1537" s="1">
        <f t="shared" ref="P1537:Q1540" si="1727">IFERROR(P1523/P1504,"-")</f>
        <v>4.93760731989601</v>
      </c>
      <c r="Q1537" s="1">
        <f t="shared" si="1727"/>
        <v>4.9376073198960277</v>
      </c>
      <c r="S1537" s="3"/>
    </row>
    <row r="1538" spans="2:19" x14ac:dyDescent="0.5">
      <c r="B1538" t="str">
        <f t="shared" si="1716"/>
        <v>SPS1</v>
      </c>
      <c r="C1538" t="str">
        <f t="shared" si="1717"/>
        <v>CH</v>
      </c>
      <c r="D1538" t="s">
        <v>1524</v>
      </c>
      <c r="E1538" t="s">
        <v>1229</v>
      </c>
      <c r="F1538" s="1" t="str">
        <f t="shared" si="1725"/>
        <v>-</v>
      </c>
      <c r="G1538" s="1" t="str">
        <f t="shared" si="1725"/>
        <v>-</v>
      </c>
      <c r="H1538" s="1" t="str">
        <f t="shared" si="1725"/>
        <v>-</v>
      </c>
      <c r="I1538" s="1">
        <f t="shared" si="1725"/>
        <v>2.70088685099936</v>
      </c>
      <c r="J1538" s="1">
        <f t="shared" si="1725"/>
        <v>2.7256227484700348</v>
      </c>
      <c r="K1538" s="1">
        <f t="shared" si="1725"/>
        <v>2.7545397918338503</v>
      </c>
      <c r="L1538" s="1">
        <f t="shared" ref="L1538:O1538" si="1728">IFERROR(L1524/L1505,"-")</f>
        <v>2.7902919409153313</v>
      </c>
      <c r="M1538" s="1">
        <f t="shared" si="1728"/>
        <v>2.8301202922705784</v>
      </c>
      <c r="N1538" s="1">
        <f t="shared" si="1728"/>
        <v>2.8547237443886235</v>
      </c>
      <c r="O1538" s="1">
        <f t="shared" si="1728"/>
        <v>2.8629122117594479</v>
      </c>
      <c r="P1538" s="1">
        <f t="shared" si="1727"/>
        <v>2.862912211759451</v>
      </c>
      <c r="Q1538" s="1">
        <f t="shared" si="1727"/>
        <v>2.8629122117594532</v>
      </c>
      <c r="S1538" s="3"/>
    </row>
    <row r="1539" spans="2:19" x14ac:dyDescent="0.5">
      <c r="B1539" t="str">
        <f t="shared" si="1716"/>
        <v>SPS1</v>
      </c>
      <c r="C1539" t="str">
        <f t="shared" si="1717"/>
        <v>CH</v>
      </c>
      <c r="D1539" t="s">
        <v>1525</v>
      </c>
      <c r="E1539" t="s">
        <v>1229</v>
      </c>
      <c r="F1539" s="1" t="str">
        <f t="shared" si="1725"/>
        <v>-</v>
      </c>
      <c r="G1539" s="1" t="str">
        <f t="shared" si="1725"/>
        <v>-</v>
      </c>
      <c r="H1539" s="1" t="str">
        <f t="shared" si="1725"/>
        <v>-</v>
      </c>
      <c r="I1539" s="1">
        <f t="shared" si="1725"/>
        <v>1.7606485351727292</v>
      </c>
      <c r="J1539" s="1">
        <f t="shared" si="1725"/>
        <v>1.7790611034864279</v>
      </c>
      <c r="K1539" s="1">
        <f t="shared" si="1725"/>
        <v>1.7937745350993497</v>
      </c>
      <c r="L1539" s="1">
        <f t="shared" ref="L1539:O1539" si="1729">IFERROR(L1525/L1506,"-")</f>
        <v>1.8133426209126167</v>
      </c>
      <c r="M1539" s="1">
        <f t="shared" si="1729"/>
        <v>1.8385323270468192</v>
      </c>
      <c r="N1539" s="1">
        <f t="shared" si="1729"/>
        <v>1.856416579132488</v>
      </c>
      <c r="O1539" s="1">
        <f t="shared" si="1729"/>
        <v>1.8702640909344976</v>
      </c>
      <c r="P1539" s="1">
        <f t="shared" si="1727"/>
        <v>1.8752252137142997</v>
      </c>
      <c r="Q1539" s="1">
        <f t="shared" si="1727"/>
        <v>1.8752252137142995</v>
      </c>
      <c r="S1539" s="3"/>
    </row>
    <row r="1540" spans="2:19" x14ac:dyDescent="0.5">
      <c r="B1540" t="str">
        <f t="shared" si="1716"/>
        <v>SPS1</v>
      </c>
      <c r="C1540" t="str">
        <f t="shared" si="1717"/>
        <v>CH</v>
      </c>
      <c r="D1540" t="s">
        <v>1526</v>
      </c>
      <c r="E1540" t="s">
        <v>1229</v>
      </c>
      <c r="F1540" s="1" t="str">
        <f t="shared" si="1725"/>
        <v>-</v>
      </c>
      <c r="G1540" s="1" t="str">
        <f t="shared" si="1725"/>
        <v>-</v>
      </c>
      <c r="H1540" s="1" t="str">
        <f t="shared" si="1725"/>
        <v>-</v>
      </c>
      <c r="I1540" s="1">
        <f t="shared" si="1725"/>
        <v>1.5620411785777197</v>
      </c>
      <c r="J1540" s="1">
        <f t="shared" si="1725"/>
        <v>1.5791948248436414</v>
      </c>
      <c r="K1540" s="1">
        <f t="shared" si="1725"/>
        <v>1.5958673143062083</v>
      </c>
      <c r="L1540" s="1">
        <f t="shared" ref="L1540:O1540" si="1730">IFERROR(L1526/L1507,"-")</f>
        <v>1.614228369468959</v>
      </c>
      <c r="M1540" s="1">
        <f t="shared" si="1730"/>
        <v>1.6354281158543433</v>
      </c>
      <c r="N1540" s="1">
        <f t="shared" si="1730"/>
        <v>1.6531502921525125</v>
      </c>
      <c r="O1540" s="1">
        <f t="shared" si="1730"/>
        <v>1.6664593056006936</v>
      </c>
      <c r="P1540" s="1">
        <f t="shared" si="1727"/>
        <v>1.6746791557725542</v>
      </c>
      <c r="Q1540" s="1">
        <f t="shared" si="1727"/>
        <v>1.6779856082197386</v>
      </c>
      <c r="S1540" s="3"/>
    </row>
    <row r="1541" spans="2:19" x14ac:dyDescent="0.5">
      <c r="B1541" t="str">
        <f t="shared" si="1716"/>
        <v>SPS1</v>
      </c>
      <c r="C1541" t="str">
        <f t="shared" si="1717"/>
        <v>CH</v>
      </c>
      <c r="D1541" t="s">
        <v>1582</v>
      </c>
      <c r="E1541" t="s">
        <v>1229</v>
      </c>
      <c r="F1541" s="1">
        <f t="shared" ref="F1541:K1545" si="1731">IFERROR(F1527/F1513,"-")</f>
        <v>0.7711651053457772</v>
      </c>
      <c r="G1541" s="1">
        <f t="shared" si="1731"/>
        <v>0.78723832996732024</v>
      </c>
      <c r="H1541" s="1">
        <f t="shared" si="1731"/>
        <v>0.81134816689963463</v>
      </c>
      <c r="I1541" s="1">
        <f t="shared" si="1731"/>
        <v>0.85153122845348972</v>
      </c>
      <c r="J1541" s="1" t="str">
        <f t="shared" si="1731"/>
        <v>-</v>
      </c>
      <c r="K1541" s="1" t="str">
        <f t="shared" si="1731"/>
        <v>-</v>
      </c>
      <c r="L1541" s="1" t="str">
        <f t="shared" ref="L1541:O1541" si="1732">IFERROR(L1527/L1513,"-")</f>
        <v>-</v>
      </c>
      <c r="M1541" s="1" t="str">
        <f t="shared" si="1732"/>
        <v>-</v>
      </c>
      <c r="N1541" s="1" t="str">
        <f t="shared" si="1732"/>
        <v>-</v>
      </c>
      <c r="O1541" s="1" t="str">
        <f t="shared" si="1732"/>
        <v>-</v>
      </c>
      <c r="P1541" s="1" t="str">
        <f t="shared" ref="P1541:Q1545" si="1733">IFERROR(P1527/P1513,"-")</f>
        <v>-</v>
      </c>
      <c r="Q1541" s="1" t="str">
        <f t="shared" si="1733"/>
        <v>-</v>
      </c>
      <c r="S1541" s="3"/>
    </row>
    <row r="1542" spans="2:19" x14ac:dyDescent="0.5">
      <c r="B1542" t="str">
        <f t="shared" si="1716"/>
        <v>SPS1</v>
      </c>
      <c r="C1542" t="str">
        <f t="shared" si="1717"/>
        <v>CH</v>
      </c>
      <c r="D1542" t="s">
        <v>1583</v>
      </c>
      <c r="E1542" t="s">
        <v>1229</v>
      </c>
      <c r="F1542" s="1">
        <f t="shared" si="1731"/>
        <v>1.9078836334110871</v>
      </c>
      <c r="G1542" s="1">
        <f t="shared" si="1731"/>
        <v>1.9240569195402073</v>
      </c>
      <c r="H1542" s="1">
        <f t="shared" si="1731"/>
        <v>1.9243837158734023</v>
      </c>
      <c r="I1542" s="1">
        <f t="shared" si="1731"/>
        <v>1.9526958241439563</v>
      </c>
      <c r="J1542" s="1">
        <f t="shared" si="1731"/>
        <v>2.0348951133515736</v>
      </c>
      <c r="K1542" s="1">
        <f t="shared" si="1731"/>
        <v>2.0566100951189079</v>
      </c>
      <c r="L1542" s="1">
        <f t="shared" ref="L1542:O1542" si="1734">IFERROR(L1528/L1514,"-")</f>
        <v>2.1010590523220229</v>
      </c>
      <c r="M1542" s="1">
        <f t="shared" si="1734"/>
        <v>2.1327219133282007</v>
      </c>
      <c r="N1542" s="1">
        <f t="shared" si="1734"/>
        <v>2.1415109845354241</v>
      </c>
      <c r="O1542" s="1">
        <f t="shared" si="1734"/>
        <v>2.1882785185199505</v>
      </c>
      <c r="P1542" s="1">
        <f t="shared" si="1733"/>
        <v>2.1882785185199509</v>
      </c>
      <c r="Q1542" s="1">
        <f t="shared" si="1733"/>
        <v>2.1882785185199527</v>
      </c>
      <c r="S1542" s="3"/>
    </row>
    <row r="1543" spans="2:19" x14ac:dyDescent="0.5">
      <c r="B1543" t="str">
        <f t="shared" si="1716"/>
        <v>SPS1</v>
      </c>
      <c r="C1543" t="str">
        <f t="shared" si="1717"/>
        <v>CH</v>
      </c>
      <c r="D1543" t="s">
        <v>1584</v>
      </c>
      <c r="E1543" t="s">
        <v>1229</v>
      </c>
      <c r="F1543" s="1">
        <f t="shared" si="1731"/>
        <v>1.1027629847473213</v>
      </c>
      <c r="G1543" s="1">
        <f t="shared" si="1731"/>
        <v>1.1042981949016886</v>
      </c>
      <c r="H1543" s="1">
        <f t="shared" si="1731"/>
        <v>1.104360343522494</v>
      </c>
      <c r="I1543" s="1">
        <f t="shared" si="1731"/>
        <v>1.1046493188696529</v>
      </c>
      <c r="J1543" s="1">
        <f t="shared" si="1731"/>
        <v>1.1102527240711138</v>
      </c>
      <c r="K1543" s="1">
        <f t="shared" si="1731"/>
        <v>1.1827633170512568</v>
      </c>
      <c r="L1543" s="1">
        <f t="shared" ref="L1543:O1543" si="1735">IFERROR(L1529/L1515,"-")</f>
        <v>1.206191006250328</v>
      </c>
      <c r="M1543" s="1">
        <f t="shared" si="1735"/>
        <v>1.2318380564675098</v>
      </c>
      <c r="N1543" s="1">
        <f t="shared" si="1735"/>
        <v>1.2508929851318287</v>
      </c>
      <c r="O1543" s="1">
        <f t="shared" si="1735"/>
        <v>1.2575779131572375</v>
      </c>
      <c r="P1543" s="1">
        <f t="shared" si="1733"/>
        <v>1.25757791315724</v>
      </c>
      <c r="Q1543" s="1">
        <f t="shared" si="1733"/>
        <v>1.2575779131572429</v>
      </c>
      <c r="S1543" s="3"/>
    </row>
    <row r="1544" spans="2:19" x14ac:dyDescent="0.5">
      <c r="B1544" t="str">
        <f t="shared" si="1716"/>
        <v>SPS1</v>
      </c>
      <c r="C1544" t="str">
        <f t="shared" si="1717"/>
        <v>CH</v>
      </c>
      <c r="D1544" t="s">
        <v>1585</v>
      </c>
      <c r="E1544" t="s">
        <v>1229</v>
      </c>
      <c r="F1544" s="1">
        <f t="shared" si="1731"/>
        <v>0.72942698043637</v>
      </c>
      <c r="G1544" s="1">
        <f t="shared" si="1731"/>
        <v>0.73017362643264994</v>
      </c>
      <c r="H1544" s="1">
        <f t="shared" si="1731"/>
        <v>0.73018402900592616</v>
      </c>
      <c r="I1544" s="1">
        <f t="shared" si="1731"/>
        <v>0.73020317010211355</v>
      </c>
      <c r="J1544" s="1">
        <f t="shared" si="1731"/>
        <v>0.73028062411560113</v>
      </c>
      <c r="K1544" s="1">
        <f t="shared" si="1731"/>
        <v>0.73149803560956028</v>
      </c>
      <c r="L1544" s="1">
        <f t="shared" ref="L1544:O1544" si="1736">IFERROR(L1530/L1516,"-")</f>
        <v>0.7883307982855382</v>
      </c>
      <c r="M1544" s="1">
        <f t="shared" si="1736"/>
        <v>0.80519584694718871</v>
      </c>
      <c r="N1544" s="1">
        <f t="shared" si="1736"/>
        <v>0.81705217036858502</v>
      </c>
      <c r="O1544" s="1">
        <f t="shared" si="1736"/>
        <v>0.82778024284258012</v>
      </c>
      <c r="P1544" s="1">
        <f t="shared" si="1733"/>
        <v>0.8313478116354327</v>
      </c>
      <c r="Q1544" s="1">
        <f t="shared" si="1733"/>
        <v>0.83134781163543237</v>
      </c>
      <c r="S1544" s="3"/>
    </row>
    <row r="1545" spans="2:19" x14ac:dyDescent="0.5">
      <c r="B1545" t="str">
        <f t="shared" si="1716"/>
        <v>SPS1</v>
      </c>
      <c r="C1545" t="str">
        <f t="shared" si="1717"/>
        <v>CH</v>
      </c>
      <c r="D1545" t="s">
        <v>1586</v>
      </c>
      <c r="E1545" t="s">
        <v>1229</v>
      </c>
      <c r="F1545" s="1">
        <f t="shared" si="1731"/>
        <v>0.67580166525687235</v>
      </c>
      <c r="G1545" s="1">
        <f t="shared" si="1731"/>
        <v>0.67641497868817091</v>
      </c>
      <c r="H1545" s="1">
        <f t="shared" si="1731"/>
        <v>0.67642304609736181</v>
      </c>
      <c r="I1545" s="1">
        <f t="shared" si="1731"/>
        <v>0.67643944634532516</v>
      </c>
      <c r="J1545" s="1">
        <f t="shared" si="1731"/>
        <v>0.67646859866768472</v>
      </c>
      <c r="K1545" s="1">
        <f t="shared" si="1731"/>
        <v>0.67653706331516794</v>
      </c>
      <c r="L1545" s="1">
        <f t="shared" ref="L1545:O1545" si="1737">IFERROR(L1531/L1517,"-")</f>
        <v>0.67798905858262604</v>
      </c>
      <c r="M1545" s="1">
        <f t="shared" si="1737"/>
        <v>0.74248439518324161</v>
      </c>
      <c r="N1545" s="1">
        <f t="shared" si="1737"/>
        <v>0.75476444772650253</v>
      </c>
      <c r="O1545" s="1">
        <f t="shared" si="1737"/>
        <v>0.76408632815912791</v>
      </c>
      <c r="P1545" s="1">
        <f t="shared" si="1733"/>
        <v>0.76996843281752769</v>
      </c>
      <c r="Q1545" s="1">
        <f t="shared" si="1733"/>
        <v>0.77223175790060516</v>
      </c>
      <c r="S1545" s="3"/>
    </row>
    <row r="1546" spans="2:19" x14ac:dyDescent="0.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16.71060424841091</v>
      </c>
      <c r="G1546" s="3">
        <f t="shared" ref="G1546:K1546" si="1738">G1547+G1550+G1552+G1559+G1567</f>
        <v>15.614008257934197</v>
      </c>
      <c r="H1546" s="3">
        <f t="shared" si="1738"/>
        <v>14.001004556578762</v>
      </c>
      <c r="I1546" s="3">
        <f t="shared" si="1738"/>
        <v>11.33208233571446</v>
      </c>
      <c r="J1546" s="3">
        <f t="shared" si="1738"/>
        <v>8.4739900700274262</v>
      </c>
      <c r="K1546" s="3">
        <f t="shared" si="1738"/>
        <v>7.3590130952583355</v>
      </c>
      <c r="L1546" s="3">
        <f t="shared" ref="L1546:O1546" si="1739">L1547+L1550+L1552+L1559+L1567</f>
        <v>7.6657285424798047</v>
      </c>
      <c r="M1546" s="3">
        <f t="shared" si="1739"/>
        <v>7.9725985600072313</v>
      </c>
      <c r="N1546" s="3">
        <f t="shared" si="1739"/>
        <v>8.3459372086099783</v>
      </c>
      <c r="O1546" s="3">
        <f t="shared" si="1739"/>
        <v>8.8703304847613644</v>
      </c>
      <c r="P1546" s="3">
        <f>P1547+P1550+P1552+P1559+P1567</f>
        <v>9.4525086193914589</v>
      </c>
      <c r="Q1546" s="3">
        <f>Q1547+Q1550+Q1552+Q1559+Q1567</f>
        <v>10.092454632608101</v>
      </c>
      <c r="S1546" s="3"/>
    </row>
    <row r="1547" spans="2:19" x14ac:dyDescent="0.5">
      <c r="B1547" t="str">
        <f t="shared" ref="B1547:B1592" si="1740">B1546</f>
        <v>SPS1</v>
      </c>
      <c r="C1547" t="str">
        <f t="shared" ref="C1547:C1592" si="1741">C1546</f>
        <v>CH</v>
      </c>
      <c r="D1547" t="s">
        <v>1536</v>
      </c>
      <c r="E1547" t="str">
        <f>E1546</f>
        <v>PJ/yr.</v>
      </c>
      <c r="F1547" s="1">
        <f>SUM(F1548:F1549)</f>
        <v>7.5837220900297542E-2</v>
      </c>
      <c r="G1547" s="1">
        <f t="shared" ref="G1547:K1547" si="1742">SUM(G1548:G1549)</f>
        <v>0.11309893329389131</v>
      </c>
      <c r="H1547" s="1">
        <f t="shared" si="1742"/>
        <v>0.14302777814950715</v>
      </c>
      <c r="I1547" s="1">
        <f t="shared" si="1742"/>
        <v>1.6936754552528532</v>
      </c>
      <c r="J1547" s="1">
        <f t="shared" si="1742"/>
        <v>4.7431207807220748</v>
      </c>
      <c r="K1547" s="1">
        <f t="shared" si="1742"/>
        <v>7.3586625114545292</v>
      </c>
      <c r="L1547" s="1">
        <f t="shared" ref="L1547:O1547" si="1743">SUM(L1548:L1549)</f>
        <v>7.6657276243008612</v>
      </c>
      <c r="M1547" s="1">
        <f t="shared" si="1743"/>
        <v>7.9725977152312106</v>
      </c>
      <c r="N1547" s="1">
        <f t="shared" si="1743"/>
        <v>8.345936640346844</v>
      </c>
      <c r="O1547" s="1">
        <f t="shared" si="1743"/>
        <v>8.8703303446398429</v>
      </c>
      <c r="P1547" s="1">
        <f>SUM(P1548:P1549)</f>
        <v>9.4525081593052409</v>
      </c>
      <c r="Q1547" s="1">
        <f>SUM(Q1548:Q1549)</f>
        <v>10.092452049469925</v>
      </c>
      <c r="S1547" s="3"/>
    </row>
    <row r="1548" spans="2:19" x14ac:dyDescent="0.5">
      <c r="B1548" t="str">
        <f t="shared" si="1740"/>
        <v>SPS1</v>
      </c>
      <c r="C1548" t="str">
        <f t="shared" si="1741"/>
        <v>CH</v>
      </c>
      <c r="D1548" t="s">
        <v>1543</v>
      </c>
      <c r="E1548" t="str">
        <f t="shared" ref="E1548:E1572" si="174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4.0497029238650804E-2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3.4800215427705054E-2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2.6384178669285632E-2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1.3126103710952661E-2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M1548" s="1" cm="1">
        <f t="array" ref="M1548">SUMPRODUCT(("TFLGV-BeVELCExt"=[1]OUT_TransportEnergyCons!$A$3:$A$1000)*1,("Var_Fin"=[1]OUT_TransportEnergyCons!$B$3:$B$1000)*1,ISNUMBER(SEARCH("ELC",[1]OUT_TransportEnergyCons!$C$3:$C$1000))*1,[1]OUT_TransportEnergyCons!K$3:K$1000)</f>
        <v>0</v>
      </c>
      <c r="N1548" s="1" cm="1">
        <f t="array" ref="N1548">SUMPRODUCT(("TFLGV-BeVELCExt"=[1]OUT_TransportEnergyCons!$A$3:$A$1000)*1,("Var_Fin"=[1]OUT_TransportEnergyCons!$B$3:$B$1000)*1,ISNUMBER(SEARCH("ELC",[1]OUT_TransportEnergyCons!$C$3:$C$1000))*1,[1]OUT_TransportEnergyCons!L$3:L$1000)</f>
        <v>0</v>
      </c>
      <c r="O1548" s="1" cm="1">
        <f t="array" ref="O1548">SUMPRODUCT(("TFLGV-BeVELCExt"=[1]OUT_TransportEnergyCons!$A$3:$A$1000)*1,("Var_Fin"=[1]OUT_TransportEnergyCons!$B$3:$B$1000)*1,ISNUMBER(SEARCH("ELC",[1]OUT_TransportEnergyCons!$C$3:$C$1000))*1,[1]OUT_TransportEnergyCons!M$3:M$1000)</f>
        <v>0</v>
      </c>
      <c r="P1548" s="1" cm="1">
        <f t="array" ref="P1548">SUMPRODUCT(("TFLGV-BeVELCExt"=[1]OUT_TransportEnergyCons!$A$3:$A$1000)*1,("Var_Fin"=[1]OUT_TransportEnergyCons!$B$3:$B$1000)*1,ISNUMBER(SEARCH("ELC",[1]OUT_TransportEnergyCons!$C$3:$C$1000))*1,[1]OUT_TransportEnergyCons!N$3:N$1000)</f>
        <v>0</v>
      </c>
      <c r="Q1548" s="1" cm="1">
        <f t="array" ref="Q1548">SUMPRODUCT(("TFLGV-BeVELCExt"=[1]OUT_TransportEnergyCons!$A$3:$A$1000)*1,("Var_Fin"=[1]OUT_TransportEnergyCons!$B$3:$B$1000)*1,ISNUMBER(SEARCH("ELC",[1]OUT_TransportEnergyCons!$C$3:$C$1000))*1,[1]OUT_TransportEnergyCons!O$3:O$1000)</f>
        <v>0</v>
      </c>
      <c r="S1548" s="3"/>
    </row>
    <row r="1549" spans="2:19" x14ac:dyDescent="0.5">
      <c r="B1549" t="str">
        <f t="shared" si="1740"/>
        <v>SPS1</v>
      </c>
      <c r="C1549" t="str">
        <f t="shared" si="1741"/>
        <v>CH</v>
      </c>
      <c r="D1549" t="s">
        <v>1544</v>
      </c>
      <c r="E1549" t="str">
        <f t="shared" si="174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3.534019166164673E-2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7.8298717866186252E-2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0.11664359948022152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1.6805493515419005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4.7431207807220748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7.3586625114545292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7.6657276243008612</v>
      </c>
      <c r="M1549" s="1" cm="1">
        <f t="array" ref="M1549">SUMPRODUCT(("TFLGV-BEVELC"=[1]OUT_TransportEnergyCons!$A$3:$A$1000)*1,("Var_Fin"=[1]OUT_TransportEnergyCons!$B$3:$B$1000)*1,ISNUMBER(SEARCH("ELC",[1]OUT_TransportEnergyCons!$C$3:$C$1000))*1,[1]OUT_TransportEnergyCons!K$3:K$1000)</f>
        <v>7.9725977152312106</v>
      </c>
      <c r="N1549" s="1" cm="1">
        <f t="array" ref="N1549">SUMPRODUCT(("TFLGV-BEVELC"=[1]OUT_TransportEnergyCons!$A$3:$A$1000)*1,("Var_Fin"=[1]OUT_TransportEnergyCons!$B$3:$B$1000)*1,ISNUMBER(SEARCH("ELC",[1]OUT_TransportEnergyCons!$C$3:$C$1000))*1,[1]OUT_TransportEnergyCons!L$3:L$1000)</f>
        <v>8.345936640346844</v>
      </c>
      <c r="O1549" s="1" cm="1">
        <f t="array" ref="O1549">SUMPRODUCT(("TFLGV-BEVELC"=[1]OUT_TransportEnergyCons!$A$3:$A$1000)*1,("Var_Fin"=[1]OUT_TransportEnergyCons!$B$3:$B$1000)*1,ISNUMBER(SEARCH("ELC",[1]OUT_TransportEnergyCons!$C$3:$C$1000))*1,[1]OUT_TransportEnergyCons!M$3:M$1000)</f>
        <v>8.8703303446398429</v>
      </c>
      <c r="P1549" s="1" cm="1">
        <f t="array" ref="P1549">SUMPRODUCT(("TFLGV-BEVELC"=[1]OUT_TransportEnergyCons!$A$3:$A$1000)*1,("Var_Fin"=[1]OUT_TransportEnergyCons!$B$3:$B$1000)*1,ISNUMBER(SEARCH("ELC",[1]OUT_TransportEnergyCons!$C$3:$C$1000))*1,[1]OUT_TransportEnergyCons!N$3:N$1000)</f>
        <v>9.4525081593052409</v>
      </c>
      <c r="Q1549" s="1" cm="1">
        <f t="array" ref="Q1549">SUMPRODUCT(("TFLGV-BEVELC"=[1]OUT_TransportEnergyCons!$A$3:$A$1000)*1,("Var_Fin"=[1]OUT_TransportEnergyCons!$B$3:$B$1000)*1,ISNUMBER(SEARCH("ELC",[1]OUT_TransportEnergyCons!$C$3:$C$1000))*1,[1]OUT_TransportEnergyCons!O$3:O$1000)</f>
        <v>10.092452049469925</v>
      </c>
      <c r="S1549" s="3"/>
    </row>
    <row r="1550" spans="2:19" x14ac:dyDescent="0.5">
      <c r="B1550" t="str">
        <f t="shared" si="1740"/>
        <v>SPS1</v>
      </c>
      <c r="C1550" t="str">
        <f t="shared" si="1741"/>
        <v>CH</v>
      </c>
      <c r="D1550" t="s">
        <v>1537</v>
      </c>
      <c r="E1550" t="str">
        <f t="shared" si="1744"/>
        <v>PJ/yr.</v>
      </c>
      <c r="F1550" s="1">
        <f>F1551</f>
        <v>0</v>
      </c>
      <c r="G1550" s="1">
        <f t="shared" ref="G1550:O1550" si="1745">G1551</f>
        <v>5.084323053042018E-5</v>
      </c>
      <c r="H1550" s="1">
        <f t="shared" si="1745"/>
        <v>6.7635568742861602E-5</v>
      </c>
      <c r="I1550" s="1">
        <f t="shared" si="1745"/>
        <v>1.0387933395919856E-6</v>
      </c>
      <c r="J1550" s="1">
        <f t="shared" si="1745"/>
        <v>8.3547727944033393E-7</v>
      </c>
      <c r="K1550" s="1">
        <f t="shared" si="1745"/>
        <v>1.0621230870561949E-6</v>
      </c>
      <c r="L1550" s="1">
        <f t="shared" si="1745"/>
        <v>9.1817894318476447E-7</v>
      </c>
      <c r="M1550" s="1">
        <f t="shared" si="1745"/>
        <v>8.447760204572577E-7</v>
      </c>
      <c r="N1550" s="1">
        <f t="shared" si="1745"/>
        <v>5.6826313473306278E-7</v>
      </c>
      <c r="O1550" s="1">
        <f t="shared" si="1745"/>
        <v>1.4012152180628963E-7</v>
      </c>
      <c r="P1550" s="1">
        <f>P1551</f>
        <v>4.6008621845918649E-7</v>
      </c>
      <c r="Q1550" s="1">
        <f>Q1551</f>
        <v>2.58313817564789E-6</v>
      </c>
      <c r="S1550" s="3"/>
    </row>
    <row r="1551" spans="2:19" x14ac:dyDescent="0.5">
      <c r="B1551" t="str">
        <f t="shared" si="1740"/>
        <v>SPS1</v>
      </c>
      <c r="C1551" t="str">
        <f t="shared" si="1741"/>
        <v>CH</v>
      </c>
      <c r="D1551" t="s">
        <v>1545</v>
      </c>
      <c r="E1551" t="str">
        <f t="shared" si="174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5.084323053042018E-5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6.7635568742861602E-5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1.0387933395919856E-6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8.3547727944033393E-7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1.0621230870561949E-6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9.1817894318476447E-7</v>
      </c>
      <c r="M1551" s="1" cm="1">
        <f t="array" ref="M1551">SUMPRODUCT(("TFLGV-FCLH2O"=[1]OUT_TransportEnergyCons!$A$3:$A$1000)*1,("Var_Fin"=[1]OUT_TransportEnergyCons!$B$3:$B$1000)*1,ISNUMBER(SEARCH("h2",[1]OUT_TransportEnergyCons!$C$3:$C$1000))*1,[1]OUT_TransportEnergyCons!K$3:K$1000)</f>
        <v>8.447760204572577E-7</v>
      </c>
      <c r="N1551" s="1" cm="1">
        <f t="array" ref="N1551">SUMPRODUCT(("TFLGV-FCLH2O"=[1]OUT_TransportEnergyCons!$A$3:$A$1000)*1,("Var_Fin"=[1]OUT_TransportEnergyCons!$B$3:$B$1000)*1,ISNUMBER(SEARCH("h2",[1]OUT_TransportEnergyCons!$C$3:$C$1000))*1,[1]OUT_TransportEnergyCons!L$3:L$1000)</f>
        <v>5.6826313473306278E-7</v>
      </c>
      <c r="O1551" s="1" cm="1">
        <f t="array" ref="O1551">SUMPRODUCT(("TFLGV-FCLH2O"=[1]OUT_TransportEnergyCons!$A$3:$A$1000)*1,("Var_Fin"=[1]OUT_TransportEnergyCons!$B$3:$B$1000)*1,ISNUMBER(SEARCH("h2",[1]OUT_TransportEnergyCons!$C$3:$C$1000))*1,[1]OUT_TransportEnergyCons!M$3:M$1000)</f>
        <v>1.4012152180628963E-7</v>
      </c>
      <c r="P1551" s="1" cm="1">
        <f t="array" ref="P1551">SUMPRODUCT(("TFLGV-FCLH2O"=[1]OUT_TransportEnergyCons!$A$3:$A$1000)*1,("Var_Fin"=[1]OUT_TransportEnergyCons!$B$3:$B$1000)*1,ISNUMBER(SEARCH("h2",[1]OUT_TransportEnergyCons!$C$3:$C$1000))*1,[1]OUT_TransportEnergyCons!N$3:N$1000)</f>
        <v>4.6008621845918649E-7</v>
      </c>
      <c r="Q1551" s="1" cm="1">
        <f t="array" ref="Q1551">SUMPRODUCT(("TFLGV-FCLH2O"=[1]OUT_TransportEnergyCons!$A$3:$A$1000)*1,("Var_Fin"=[1]OUT_TransportEnergyCons!$B$3:$B$1000)*1,ISNUMBER(SEARCH("h2",[1]OUT_TransportEnergyCons!$C$3:$C$1000))*1,[1]OUT_TransportEnergyCons!O$3:O$1000)</f>
        <v>2.58313817564789E-6</v>
      </c>
      <c r="S1551" s="3"/>
    </row>
    <row r="1552" spans="2:19" x14ac:dyDescent="0.5">
      <c r="B1552" t="str">
        <f t="shared" si="1740"/>
        <v>SPS1</v>
      </c>
      <c r="C1552" t="str">
        <f t="shared" si="1741"/>
        <v>CH</v>
      </c>
      <c r="D1552" t="s">
        <v>1538</v>
      </c>
      <c r="E1552" t="str">
        <f t="shared" si="1744"/>
        <v>PJ/yr.</v>
      </c>
      <c r="F1552" s="1">
        <f>SUM(F1557:F1558)</f>
        <v>1.0830025514749806</v>
      </c>
      <c r="G1552" s="1">
        <f t="shared" ref="G1552:K1552" si="1746">SUM(G1557:G1558)</f>
        <v>2.0072269547905131</v>
      </c>
      <c r="H1552" s="1">
        <f t="shared" si="1746"/>
        <v>1.3156531756517644</v>
      </c>
      <c r="I1552" s="1">
        <f t="shared" si="1746"/>
        <v>1.6328761470083184</v>
      </c>
      <c r="J1552" s="1">
        <f t="shared" si="1746"/>
        <v>0.97271575724027726</v>
      </c>
      <c r="K1552" s="1">
        <f t="shared" si="1746"/>
        <v>1.211815149739529E-4</v>
      </c>
      <c r="L1552" s="1">
        <f t="shared" ref="L1552:O1552" si="1747">SUM(L1557:L1558)</f>
        <v>0</v>
      </c>
      <c r="M1552" s="1">
        <f t="shared" si="1747"/>
        <v>0</v>
      </c>
      <c r="N1552" s="1">
        <f t="shared" si="1747"/>
        <v>0</v>
      </c>
      <c r="O1552" s="1">
        <f t="shared" si="1747"/>
        <v>0</v>
      </c>
      <c r="P1552" s="1">
        <f>SUM(P1557:P1558)</f>
        <v>0</v>
      </c>
      <c r="Q1552" s="1">
        <f>SUM(Q1557:Q1558)</f>
        <v>0</v>
      </c>
      <c r="S1552" s="3"/>
    </row>
    <row r="1553" spans="2:19" x14ac:dyDescent="0.5">
      <c r="B1553" t="str">
        <f t="shared" si="1740"/>
        <v>SPS1</v>
      </c>
      <c r="C1553" t="str">
        <f t="shared" si="1741"/>
        <v>CH</v>
      </c>
      <c r="D1553" t="s">
        <v>1539</v>
      </c>
      <c r="E1553" t="str">
        <f t="shared" si="1744"/>
        <v>PJ/yr.</v>
      </c>
      <c r="F1553" s="1">
        <f>IF(F1552-F1554&lt;0,0,F1552-F1554)</f>
        <v>1.0237182706353165</v>
      </c>
      <c r="G1553" s="1">
        <f t="shared" ref="G1553:K1553" si="1748">IF(G1552-G1554&lt;0,0,G1552-G1554)</f>
        <v>1.8973504376586314</v>
      </c>
      <c r="H1553" s="1">
        <f t="shared" si="1748"/>
        <v>1.2436335242870444</v>
      </c>
      <c r="I1553" s="1">
        <f t="shared" si="1748"/>
        <v>1.5434446345530284</v>
      </c>
      <c r="J1553" s="1">
        <f t="shared" si="1748"/>
        <v>0.91690565712098149</v>
      </c>
      <c r="K1553" s="1">
        <f t="shared" si="1748"/>
        <v>1.1129987024143435E-4</v>
      </c>
      <c r="L1553" s="1">
        <f t="shared" ref="L1553:O1553" si="1749">IF(L1552-L1554&lt;0,0,L1552-L1554)</f>
        <v>0</v>
      </c>
      <c r="M1553" s="1">
        <f t="shared" si="1749"/>
        <v>0</v>
      </c>
      <c r="N1553" s="1">
        <f t="shared" si="1749"/>
        <v>0</v>
      </c>
      <c r="O1553" s="1">
        <f t="shared" si="1749"/>
        <v>0</v>
      </c>
      <c r="P1553" s="1">
        <f>IF(P1552-P1554&lt;0,0,P1552-P1554)</f>
        <v>0</v>
      </c>
      <c r="Q1553" s="1">
        <f>IF(Q1552-Q1554&lt;0,0,Q1552-Q1554)</f>
        <v>0</v>
      </c>
      <c r="S1553" s="3"/>
    </row>
    <row r="1554" spans="2:19" x14ac:dyDescent="0.5">
      <c r="B1554" t="str">
        <f t="shared" si="1740"/>
        <v>SPS1</v>
      </c>
      <c r="C1554" t="str">
        <f t="shared" si="1741"/>
        <v>CH</v>
      </c>
      <c r="D1554" t="s">
        <v>1540</v>
      </c>
      <c r="E1554" t="str">
        <f t="shared" si="1744"/>
        <v>PJ/yr.</v>
      </c>
      <c r="F1554" s="1">
        <f>SUM(F1555:F1556)</f>
        <v>5.9284280839663986E-2</v>
      </c>
      <c r="G1554" s="1">
        <f t="shared" ref="G1554:K1554" si="1750">SUM(G1555:G1556)</f>
        <v>0.10987651713188164</v>
      </c>
      <c r="H1554" s="1">
        <f t="shared" si="1750"/>
        <v>7.2019651364719953E-2</v>
      </c>
      <c r="I1554" s="1">
        <f t="shared" si="1750"/>
        <v>8.9431512455290074E-2</v>
      </c>
      <c r="J1554" s="1">
        <f t="shared" si="1750"/>
        <v>5.5810100119295776E-2</v>
      </c>
      <c r="K1554" s="1">
        <f t="shared" si="1750"/>
        <v>9.881644732518554E-6</v>
      </c>
      <c r="L1554" s="1">
        <f t="shared" ref="L1554:O1554" si="1751">SUM(L1555:L1556)</f>
        <v>0</v>
      </c>
      <c r="M1554" s="1">
        <f t="shared" si="1751"/>
        <v>0</v>
      </c>
      <c r="N1554" s="1">
        <f t="shared" si="1751"/>
        <v>0</v>
      </c>
      <c r="O1554" s="1">
        <f t="shared" si="1751"/>
        <v>0</v>
      </c>
      <c r="P1554" s="1">
        <f>SUM(P1555:P1556)</f>
        <v>0</v>
      </c>
      <c r="Q1554" s="1">
        <f>SUM(Q1555:Q1556)</f>
        <v>0</v>
      </c>
      <c r="S1554" s="3"/>
    </row>
    <row r="1555" spans="2:19" x14ac:dyDescent="0.5">
      <c r="B1555" t="str">
        <f t="shared" si="1740"/>
        <v>SPS1</v>
      </c>
      <c r="C1555" t="str">
        <f t="shared" si="1741"/>
        <v>CH</v>
      </c>
      <c r="D1555" t="s">
        <v>1541</v>
      </c>
      <c r="E1555" t="str">
        <f t="shared" si="1744"/>
        <v>PJ/yr.</v>
      </c>
      <c r="F1555" s="1">
        <f>[1]Transport!B$25/SUM([1]Transport!B$21,[1]Transport!B$25)*F1552*(F$35+F$600)/(F$35+F$600+F$39)</f>
        <v>5.9284280839663986E-2</v>
      </c>
      <c r="G1555" s="1">
        <f>[1]Transport!C$25/SUM([1]Transport!C$21,[1]Transport!C$25)*G1552*(G$35+G$600)/(G$35+G$600+G$39)</f>
        <v>0.10987651713188164</v>
      </c>
      <c r="H1555" s="1">
        <f>[1]Transport!D$25/SUM([1]Transport!D$21,[1]Transport!D$25)*H1552*(H$35+H$600)/(H$35+H$600+H$39)</f>
        <v>7.2019651364719953E-2</v>
      </c>
      <c r="I1555" s="1">
        <f>[1]Transport!E$25/SUM([1]Transport!E$21,[1]Transport!E$25)*I1552*(I$35+I$600)/(I$35+I$600+I$39)</f>
        <v>8.9431512455290074E-2</v>
      </c>
      <c r="J1555" s="1">
        <f>[1]Transport!F$25/SUM([1]Transport!F$21,[1]Transport!F$25)*J1552*(J$35+J$600)/(J$35+J$600+J$39)</f>
        <v>5.5810100119295776E-2</v>
      </c>
      <c r="K1555" s="1">
        <f>[1]Transport!G$25/SUM([1]Transport!G$21,[1]Transport!G$25)*K1552*(K$35+K$600)/(K$35+K$600+K$39)</f>
        <v>6.6453017227561123E-6</v>
      </c>
      <c r="L1555" s="1">
        <f>[1]Transport!H$25/SUM([1]Transport!H$21,[1]Transport!H$25)*L1552*(L$35+L$600)/(L$35+L$600+L$39)</f>
        <v>0</v>
      </c>
      <c r="M1555" s="1">
        <f>[1]Transport!I$25/SUM([1]Transport!I$21,[1]Transport!I$25)*M1552*(M$35+M$600)/(M$35+M$600+M$39)</f>
        <v>0</v>
      </c>
      <c r="N1555" s="1">
        <f>[1]Transport!J$25/SUM([1]Transport!J$21,[1]Transport!J$25)*N1552*(N$35+N$600)/(N$35+N$600+N$39)</f>
        <v>0</v>
      </c>
      <c r="O1555" s="1">
        <f>[1]Transport!K$25/SUM([1]Transport!K$21,[1]Transport!K$25)*O1552*(O$35+O$600)/(O$35+O$600+O$39)</f>
        <v>0</v>
      </c>
      <c r="P1555" s="1">
        <f>[1]Transport!L$25/SUM([1]Transport!L$21,[1]Transport!L$25)*P1552*(P$35+P$600)/(P$35+P$600+P$39)</f>
        <v>0</v>
      </c>
      <c r="Q1555" s="1">
        <f>[1]Transport!M$25/SUM([1]Transport!M$21,[1]Transport!M$25)*Q1552*(Q$35+Q$600)/(Q$35+Q$600+Q$39)</f>
        <v>0</v>
      </c>
      <c r="S1555" s="3"/>
    </row>
    <row r="1556" spans="2:19" x14ac:dyDescent="0.5">
      <c r="B1556" t="str">
        <f t="shared" si="1740"/>
        <v>SPS1</v>
      </c>
      <c r="C1556" t="str">
        <f t="shared" si="1741"/>
        <v>CH</v>
      </c>
      <c r="D1556" t="s">
        <v>1542</v>
      </c>
      <c r="E1556" t="str">
        <f t="shared" si="174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3.2363430097624418E-6</v>
      </c>
      <c r="L1556" s="1">
        <f>(L$39+L$719)/([1]Transport!H$21+[1]Transport!H$25)*L1552</f>
        <v>0</v>
      </c>
      <c r="M1556" s="1">
        <f>(M$39+M$719)/([1]Transport!I$21+[1]Transport!I$25)*M1552</f>
        <v>0</v>
      </c>
      <c r="N1556" s="1">
        <f>(N$39+N$719)/([1]Transport!J$21+[1]Transport!J$25)*N1552</f>
        <v>0</v>
      </c>
      <c r="O1556" s="1">
        <f>(O$39+O$719)/([1]Transport!K$21+[1]Transport!K$25)*O1552</f>
        <v>0</v>
      </c>
      <c r="P1556" s="1">
        <f>(P$39+P$719)/([1]Transport!L$21+[1]Transport!L$25)*P1552</f>
        <v>0</v>
      </c>
      <c r="Q1556" s="1">
        <f>(Q$39+Q$719)/([1]Transport!M$21+[1]Transport!M$25)*Q1552</f>
        <v>0</v>
      </c>
      <c r="S1556" s="3"/>
    </row>
    <row r="1557" spans="2:19" x14ac:dyDescent="0.5">
      <c r="B1557" t="str">
        <f t="shared" si="1740"/>
        <v>SPS1</v>
      </c>
      <c r="C1557" t="str">
        <f t="shared" si="1741"/>
        <v>CH</v>
      </c>
      <c r="D1557" t="s">
        <v>1588</v>
      </c>
      <c r="E1557" t="str">
        <f t="shared" si="174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0.72146644854032971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1.4300768195369522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0.54232362425903546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0.27094876897427683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M1557" s="1" cm="1">
        <f t="array" ref="M1557">SUMPRODUCT(("TFLGV-ICEGSLExt"=[1]OUT_TransportEnergyCons!$A$3:$A$1000)*1,("Var_Fin"=[1]OUT_TransportEnergyCons!$B$3:$B$1000)*1,ISNUMBER(SEARCH("gsl",[1]OUT_TransportEnergyCons!$C$3:$C$1000))*1,[1]OUT_TransportEnergyCons!K$3:K$1000)</f>
        <v>0</v>
      </c>
      <c r="N1557" s="1" cm="1">
        <f t="array" ref="N1557">SUMPRODUCT(("TFLGV-ICEGSLExt"=[1]OUT_TransportEnergyCons!$A$3:$A$1000)*1,("Var_Fin"=[1]OUT_TransportEnergyCons!$B$3:$B$1000)*1,ISNUMBER(SEARCH("gsl",[1]OUT_TransportEnergyCons!$C$3:$C$1000))*1,[1]OUT_TransportEnergyCons!L$3:L$1000)</f>
        <v>0</v>
      </c>
      <c r="O1557" s="1" cm="1">
        <f t="array" ref="O1557">SUMPRODUCT(("TFLGV-ICEGSLExt"=[1]OUT_TransportEnergyCons!$A$3:$A$1000)*1,("Var_Fin"=[1]OUT_TransportEnergyCons!$B$3:$B$1000)*1,ISNUMBER(SEARCH("gsl",[1]OUT_TransportEnergyCons!$C$3:$C$1000))*1,[1]OUT_TransportEnergyCons!M$3:M$1000)</f>
        <v>0</v>
      </c>
      <c r="P1557" s="1" cm="1">
        <f t="array" ref="P1557">SUMPRODUCT(("TFLGV-ICEGSLExt"=[1]OUT_TransportEnergyCons!$A$3:$A$1000)*1,("Var_Fin"=[1]OUT_TransportEnergyCons!$B$3:$B$1000)*1,ISNUMBER(SEARCH("gsl",[1]OUT_TransportEnergyCons!$C$3:$C$1000))*1,[1]OUT_TransportEnergyCons!N$3:N$1000)</f>
        <v>0</v>
      </c>
      <c r="Q1557" s="1" cm="1">
        <f t="array" ref="Q1557">SUMPRODUCT(("TFLGV-ICEGSLExt"=[1]OUT_TransportEnergyCons!$A$3:$A$1000)*1,("Var_Fin"=[1]OUT_TransportEnergyCons!$B$3:$B$1000)*1,ISNUMBER(SEARCH("gsl",[1]OUT_TransportEnergyCons!$C$3:$C$1000))*1,[1]OUT_TransportEnergyCons!O$3:O$1000)</f>
        <v>0</v>
      </c>
      <c r="S1557" s="3"/>
    </row>
    <row r="1558" spans="2:19" x14ac:dyDescent="0.5">
      <c r="B1558" t="str">
        <f t="shared" si="1740"/>
        <v>SPS1</v>
      </c>
      <c r="C1558" t="str">
        <f t="shared" si="1741"/>
        <v>CH</v>
      </c>
      <c r="D1558" t="s">
        <v>1587</v>
      </c>
      <c r="E1558" t="str">
        <f t="shared" si="174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0.36153610293465083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0.57715013525356074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0.77332955139272885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1.3619273780340415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0.97271575724027726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1.211815149739529E-4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0</v>
      </c>
      <c r="M1558" s="1" cm="1">
        <f t="array" ref="M1558">SUMPRODUCT(("TFLGV-ICEGSL"=[1]OUT_TransportEnergyCons!$A$3:$A$1000)*1,("Var_Fin"=[1]OUT_TransportEnergyCons!$B$3:$B$1000)*1,ISNUMBER(SEARCH("gsl",[1]OUT_TransportEnergyCons!$C$3:$C$1000))*1,[1]OUT_TransportEnergyCons!K$3:K$1000)</f>
        <v>0</v>
      </c>
      <c r="N1558" s="1" cm="1">
        <f t="array" ref="N1558">SUMPRODUCT(("TFLGV-ICEGSL"=[1]OUT_TransportEnergyCons!$A$3:$A$1000)*1,("Var_Fin"=[1]OUT_TransportEnergyCons!$B$3:$B$1000)*1,ISNUMBER(SEARCH("gsl",[1]OUT_TransportEnergyCons!$C$3:$C$1000))*1,[1]OUT_TransportEnergyCons!L$3:L$1000)</f>
        <v>0</v>
      </c>
      <c r="O1558" s="1" cm="1">
        <f t="array" ref="O1558">SUMPRODUCT(("TFLGV-ICEGSL"=[1]OUT_TransportEnergyCons!$A$3:$A$1000)*1,("Var_Fin"=[1]OUT_TransportEnergyCons!$B$3:$B$1000)*1,ISNUMBER(SEARCH("gsl",[1]OUT_TransportEnergyCons!$C$3:$C$1000))*1,[1]OUT_TransportEnergyCons!M$3:M$1000)</f>
        <v>0</v>
      </c>
      <c r="P1558" s="1" cm="1">
        <f t="array" ref="P1558">SUMPRODUCT(("TFLGV-ICEGSL"=[1]OUT_TransportEnergyCons!$A$3:$A$1000)*1,("Var_Fin"=[1]OUT_TransportEnergyCons!$B$3:$B$1000)*1,ISNUMBER(SEARCH("gsl",[1]OUT_TransportEnergyCons!$C$3:$C$1000))*1,[1]OUT_TransportEnergyCons!N$3:N$1000)</f>
        <v>0</v>
      </c>
      <c r="Q1558" s="1" cm="1">
        <f t="array" ref="Q1558">SUMPRODUCT(("TFLGV-ICEGSL"=[1]OUT_TransportEnergyCons!$A$3:$A$1000)*1,("Var_Fin"=[1]OUT_TransportEnergyCons!$B$3:$B$1000)*1,ISNUMBER(SEARCH("gsl",[1]OUT_TransportEnergyCons!$C$3:$C$1000))*1,[1]OUT_TransportEnergyCons!O$3:O$1000)</f>
        <v>0</v>
      </c>
      <c r="S1558" s="3"/>
    </row>
    <row r="1559" spans="2:19" x14ac:dyDescent="0.5">
      <c r="B1559" t="str">
        <f t="shared" si="1740"/>
        <v>SPS1</v>
      </c>
      <c r="C1559" t="str">
        <f t="shared" si="1741"/>
        <v>CH</v>
      </c>
      <c r="D1559" t="s">
        <v>1546</v>
      </c>
      <c r="E1559" t="str">
        <f t="shared" si="1744"/>
        <v>PJ/yr.</v>
      </c>
      <c r="F1559" s="1">
        <f>SUM(F1564:F1566)</f>
        <v>15.526407159067318</v>
      </c>
      <c r="G1559" s="1">
        <f t="shared" ref="G1559:K1559" si="1752">SUM(G1564:G1566)</f>
        <v>13.471239864376043</v>
      </c>
      <c r="H1559" s="1">
        <f t="shared" si="1752"/>
        <v>12.5109223244856</v>
      </c>
      <c r="I1559" s="1">
        <f t="shared" si="1752"/>
        <v>8.0055296946599483</v>
      </c>
      <c r="J1559" s="1">
        <f t="shared" si="1752"/>
        <v>2.7581526965877949</v>
      </c>
      <c r="K1559" s="1">
        <f t="shared" si="1752"/>
        <v>2.283401657453203E-4</v>
      </c>
      <c r="L1559" s="1">
        <f t="shared" ref="L1559:O1559" si="1753">SUM(L1564:L1566)</f>
        <v>0</v>
      </c>
      <c r="M1559" s="1">
        <f t="shared" si="1753"/>
        <v>0</v>
      </c>
      <c r="N1559" s="1">
        <f t="shared" si="1753"/>
        <v>0</v>
      </c>
      <c r="O1559" s="1">
        <f t="shared" si="1753"/>
        <v>0</v>
      </c>
      <c r="P1559" s="1">
        <f>SUM(P1564:P1566)</f>
        <v>0</v>
      </c>
      <c r="Q1559" s="1">
        <f>SUM(Q1564:Q1566)</f>
        <v>0</v>
      </c>
      <c r="S1559" s="3"/>
    </row>
    <row r="1560" spans="2:19" x14ac:dyDescent="0.5">
      <c r="B1560" t="str">
        <f t="shared" si="1740"/>
        <v>SPS1</v>
      </c>
      <c r="C1560" t="str">
        <f t="shared" si="1741"/>
        <v>CH</v>
      </c>
      <c r="D1560" t="s">
        <v>1547</v>
      </c>
      <c r="E1560" t="str">
        <f t="shared" si="1744"/>
        <v>PJ/yr.</v>
      </c>
      <c r="F1560" s="1">
        <f>IF(F1559-F1561&lt;0,0,F1559-F1561)</f>
        <v>15.141140767192415</v>
      </c>
      <c r="G1560" s="1">
        <f t="shared" ref="G1560:K1560" si="1754">IF(G1559-G1561&lt;0,0,G1559-G1561)</f>
        <v>13.11750961288695</v>
      </c>
      <c r="H1560" s="1">
        <f t="shared" si="1754"/>
        <v>11.949525386909979</v>
      </c>
      <c r="I1560" s="1">
        <f t="shared" si="1754"/>
        <v>7.6342895091161731</v>
      </c>
      <c r="J1560" s="1">
        <f t="shared" si="1754"/>
        <v>2.5483186749100941</v>
      </c>
      <c r="K1560" s="1">
        <f t="shared" si="1754"/>
        <v>2.031272801279675E-4</v>
      </c>
      <c r="L1560" s="1">
        <f t="shared" ref="L1560:O1560" si="1755">IF(L1559-L1561&lt;0,0,L1559-L1561)</f>
        <v>0</v>
      </c>
      <c r="M1560" s="1">
        <f t="shared" si="1755"/>
        <v>0</v>
      </c>
      <c r="N1560" s="1">
        <f t="shared" si="1755"/>
        <v>0</v>
      </c>
      <c r="O1560" s="1">
        <f t="shared" si="1755"/>
        <v>0</v>
      </c>
      <c r="P1560" s="1">
        <f>IF(P1559-P1561&lt;0,0,P1559-P1561)</f>
        <v>0</v>
      </c>
      <c r="Q1560" s="1">
        <f>IF(Q1559-Q1561&lt;0,0,Q1559-Q1561)</f>
        <v>0</v>
      </c>
      <c r="S1560" s="3"/>
    </row>
    <row r="1561" spans="2:19" x14ac:dyDescent="0.5">
      <c r="B1561" t="str">
        <f t="shared" si="1740"/>
        <v>SPS1</v>
      </c>
      <c r="C1561" t="str">
        <f t="shared" si="1741"/>
        <v>CH</v>
      </c>
      <c r="D1561" t="s">
        <v>1548</v>
      </c>
      <c r="E1561" t="str">
        <f t="shared" si="1744"/>
        <v>PJ/yr.</v>
      </c>
      <c r="F1561" s="1">
        <f>SUM(F1562:F1563)</f>
        <v>0.38526639187490413</v>
      </c>
      <c r="G1561" s="1">
        <f t="shared" ref="G1561:K1561" si="1756">SUM(G1562:G1563)</f>
        <v>0.35373025148909243</v>
      </c>
      <c r="H1561" s="1">
        <f t="shared" si="1756"/>
        <v>0.56139693757562004</v>
      </c>
      <c r="I1561" s="1">
        <f t="shared" si="1756"/>
        <v>0.37124018554377503</v>
      </c>
      <c r="J1561" s="1">
        <f t="shared" si="1756"/>
        <v>0.20983402167770082</v>
      </c>
      <c r="K1561" s="1">
        <f t="shared" si="1756"/>
        <v>2.5212885617352797E-5</v>
      </c>
      <c r="L1561" s="1">
        <f t="shared" ref="L1561:O1561" si="1757">SUM(L1562:L1563)</f>
        <v>0</v>
      </c>
      <c r="M1561" s="1">
        <f t="shared" si="1757"/>
        <v>0</v>
      </c>
      <c r="N1561" s="1">
        <f t="shared" si="1757"/>
        <v>0</v>
      </c>
      <c r="O1561" s="1">
        <f t="shared" si="1757"/>
        <v>0</v>
      </c>
      <c r="P1561" s="1">
        <f>SUM(P1562:P1563)</f>
        <v>0</v>
      </c>
      <c r="Q1561" s="1">
        <f>SUM(Q1562:Q1563)</f>
        <v>0</v>
      </c>
      <c r="S1561" s="3"/>
    </row>
    <row r="1562" spans="2:19" x14ac:dyDescent="0.5">
      <c r="B1562" t="str">
        <f t="shared" si="1740"/>
        <v>SPS1</v>
      </c>
      <c r="C1562" t="str">
        <f t="shared" si="1741"/>
        <v>CH</v>
      </c>
      <c r="D1562" t="s">
        <v>1549</v>
      </c>
      <c r="E1562" t="str">
        <f t="shared" si="1744"/>
        <v>PJ/yr.</v>
      </c>
      <c r="F1562" s="1">
        <f>[1]Transport!B$26/SUM([1]Transport!B$22,[1]Transport!B$26)*F1559*(F$34+F$582)/(F$34+F$582+F$38)</f>
        <v>0.38526639187490413</v>
      </c>
      <c r="G1562" s="1">
        <f>[1]Transport!C$26/SUM([1]Transport!C$22,[1]Transport!C$26)*G1559*(G$34+G$582)/(G$34+G$582+G$38)</f>
        <v>0.35373025148909243</v>
      </c>
      <c r="H1562" s="1">
        <f>[1]Transport!D$26/SUM([1]Transport!D$22,[1]Transport!D$26)*H1559*(H$34+H$582)/(H$34+H$582+H$38)</f>
        <v>0.56139693757562004</v>
      </c>
      <c r="I1562" s="1">
        <f>[1]Transport!E$26/SUM([1]Transport!E$22,[1]Transport!E$26)*I1559*(I$34+I$582)/(I$34+I$582+I$38)</f>
        <v>0.37124018554377503</v>
      </c>
      <c r="J1562" s="1">
        <f>[1]Transport!F$26/SUM([1]Transport!F$22,[1]Transport!F$26)*J1559*(J$34+J$582)/(J$34+J$582+J$38)</f>
        <v>0.20983402167770082</v>
      </c>
      <c r="K1562" s="1">
        <f>[1]Transport!G$26/SUM([1]Transport!G$22,[1]Transport!G$26)*K1559*(K$34+K$582)/(K$34+K$582+K$38)</f>
        <v>2.5190397600218863E-5</v>
      </c>
      <c r="L1562" s="1">
        <f>[1]Transport!H$26/SUM([1]Transport!H$22,[1]Transport!H$26)*L1559*(L$34+L$582)/(L$34+L$582+L$38)</f>
        <v>0</v>
      </c>
      <c r="M1562" s="1">
        <f>[1]Transport!I$26/SUM([1]Transport!I$22,[1]Transport!I$26)*M1559*(M$34+M$582)/(M$34+M$582+M$38)</f>
        <v>0</v>
      </c>
      <c r="N1562" s="1">
        <f>[1]Transport!J$26/SUM([1]Transport!J$22,[1]Transport!J$26)*N1559*(N$34+N$582)/(N$34+N$582+N$38)</f>
        <v>0</v>
      </c>
      <c r="O1562" s="1">
        <f>[1]Transport!K$26/SUM([1]Transport!K$22,[1]Transport!K$26)*O1559*(O$34+O$582)/(O$34+O$582+O$38)</f>
        <v>0</v>
      </c>
      <c r="P1562" s="1">
        <f>[1]Transport!L$26/SUM([1]Transport!L$22,[1]Transport!L$26)*P1559*(P$34+P$582)/(P$34+P$582+P$38)</f>
        <v>0</v>
      </c>
      <c r="Q1562" s="1">
        <f>[1]Transport!M$26/SUM([1]Transport!M$22,[1]Transport!M$26)*Q1559*(Q$34+Q$582)/(Q$34+Q$582+Q$38)</f>
        <v>0</v>
      </c>
      <c r="S1562" s="3"/>
    </row>
    <row r="1563" spans="2:19" x14ac:dyDescent="0.5">
      <c r="B1563" t="str">
        <f t="shared" si="1740"/>
        <v>SPS1</v>
      </c>
      <c r="C1563" t="str">
        <f t="shared" si="1741"/>
        <v>CH</v>
      </c>
      <c r="D1563" t="s">
        <v>1550</v>
      </c>
      <c r="E1563" t="str">
        <f t="shared" si="174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0</v>
      </c>
      <c r="K1563" s="1">
        <f>(K$38+K$718)/([1]Transport!G$22+[1]Transport!G$26)*K1559</f>
        <v>2.2488017133935286E-8</v>
      </c>
      <c r="L1563" s="1">
        <f>(L$38+L$718)/([1]Transport!H$22+[1]Transport!H$26)*L1559</f>
        <v>0</v>
      </c>
      <c r="M1563" s="1">
        <f>(M$38+M$718)/([1]Transport!I$22+[1]Transport!I$26)*M1559</f>
        <v>0</v>
      </c>
      <c r="N1563" s="1">
        <f>(N$38+N$718)/([1]Transport!J$22+[1]Transport!J$26)*N1559</f>
        <v>0</v>
      </c>
      <c r="O1563" s="1">
        <f>(O$38+O$718)/([1]Transport!K$22+[1]Transport!K$26)*O1559</f>
        <v>0</v>
      </c>
      <c r="P1563" s="1">
        <f>(P$38+P$718)/([1]Transport!L$22+[1]Transport!L$26)*P1559</f>
        <v>0</v>
      </c>
      <c r="Q1563" s="1">
        <f>(Q$38+Q$718)/([1]Transport!M$22+[1]Transport!M$26)*Q1559</f>
        <v>0</v>
      </c>
      <c r="S1563" s="3"/>
    </row>
    <row r="1564" spans="2:19" x14ac:dyDescent="0.5">
      <c r="B1564" t="str">
        <f t="shared" si="1740"/>
        <v>SPS1</v>
      </c>
      <c r="C1564" t="str">
        <f t="shared" si="1741"/>
        <v>CH</v>
      </c>
      <c r="D1564" t="s">
        <v>1551</v>
      </c>
      <c r="E1564" t="str">
        <f t="shared" si="174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11.0794327909554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7.7913711140380997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5.4514614443920593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2.7254081713233957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M1564" s="1" cm="1">
        <f t="array" ref="M1564">SUMPRODUCT(("TFLGV-ICEdslExt"=[1]OUT_TransportEnergyCons!$A$3:$A$1000)*1,("Var_Fin"=[1]OUT_TransportEnergyCons!$B$3:$B$1000)*1,ISNUMBER(SEARCH("dsl",[1]OUT_TransportEnergyCons!$C$3:$C$1000))*1,[1]OUT_TransportEnergyCons!K$3:K$1000)</f>
        <v>0</v>
      </c>
      <c r="N1564" s="1" cm="1">
        <f t="array" ref="N1564">SUMPRODUCT(("TFLGV-ICEdslExt"=[1]OUT_TransportEnergyCons!$A$3:$A$1000)*1,("Var_Fin"=[1]OUT_TransportEnergyCons!$B$3:$B$1000)*1,ISNUMBER(SEARCH("dsl",[1]OUT_TransportEnergyCons!$C$3:$C$1000))*1,[1]OUT_TransportEnergyCons!L$3:L$1000)</f>
        <v>0</v>
      </c>
      <c r="O1564" s="1" cm="1">
        <f t="array" ref="O1564">SUMPRODUCT(("TFLGV-ICEdslExt"=[1]OUT_TransportEnergyCons!$A$3:$A$1000)*1,("Var_Fin"=[1]OUT_TransportEnergyCons!$B$3:$B$1000)*1,ISNUMBER(SEARCH("dsl",[1]OUT_TransportEnergyCons!$C$3:$C$1000))*1,[1]OUT_TransportEnergyCons!M$3:M$1000)</f>
        <v>0</v>
      </c>
      <c r="P1564" s="1" cm="1">
        <f t="array" ref="P1564">SUMPRODUCT(("TFLGV-ICEdslExt"=[1]OUT_TransportEnergyCons!$A$3:$A$1000)*1,("Var_Fin"=[1]OUT_TransportEnergyCons!$B$3:$B$1000)*1,ISNUMBER(SEARCH("dsl",[1]OUT_TransportEnergyCons!$C$3:$C$1000))*1,[1]OUT_TransportEnergyCons!N$3:N$1000)</f>
        <v>0</v>
      </c>
      <c r="Q1564" s="1" cm="1">
        <f t="array" ref="Q1564">SUMPRODUCT(("TFLGV-ICEdslExt"=[1]OUT_TransportEnergyCons!$A$3:$A$1000)*1,("Var_Fin"=[1]OUT_TransportEnergyCons!$B$3:$B$1000)*1,ISNUMBER(SEARCH("dsl",[1]OUT_TransportEnergyCons!$C$3:$C$1000))*1,[1]OUT_TransportEnergyCons!O$3:O$1000)</f>
        <v>0</v>
      </c>
      <c r="S1564" s="3"/>
    </row>
    <row r="1565" spans="2:19" x14ac:dyDescent="0.5">
      <c r="B1565" t="str">
        <f t="shared" si="1740"/>
        <v>SPS1</v>
      </c>
      <c r="C1565" t="str">
        <f t="shared" si="1741"/>
        <v>CH</v>
      </c>
      <c r="D1565" t="s">
        <v>1552</v>
      </c>
      <c r="E1565" t="str">
        <f t="shared" si="174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4.4469743681119196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5.2485183633326526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5.0970142306263657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2.0849225400871068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2.6334990820627209E-3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1.2466911627874796E-4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</v>
      </c>
      <c r="M1565" s="1" cm="1">
        <f t="array" ref="M1565">SUMPRODUCT(("TFLGV-ICEdsl"=[1]OUT_TransportEnergyCons!$A$3:$A$1000)*1,("Var_Fin"=[1]OUT_TransportEnergyCons!$B$3:$B$1000)*1,ISNUMBER(SEARCH("dsl",[1]OUT_TransportEnergyCons!$C$3:$C$1000))*1,[1]OUT_TransportEnergyCons!K$3:K$1000)</f>
        <v>0</v>
      </c>
      <c r="N1565" s="1" cm="1">
        <f t="array" ref="N1565">SUMPRODUCT(("TFLGV-ICEdsl"=[1]OUT_TransportEnergyCons!$A$3:$A$1000)*1,("Var_Fin"=[1]OUT_TransportEnergyCons!$B$3:$B$1000)*1,ISNUMBER(SEARCH("dsl",[1]OUT_TransportEnergyCons!$C$3:$C$1000))*1,[1]OUT_TransportEnergyCons!L$3:L$1000)</f>
        <v>0</v>
      </c>
      <c r="O1565" s="1" cm="1">
        <f t="array" ref="O1565">SUMPRODUCT(("TFLGV-ICEdsl"=[1]OUT_TransportEnergyCons!$A$3:$A$1000)*1,("Var_Fin"=[1]OUT_TransportEnergyCons!$B$3:$B$1000)*1,ISNUMBER(SEARCH("dsl",[1]OUT_TransportEnergyCons!$C$3:$C$1000))*1,[1]OUT_TransportEnergyCons!M$3:M$1000)</f>
        <v>0</v>
      </c>
      <c r="P1565" s="1" cm="1">
        <f t="array" ref="P1565">SUMPRODUCT(("TFLGV-ICEdsl"=[1]OUT_TransportEnergyCons!$A$3:$A$1000)*1,("Var_Fin"=[1]OUT_TransportEnergyCons!$B$3:$B$1000)*1,ISNUMBER(SEARCH("dsl",[1]OUT_TransportEnergyCons!$C$3:$C$1000))*1,[1]OUT_TransportEnergyCons!N$3:N$1000)</f>
        <v>0</v>
      </c>
      <c r="Q1565" s="1" cm="1">
        <f t="array" ref="Q1565">SUMPRODUCT(("TFLGV-ICEdsl"=[1]OUT_TransportEnergyCons!$A$3:$A$1000)*1,("Var_Fin"=[1]OUT_TransportEnergyCons!$B$3:$B$1000)*1,ISNUMBER(SEARCH("dsl",[1]OUT_TransportEnergyCons!$C$3:$C$1000))*1,[1]OUT_TransportEnergyCons!O$3:O$1000)</f>
        <v>0</v>
      </c>
      <c r="S1565" s="3"/>
    </row>
    <row r="1566" spans="2:19" x14ac:dyDescent="0.5">
      <c r="B1566" t="str">
        <f t="shared" si="1740"/>
        <v>SPS1</v>
      </c>
      <c r="C1566" t="str">
        <f t="shared" si="1741"/>
        <v>CH</v>
      </c>
      <c r="D1566" t="s">
        <v>1553</v>
      </c>
      <c r="E1566" t="str">
        <f t="shared" si="174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0.43135038700529005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1.9624466494671748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3.1951989832494467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2.7555191975057323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1.0367104946657234E-4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0</v>
      </c>
      <c r="M1566" s="1" cm="1">
        <f t="array" ref="M1566">SUMPRODUCT(("TFLGV-HYBDSL"=[1]OUT_TransportEnergyCons!$A$3:$A$1000)*1,("Var_Fin"=[1]OUT_TransportEnergyCons!$B$3:$B$1000)*1,ISNUMBER(SEARCH("dsl",[1]OUT_TransportEnergyCons!$C$3:$C$1000))*1,[1]OUT_TransportEnergyCons!K$3:K$1000)</f>
        <v>0</v>
      </c>
      <c r="N1566" s="1" cm="1">
        <f t="array" ref="N1566">SUMPRODUCT(("TFLGV-HYBDSL"=[1]OUT_TransportEnergyCons!$A$3:$A$1000)*1,("Var_Fin"=[1]OUT_TransportEnergyCons!$B$3:$B$1000)*1,ISNUMBER(SEARCH("dsl",[1]OUT_TransportEnergyCons!$C$3:$C$1000))*1,[1]OUT_TransportEnergyCons!L$3:L$1000)</f>
        <v>0</v>
      </c>
      <c r="O1566" s="1" cm="1">
        <f t="array" ref="O1566">SUMPRODUCT(("TFLGV-HYBDSL"=[1]OUT_TransportEnergyCons!$A$3:$A$1000)*1,("Var_Fin"=[1]OUT_TransportEnergyCons!$B$3:$B$1000)*1,ISNUMBER(SEARCH("dsl",[1]OUT_TransportEnergyCons!$C$3:$C$1000))*1,[1]OUT_TransportEnergyCons!M$3:M$1000)</f>
        <v>0</v>
      </c>
      <c r="P1566" s="1" cm="1">
        <f t="array" ref="P1566">SUMPRODUCT(("TFLGV-HYBDSL"=[1]OUT_TransportEnergyCons!$A$3:$A$1000)*1,("Var_Fin"=[1]OUT_TransportEnergyCons!$B$3:$B$1000)*1,ISNUMBER(SEARCH("dsl",[1]OUT_TransportEnergyCons!$C$3:$C$1000))*1,[1]OUT_TransportEnergyCons!N$3:N$1000)</f>
        <v>0</v>
      </c>
      <c r="Q1566" s="1" cm="1">
        <f t="array" ref="Q1566">SUMPRODUCT(("TFLGV-HYBDSL"=[1]OUT_TransportEnergyCons!$A$3:$A$1000)*1,("Var_Fin"=[1]OUT_TransportEnergyCons!$B$3:$B$1000)*1,ISNUMBER(SEARCH("dsl",[1]OUT_TransportEnergyCons!$C$3:$C$1000))*1,[1]OUT_TransportEnergyCons!O$3:O$1000)</f>
        <v>0</v>
      </c>
      <c r="S1566" s="3"/>
    </row>
    <row r="1567" spans="2:19" x14ac:dyDescent="0.5">
      <c r="B1567" t="str">
        <f t="shared" si="1740"/>
        <v>SPS1</v>
      </c>
      <c r="C1567" t="str">
        <f t="shared" si="1741"/>
        <v>CH</v>
      </c>
      <c r="D1567" t="s">
        <v>1554</v>
      </c>
      <c r="E1567" t="str">
        <f t="shared" si="1744"/>
        <v>PJ/yr.</v>
      </c>
      <c r="F1567" s="1">
        <f>F1572</f>
        <v>2.5357316968314916E-2</v>
      </c>
      <c r="G1567" s="1">
        <f t="shared" ref="G1567:K1567" si="1758">G1572</f>
        <v>2.2391662243219954E-2</v>
      </c>
      <c r="H1567" s="1">
        <f t="shared" si="1758"/>
        <v>3.1333642723147981E-2</v>
      </c>
      <c r="I1567" s="1">
        <f t="shared" si="1758"/>
        <v>0</v>
      </c>
      <c r="J1567" s="1">
        <f t="shared" si="1758"/>
        <v>0</v>
      </c>
      <c r="K1567" s="1">
        <f t="shared" si="1758"/>
        <v>0</v>
      </c>
      <c r="L1567" s="1">
        <f t="shared" ref="L1567:O1567" si="1759">L1572</f>
        <v>0</v>
      </c>
      <c r="M1567" s="1">
        <f t="shared" si="1759"/>
        <v>0</v>
      </c>
      <c r="N1567" s="1">
        <f t="shared" si="1759"/>
        <v>0</v>
      </c>
      <c r="O1567" s="1">
        <f t="shared" si="1759"/>
        <v>0</v>
      </c>
      <c r="P1567" s="1">
        <f>P1572</f>
        <v>0</v>
      </c>
      <c r="Q1567" s="1">
        <f>Q1572</f>
        <v>0</v>
      </c>
      <c r="S1567" s="3"/>
    </row>
    <row r="1568" spans="2:19" x14ac:dyDescent="0.5">
      <c r="B1568" t="str">
        <f t="shared" si="1740"/>
        <v>SPS1</v>
      </c>
      <c r="C1568" t="str">
        <f t="shared" si="1741"/>
        <v>CH</v>
      </c>
      <c r="D1568" t="s">
        <v>1555</v>
      </c>
      <c r="E1568" t="str">
        <f t="shared" si="1744"/>
        <v>PJ/yr.</v>
      </c>
      <c r="F1568" s="1">
        <f>IF(F1567-F1569&lt;0,0,F1567-F1569)</f>
        <v>2.3429239292537356E-2</v>
      </c>
      <c r="G1568" s="1">
        <f t="shared" ref="G1568:K1568" si="1760">IF(G1567-G1569&lt;0,0,G1567-G1569)</f>
        <v>1.9605955505802335E-2</v>
      </c>
      <c r="H1568" s="1">
        <f t="shared" si="1760"/>
        <v>3.0954121977012517E-2</v>
      </c>
      <c r="I1568" s="1">
        <f t="shared" si="1760"/>
        <v>0</v>
      </c>
      <c r="J1568" s="1">
        <f t="shared" si="1760"/>
        <v>0</v>
      </c>
      <c r="K1568" s="1">
        <f t="shared" si="1760"/>
        <v>0</v>
      </c>
      <c r="L1568" s="1">
        <f t="shared" ref="L1568:O1568" si="1761">IF(L1567-L1569&lt;0,0,L1567-L1569)</f>
        <v>0</v>
      </c>
      <c r="M1568" s="1">
        <f t="shared" si="1761"/>
        <v>0</v>
      </c>
      <c r="N1568" s="1">
        <f t="shared" si="1761"/>
        <v>0</v>
      </c>
      <c r="O1568" s="1">
        <f t="shared" si="1761"/>
        <v>0</v>
      </c>
      <c r="P1568" s="1">
        <f>IF(P1567-P1569&lt;0,0,P1567-P1569)</f>
        <v>0</v>
      </c>
      <c r="Q1568" s="1">
        <f>IF(Q1567-Q1569&lt;0,0,Q1567-Q1569)</f>
        <v>0</v>
      </c>
      <c r="S1568" s="3"/>
    </row>
    <row r="1569" spans="2:19" x14ac:dyDescent="0.5">
      <c r="B1569" t="str">
        <f t="shared" si="1740"/>
        <v>SPS1</v>
      </c>
      <c r="C1569" t="str">
        <f t="shared" si="1741"/>
        <v>CH</v>
      </c>
      <c r="D1569" t="s">
        <v>1556</v>
      </c>
      <c r="E1569" t="str">
        <f t="shared" si="1744"/>
        <v>PJ/yr.</v>
      </c>
      <c r="F1569" s="1">
        <f>SUM(F1570:F1571)</f>
        <v>1.92807767577756E-3</v>
      </c>
      <c r="G1569" s="1">
        <f t="shared" ref="G1569:K1569" si="1762">SUM(G1570:G1571)</f>
        <v>2.7857067374176198E-3</v>
      </c>
      <c r="H1569" s="1">
        <f t="shared" si="1762"/>
        <v>3.7952074613546277E-4</v>
      </c>
      <c r="I1569" s="1">
        <f t="shared" si="1762"/>
        <v>0</v>
      </c>
      <c r="J1569" s="1">
        <f t="shared" si="1762"/>
        <v>0</v>
      </c>
      <c r="K1569" s="1">
        <f t="shared" si="1762"/>
        <v>0</v>
      </c>
      <c r="L1569" s="1">
        <f t="shared" ref="L1569:O1569" si="1763">SUM(L1570:L1571)</f>
        <v>0</v>
      </c>
      <c r="M1569" s="1">
        <f t="shared" si="1763"/>
        <v>0</v>
      </c>
      <c r="N1569" s="1">
        <f t="shared" si="1763"/>
        <v>0</v>
      </c>
      <c r="O1569" s="1">
        <f t="shared" si="1763"/>
        <v>0</v>
      </c>
      <c r="P1569" s="1">
        <f>SUM(P1570:P1571)</f>
        <v>0</v>
      </c>
      <c r="Q1569" s="1">
        <f>SUM(Q1570:Q1571)</f>
        <v>0</v>
      </c>
      <c r="S1569" s="3"/>
    </row>
    <row r="1570" spans="2:19" x14ac:dyDescent="0.5">
      <c r="B1570" t="str">
        <f t="shared" si="1740"/>
        <v>SPS1</v>
      </c>
      <c r="C1570" t="str">
        <f t="shared" si="1741"/>
        <v>CH</v>
      </c>
      <c r="D1570" t="s">
        <v>1557</v>
      </c>
      <c r="E1570" t="str">
        <f t="shared" si="1744"/>
        <v>PJ/yr.</v>
      </c>
      <c r="F1570" s="1">
        <f>IF(SUM([1]Transport!B$24,[1]Transport!B$27)=0,0,[1]Transport!B$27/SUM([1]Transport!B$24,[1]Transport!B$27)*F1567*(F$47+F$614)/(F$47+F$614+F$49))</f>
        <v>1.92807767577756E-3</v>
      </c>
      <c r="G1570" s="1">
        <f>IF(SUM([1]Transport!C$24,[1]Transport!C$27)=0,0,[1]Transport!C$27/SUM([1]Transport!C$24,[1]Transport!C$27)*G1567*(G$47+G$614)/(G$47+G$614+G$49))</f>
        <v>2.7857067374176198E-3</v>
      </c>
      <c r="H1570" s="1">
        <f>IF(SUM([1]Transport!D$24,[1]Transport!D$27)=0,0,[1]Transport!D$27/SUM([1]Transport!D$24,[1]Transport!D$27)*H1567*(H$47+H$614)/(H$47+H$614+H$49))</f>
        <v>3.7952074613546277E-4</v>
      </c>
      <c r="I1570" s="1">
        <f>IF(SUM([1]Transport!E$24,[1]Transport!E$27)=0,0,[1]Transport!E$27/SUM([1]Transport!E$24,[1]Transport!E$27)*I1567*(I$47+I$614)/(I$47+I$614+I$49))</f>
        <v>0</v>
      </c>
      <c r="J1570" s="1">
        <f>IF(SUM([1]Transport!F$24,[1]Transport!F$27)=0,0,[1]Transport!F$27/SUM([1]Transport!F$24,[1]Transport!F$27)*J1567*(J$47+J$614)/(J$47+J$614+J$49))</f>
        <v>0</v>
      </c>
      <c r="K1570" s="1">
        <f>IF(SUM([1]Transport!G$24,[1]Transport!G$27)=0,0,[1]Transport!G$27/SUM([1]Transport!G$24,[1]Transport!G$27)*K1567*(K$47+K$614)/(K$47+K$614+K$49))</f>
        <v>0</v>
      </c>
      <c r="L1570" s="1">
        <f>IF(SUM([1]Transport!H$24,[1]Transport!H$27)=0,0,[1]Transport!H$27/SUM([1]Transport!H$24,[1]Transport!H$27)*L1567*(L$47+L$614)/(L$47+L$614+L$49))</f>
        <v>0</v>
      </c>
      <c r="M1570" s="1">
        <f>IF(SUM([1]Transport!I$24,[1]Transport!I$27)=0,0,[1]Transport!I$27/SUM([1]Transport!I$24,[1]Transport!I$27)*M1567*(M$47+M$614)/(M$47+M$614+M$49))</f>
        <v>0</v>
      </c>
      <c r="N1570" s="1">
        <f>IF(SUM([1]Transport!J$24,[1]Transport!J$27)=0,0,[1]Transport!J$27/SUM([1]Transport!J$24,[1]Transport!J$27)*N1567*(N$47+N$614)/(N$47+N$614+N$49))</f>
        <v>0</v>
      </c>
      <c r="O1570" s="1">
        <f>IF(SUM([1]Transport!K$24,[1]Transport!K$27)=0,0,[1]Transport!K$27/SUM([1]Transport!K$24,[1]Transport!K$27)*O1567*(O$47+O$614)/(O$47+O$614+O$49))</f>
        <v>0</v>
      </c>
      <c r="P1570" s="1">
        <f>IF(SUM([1]Transport!L$24,[1]Transport!L$27)=0,0,[1]Transport!L$27/SUM([1]Transport!L$24,[1]Transport!L$27)*P1567*(P$47+P$614)/(P$47+P$614+P$49))</f>
        <v>0</v>
      </c>
      <c r="Q1570" s="1">
        <f>IF(SUM([1]Transport!M$24,[1]Transport!M$27)=0,0,[1]Transport!M$27/SUM([1]Transport!M$24,[1]Transport!M$27)*Q1567*(Q$47+Q$614)/(Q$47+Q$614+Q$49))</f>
        <v>0</v>
      </c>
      <c r="S1570" s="3"/>
    </row>
    <row r="1571" spans="2:19" x14ac:dyDescent="0.5">
      <c r="B1571" t="str">
        <f t="shared" si="1740"/>
        <v>SPS1</v>
      </c>
      <c r="C1571" t="str">
        <f t="shared" si="1741"/>
        <v>CH</v>
      </c>
      <c r="D1571" t="s">
        <v>1558</v>
      </c>
      <c r="E1571" t="str">
        <f t="shared" si="1744"/>
        <v>PJ/yr.</v>
      </c>
      <c r="F1571" s="1">
        <f>IF(([1]Transport!B$24+[1]Transport!B$27)=0,0,(F$49+F$716)/([1]Transport!B$24+[1]Transport!B$27)*F1567)</f>
        <v>0</v>
      </c>
      <c r="G1571" s="1">
        <f>IF(([1]Transport!C$24+[1]Transport!C$27)=0,0,(G$49+G$716)/([1]Transport!C$24+[1]Transport!C$27)*G1567)</f>
        <v>0</v>
      </c>
      <c r="H1571" s="1">
        <f>IF(([1]Transport!D$24+[1]Transport!D$27)=0,0,(H$49+H$716)/([1]Transport!D$24+[1]Transport!D$27)*H1567)</f>
        <v>0</v>
      </c>
      <c r="I1571" s="1">
        <f>IF(([1]Transport!E$24+[1]Transport!E$27)=0,0,(I$49+I$716)/([1]Transport!E$24+[1]Transport!E$27)*I1567)</f>
        <v>0</v>
      </c>
      <c r="J1571" s="1">
        <f>IF(([1]Transport!F$24+[1]Transport!F$27)=0,0,(J$49+J$716)/([1]Transport!F$24+[1]Transport!F$27)*J1567)</f>
        <v>0</v>
      </c>
      <c r="K1571" s="1">
        <f>IF(([1]Transport!G$24+[1]Transport!G$27)=0,0,(K$49+K$716)/([1]Transport!G$24+[1]Transport!G$27)*K1567)</f>
        <v>0</v>
      </c>
      <c r="L1571" s="1">
        <f>IF(([1]Transport!H$24+[1]Transport!H$27)=0,0,(L$49+L$716)/([1]Transport!H$24+[1]Transport!H$27)*L1567)</f>
        <v>0</v>
      </c>
      <c r="M1571" s="1">
        <f>IF(([1]Transport!I$24+[1]Transport!I$27)=0,0,(M$49+M$716)/([1]Transport!I$24+[1]Transport!I$27)*M1567)</f>
        <v>0</v>
      </c>
      <c r="N1571" s="1">
        <f>IF(([1]Transport!J$24+[1]Transport!J$27)=0,0,(N$49+N$716)/([1]Transport!J$24+[1]Transport!J$27)*N1567)</f>
        <v>0</v>
      </c>
      <c r="O1571" s="1">
        <f>IF(([1]Transport!K$24+[1]Transport!K$27)=0,0,(O$49+O$716)/([1]Transport!K$24+[1]Transport!K$27)*O1567)</f>
        <v>0</v>
      </c>
      <c r="P1571" s="1">
        <f>IF(([1]Transport!L$24+[1]Transport!L$27)=0,0,(P$49+P$716)/([1]Transport!L$24+[1]Transport!L$27)*P1567)</f>
        <v>0</v>
      </c>
      <c r="Q1571" s="1">
        <f>IF(([1]Transport!M$24+[1]Transport!M$27)=0,0,(Q$49+Q$716)/([1]Transport!M$24+[1]Transport!M$27)*Q1567)</f>
        <v>0</v>
      </c>
      <c r="S1571" s="3"/>
    </row>
    <row r="1572" spans="2:19" x14ac:dyDescent="0.5">
      <c r="B1572" t="str">
        <f t="shared" si="1740"/>
        <v>SPS1</v>
      </c>
      <c r="C1572" t="str">
        <f t="shared" si="1741"/>
        <v>CH</v>
      </c>
      <c r="D1572" t="s">
        <v>1559</v>
      </c>
      <c r="E1572" t="str">
        <f t="shared" si="174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2.5357316968314916E-2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2.2391662243219954E-2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3.1333642723147981E-2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0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0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0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0</v>
      </c>
      <c r="M1572" s="1" cm="1">
        <f t="array" ref="M1572">SUMPRODUCT(("TFLGV-ICENGA"=[1]OUT_TransportEnergyCons!$A$3:$A$1000)*1,("Var_Fin"=[1]OUT_TransportEnergyCons!$B$3:$B$1000)*1,ISNUMBER(SEARCH("nga",[1]OUT_TransportEnergyCons!$C$3:$C$1000))*1,[1]OUT_TransportEnergyCons!K$3:K$1000)</f>
        <v>0</v>
      </c>
      <c r="N1572" s="1" cm="1">
        <f t="array" ref="N1572">SUMPRODUCT(("TFLGV-ICENGA"=[1]OUT_TransportEnergyCons!$A$3:$A$1000)*1,("Var_Fin"=[1]OUT_TransportEnergyCons!$B$3:$B$1000)*1,ISNUMBER(SEARCH("nga",[1]OUT_TransportEnergyCons!$C$3:$C$1000))*1,[1]OUT_TransportEnergyCons!L$3:L$1000)</f>
        <v>0</v>
      </c>
      <c r="O1572" s="1" cm="1">
        <f t="array" ref="O1572">SUMPRODUCT(("TFLGV-ICENGA"=[1]OUT_TransportEnergyCons!$A$3:$A$1000)*1,("Var_Fin"=[1]OUT_TransportEnergyCons!$B$3:$B$1000)*1,ISNUMBER(SEARCH("nga",[1]OUT_TransportEnergyCons!$C$3:$C$1000))*1,[1]OUT_TransportEnergyCons!M$3:M$1000)</f>
        <v>0</v>
      </c>
      <c r="P1572" s="1" cm="1">
        <f t="array" ref="P1572">SUMPRODUCT(("TFLGV-ICENGA"=[1]OUT_TransportEnergyCons!$A$3:$A$1000)*1,("Var_Fin"=[1]OUT_TransportEnergyCons!$B$3:$B$1000)*1,ISNUMBER(SEARCH("nga",[1]OUT_TransportEnergyCons!$C$3:$C$1000))*1,[1]OUT_TransportEnergyCons!N$3:N$1000)</f>
        <v>0</v>
      </c>
      <c r="Q1572" s="1" cm="1">
        <f t="array" ref="Q1572">SUMPRODUCT(("TFLGV-ICENGA"=[1]OUT_TransportEnergyCons!$A$3:$A$1000)*1,("Var_Fin"=[1]OUT_TransportEnergyCons!$B$3:$B$1000)*1,ISNUMBER(SEARCH("nga",[1]OUT_TransportEnergyCons!$C$3:$C$1000))*1,[1]OUT_TransportEnergyCons!O$3:O$1000)</f>
        <v>0</v>
      </c>
      <c r="S1572" s="3"/>
    </row>
    <row r="1573" spans="2:19" x14ac:dyDescent="0.5">
      <c r="B1573" s="2" t="str">
        <f t="shared" si="1740"/>
        <v>SPS1</v>
      </c>
      <c r="C1573" s="2" t="str">
        <f t="shared" si="1741"/>
        <v>CH</v>
      </c>
      <c r="D1573" s="2" t="s">
        <v>1560</v>
      </c>
      <c r="E1573" s="2" t="s">
        <v>1517</v>
      </c>
      <c r="F1573" s="3">
        <f>SUM(F1574:F1582)</f>
        <v>4.7787224211316017</v>
      </c>
      <c r="G1573" s="3">
        <f t="shared" ref="G1573:K1573" si="1764">SUM(G1574:G1582)</f>
        <v>4.7700840884622853</v>
      </c>
      <c r="H1573" s="3">
        <f t="shared" si="1764"/>
        <v>4.7152537349337447</v>
      </c>
      <c r="I1573" s="3">
        <f t="shared" si="1764"/>
        <v>4.661778569873209</v>
      </c>
      <c r="J1573" s="3">
        <f t="shared" si="1764"/>
        <v>4.8439631868953459</v>
      </c>
      <c r="K1573" s="3">
        <f t="shared" si="1764"/>
        <v>5.0140139897494427</v>
      </c>
      <c r="L1573" s="3">
        <f t="shared" ref="L1573:O1573" si="1765">SUM(L1574:L1582)</f>
        <v>5.223102081818193</v>
      </c>
      <c r="M1573" s="3">
        <f t="shared" si="1765"/>
        <v>5.4321903121701025</v>
      </c>
      <c r="N1573" s="3">
        <f t="shared" si="1765"/>
        <v>5.6865674519418876</v>
      </c>
      <c r="O1573" s="3">
        <f t="shared" si="1765"/>
        <v>6.0438668130568702</v>
      </c>
      <c r="P1573" s="3">
        <f>SUM(P1574:P1582)</f>
        <v>6.4405382676537695</v>
      </c>
      <c r="Q1573" s="3">
        <f>SUM(Q1574:Q1582)</f>
        <v>6.8765701655904223</v>
      </c>
      <c r="S1573" s="3"/>
    </row>
    <row r="1574" spans="2:19" x14ac:dyDescent="0.5">
      <c r="B1574" t="str">
        <f t="shared" si="1740"/>
        <v>SPS1</v>
      </c>
      <c r="C1574" t="str">
        <f t="shared" si="174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2.7911478045089744E-2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2.4208645670911022E-2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1.8608280975855564E-2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9.2576020285963651E-3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M1574" s="1" cm="1">
        <f t="array" ref="M1574">SUMPRODUCT(("TFLGV-BeVELCExt"=[1]OUT_TransportEnergyCons!$A$3:$A$1000)*1,("var_fout"=[1]OUT_TransportEnergyCons!$B$3:$B$1000)*1,ISNUMBER(SEARCH("TFLGV",[1]OUT_TransportEnergyCons!$C$3:$C$1000))*1,[1]OUT_TransportEnergyCons!K$3:K$1000)</f>
        <v>0</v>
      </c>
      <c r="N1574" s="1" cm="1">
        <f t="array" ref="N1574">SUMPRODUCT(("TFLGV-BeVELCExt"=[1]OUT_TransportEnergyCons!$A$3:$A$1000)*1,("var_fout"=[1]OUT_TransportEnergyCons!$B$3:$B$1000)*1,ISNUMBER(SEARCH("TFLGV",[1]OUT_TransportEnergyCons!$C$3:$C$1000))*1,[1]OUT_TransportEnergyCons!L$3:L$1000)</f>
        <v>0</v>
      </c>
      <c r="O1574" s="1" cm="1">
        <f t="array" ref="O1574">SUMPRODUCT(("TFLGV-BeVELCExt"=[1]OUT_TransportEnergyCons!$A$3:$A$1000)*1,("var_fout"=[1]OUT_TransportEnergyCons!$B$3:$B$1000)*1,ISNUMBER(SEARCH("TFLGV",[1]OUT_TransportEnergyCons!$C$3:$C$1000))*1,[1]OUT_TransportEnergyCons!M$3:M$1000)</f>
        <v>0</v>
      </c>
      <c r="P1574" s="1" cm="1">
        <f t="array" ref="P1574">SUMPRODUCT(("TFLGV-BeVELCExt"=[1]OUT_TransportEnergyCons!$A$3:$A$1000)*1,("var_fout"=[1]OUT_TransportEnergyCons!$B$3:$B$1000)*1,ISNUMBER(SEARCH("TFLGV",[1]OUT_TransportEnergyCons!$C$3:$C$1000))*1,[1]OUT_TransportEnergyCons!N$3:N$1000)</f>
        <v>0</v>
      </c>
      <c r="Q1574" s="1" cm="1">
        <f t="array" ref="Q1574">SUMPRODUCT(("TFLGV-BeVELCExt"=[1]OUT_TransportEnergyCons!$A$3:$A$1000)*1,("var_fout"=[1]OUT_TransportEnergyCons!$B$3:$B$1000)*1,ISNUMBER(SEARCH("TFLGV",[1]OUT_TransportEnergyCons!$C$3:$C$1000))*1,[1]OUT_TransportEnergyCons!O$3:O$1000)</f>
        <v>0</v>
      </c>
      <c r="S1574" s="3"/>
    </row>
    <row r="1575" spans="2:19" x14ac:dyDescent="0.5">
      <c r="B1575" t="str">
        <f t="shared" si="1740"/>
        <v>SPS1</v>
      </c>
      <c r="C1575" t="str">
        <f t="shared" si="174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2.4079307112280166E-2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5.334942413580071E-2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7.947599949250482E-2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1.1450550223539779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3.231761249150038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5.0138804069145788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5.2231015460211401</v>
      </c>
      <c r="M1575" s="1" cm="1">
        <f t="array" ref="M1575">SUMPRODUCT(("TFLGV-BEVELC"=[1]OUT_TransportEnergyCons!$A$3:$A$1000)*1,("var_fout"=[1]OUT_TransportEnergyCons!$B$3:$B$1000)*1,ISNUMBER(SEARCH("TFLGV",[1]OUT_TransportEnergyCons!$C$3:$C$1000))*1,[1]OUT_TransportEnergyCons!K$3:K$1000)</f>
        <v>5.4321898054689326</v>
      </c>
      <c r="N1575" s="1" cm="1">
        <f t="array" ref="N1575">SUMPRODUCT(("TFLGV-BEVELC"=[1]OUT_TransportEnergyCons!$A$3:$A$1000)*1,("var_fout"=[1]OUT_TransportEnergyCons!$B$3:$B$1000)*1,ISNUMBER(SEARCH("TFLGV",[1]OUT_TransportEnergyCons!$C$3:$C$1000))*1,[1]OUT_TransportEnergyCons!L$3:L$1000)</f>
        <v>5.6865671082548808</v>
      </c>
      <c r="O1575" s="1" cm="1">
        <f t="array" ref="O1575">SUMPRODUCT(("TFLGV-BEVELC"=[1]OUT_TransportEnergyCons!$A$3:$A$1000)*1,("var_fout"=[1]OUT_TransportEnergyCons!$B$3:$B$1000)*1,ISNUMBER(SEARCH("TFLGV",[1]OUT_TransportEnergyCons!$C$3:$C$1000))*1,[1]OUT_TransportEnergyCons!M$3:M$1000)</f>
        <v>6.0438667283110128</v>
      </c>
      <c r="P1575" s="1" cm="1">
        <f t="array" ref="P1575">SUMPRODUCT(("TFLGV-BEVELC"=[1]OUT_TransportEnergyCons!$A$3:$A$1000)*1,("var_fout"=[1]OUT_TransportEnergyCons!$B$3:$B$1000)*1,ISNUMBER(SEARCH("TFLGV",[1]OUT_TransportEnergyCons!$C$3:$C$1000))*1,[1]OUT_TransportEnergyCons!N$3:N$1000)</f>
        <v>6.4405379893924399</v>
      </c>
      <c r="Q1575" s="1" cm="1">
        <f t="array" ref="Q1575">SUMPRODUCT(("TFLGV-BEVELC"=[1]OUT_TransportEnergyCons!$A$3:$A$1000)*1,("var_fout"=[1]OUT_TransportEnergyCons!$B$3:$B$1000)*1,ISNUMBER(SEARCH("TFLGV",[1]OUT_TransportEnergyCons!$C$3:$C$1000))*1,[1]OUT_TransportEnergyCons!O$3:O$1000)</f>
        <v>6.8765686033018039</v>
      </c>
      <c r="S1575" s="3"/>
    </row>
    <row r="1576" spans="2:19" x14ac:dyDescent="0.5">
      <c r="B1576" t="str">
        <f t="shared" si="1740"/>
        <v>SPS1</v>
      </c>
      <c r="C1576" t="str">
        <f t="shared" si="174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2.3647360999178056E-5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3.1944669519904765E-5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5.2854420181212401E-7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4.5420852302072163E-7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6.009244136499778E-7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5.3579705275602425E-7</v>
      </c>
      <c r="M1576" s="1" cm="1">
        <f t="array" ref="M1576">SUMPRODUCT(("TFLGV-FCLH2O"=[1]OUT_TransportEnergyCons!$A$3:$A$1000)*1,("var_fout"=[1]OUT_TransportEnergyCons!$B$3:$B$1000)*1,ISNUMBER(SEARCH("TFLGV",[1]OUT_TransportEnergyCons!$C$3:$C$1000))*1,[1]OUT_TransportEnergyCons!K$3:K$1000)</f>
        <v>5.0670116968233211E-7</v>
      </c>
      <c r="N1576" s="1" cm="1">
        <f t="array" ref="N1576">SUMPRODUCT(("TFLGV-FCLH2O"=[1]OUT_TransportEnergyCons!$A$3:$A$1000)*1,("var_fout"=[1]OUT_TransportEnergyCons!$B$3:$B$1000)*1,ISNUMBER(SEARCH("TFLGV",[1]OUT_TransportEnergyCons!$C$3:$C$1000))*1,[1]OUT_TransportEnergyCons!L$3:L$1000)</f>
        <v>3.4368700676247287E-7</v>
      </c>
      <c r="O1576" s="1" cm="1">
        <f t="array" ref="O1576">SUMPRODUCT(("TFLGV-FCLH2O"=[1]OUT_TransportEnergyCons!$A$3:$A$1000)*1,("var_fout"=[1]OUT_TransportEnergyCons!$B$3:$B$1000)*1,ISNUMBER(SEARCH("TFLGV",[1]OUT_TransportEnergyCons!$C$3:$C$1000))*1,[1]OUT_TransportEnergyCons!M$3:M$1000)</f>
        <v>8.4745857102323109E-8</v>
      </c>
      <c r="P1576" s="1" cm="1">
        <f t="array" ref="P1576">SUMPRODUCT(("TFLGV-FCLH2O"=[1]OUT_TransportEnergyCons!$A$3:$A$1000)*1,("var_fout"=[1]OUT_TransportEnergyCons!$B$3:$B$1000)*1,ISNUMBER(SEARCH("TFLGV",[1]OUT_TransportEnergyCons!$C$3:$C$1000))*1,[1]OUT_TransportEnergyCons!N$3:N$1000)</f>
        <v>2.782613293209338E-7</v>
      </c>
      <c r="Q1576" s="1" cm="1">
        <f t="array" ref="Q1576">SUMPRODUCT(("TFLGV-FCLH2O"=[1]OUT_TransportEnergyCons!$A$3:$A$1000)*1,("var_fout"=[1]OUT_TransportEnergyCons!$B$3:$B$1000)*1,ISNUMBER(SEARCH("TFLGV",[1]OUT_TransportEnergyCons!$C$3:$C$1000))*1,[1]OUT_TransportEnergyCons!O$3:O$1000)</f>
        <v>1.5622886183868544E-6</v>
      </c>
      <c r="S1576" s="3"/>
    </row>
    <row r="1577" spans="2:19" x14ac:dyDescent="0.5">
      <c r="B1577" t="str">
        <f t="shared" si="1740"/>
        <v>SPS1</v>
      </c>
      <c r="C1577" t="str">
        <f t="shared" si="174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0.20026700597928498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0.4006651094934211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0.15404754994343445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7.696325985744043E-2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M1577" s="1" cm="1">
        <f t="array" ref="M1577">SUMPRODUCT(("TFLGV-ICEGSLExt"=[1]OUT_TransportEnergyCons!$A$3:$A$1000)*1,("var_fout"=[1]OUT_TransportEnergyCons!$B$3:$B$1000)*1,ISNUMBER(SEARCH("TFLGV",[1]OUT_TransportEnergyCons!$C$3:$C$1000))*1,[1]OUT_TransportEnergyCons!K$3:K$1000)</f>
        <v>0</v>
      </c>
      <c r="N1577" s="1" cm="1">
        <f t="array" ref="N1577">SUMPRODUCT(("TFLGV-ICEGSLExt"=[1]OUT_TransportEnergyCons!$A$3:$A$1000)*1,("var_fout"=[1]OUT_TransportEnergyCons!$B$3:$B$1000)*1,ISNUMBER(SEARCH("TFLGV",[1]OUT_TransportEnergyCons!$C$3:$C$1000))*1,[1]OUT_TransportEnergyCons!L$3:L$1000)</f>
        <v>0</v>
      </c>
      <c r="O1577" s="1" cm="1">
        <f t="array" ref="O1577">SUMPRODUCT(("TFLGV-ICEGSLExt"=[1]OUT_TransportEnergyCons!$A$3:$A$1000)*1,("var_fout"=[1]OUT_TransportEnergyCons!$B$3:$B$1000)*1,ISNUMBER(SEARCH("TFLGV",[1]OUT_TransportEnergyCons!$C$3:$C$1000))*1,[1]OUT_TransportEnergyCons!M$3:M$1000)</f>
        <v>0</v>
      </c>
      <c r="P1577" s="1" cm="1">
        <f t="array" ref="P1577">SUMPRODUCT(("TFLGV-ICEGSLExt"=[1]OUT_TransportEnergyCons!$A$3:$A$1000)*1,("var_fout"=[1]OUT_TransportEnergyCons!$B$3:$B$1000)*1,ISNUMBER(SEARCH("TFLGV",[1]OUT_TransportEnergyCons!$C$3:$C$1000))*1,[1]OUT_TransportEnergyCons!N$3:N$1000)</f>
        <v>0</v>
      </c>
      <c r="Q1577" s="1" cm="1">
        <f t="array" ref="Q1577">SUMPRODUCT(("TFLGV-ICEGSLExt"=[1]OUT_TransportEnergyCons!$A$3:$A$1000)*1,("var_fout"=[1]OUT_TransportEnergyCons!$B$3:$B$1000)*1,ISNUMBER(SEARCH("TFLGV",[1]OUT_TransportEnergyCons!$C$3:$C$1000))*1,[1]OUT_TransportEnergyCons!O$3:O$1000)</f>
        <v>0</v>
      </c>
      <c r="S1577" s="3"/>
    </row>
    <row r="1578" spans="2:19" x14ac:dyDescent="0.5">
      <c r="B1578" t="str">
        <f t="shared" si="1740"/>
        <v>SPS1</v>
      </c>
      <c r="C1578" t="str">
        <f t="shared" si="174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0.12698218521420881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0.20271221816101895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0.27161623840461224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0.47834922477183511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0.34164657815374749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4.2562536504804785E-5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</v>
      </c>
      <c r="M1578" s="1" cm="1">
        <f t="array" ref="M1578">SUMPRODUCT(("TFLGV-ICEGSL"=[1]OUT_TransportEnergyCons!$A$3:$A$1000)*1,("var_fout"=[1]OUT_TransportEnergyCons!$B$3:$B$1000)*1,ISNUMBER(SEARCH("TFLGV",[1]OUT_TransportEnergyCons!$C$3:$C$1000))*1,[1]OUT_TransportEnergyCons!K$3:K$1000)</f>
        <v>0</v>
      </c>
      <c r="N1578" s="1" cm="1">
        <f t="array" ref="N1578">SUMPRODUCT(("TFLGV-ICEGSL"=[1]OUT_TransportEnergyCons!$A$3:$A$1000)*1,("var_fout"=[1]OUT_TransportEnergyCons!$B$3:$B$1000)*1,ISNUMBER(SEARCH("TFLGV",[1]OUT_TransportEnergyCons!$C$3:$C$1000))*1,[1]OUT_TransportEnergyCons!L$3:L$1000)</f>
        <v>0</v>
      </c>
      <c r="O1578" s="1" cm="1">
        <f t="array" ref="O1578">SUMPRODUCT(("TFLGV-ICEGSL"=[1]OUT_TransportEnergyCons!$A$3:$A$1000)*1,("var_fout"=[1]OUT_TransportEnergyCons!$B$3:$B$1000)*1,ISNUMBER(SEARCH("TFLGV",[1]OUT_TransportEnergyCons!$C$3:$C$1000))*1,[1]OUT_TransportEnergyCons!M$3:M$1000)</f>
        <v>0</v>
      </c>
      <c r="P1578" s="1" cm="1">
        <f t="array" ref="P1578">SUMPRODUCT(("TFLGV-ICEGSL"=[1]OUT_TransportEnergyCons!$A$3:$A$1000)*1,("var_fout"=[1]OUT_TransportEnergyCons!$B$3:$B$1000)*1,ISNUMBER(SEARCH("TFLGV",[1]OUT_TransportEnergyCons!$C$3:$C$1000))*1,[1]OUT_TransportEnergyCons!N$3:N$1000)</f>
        <v>0</v>
      </c>
      <c r="Q1578" s="1" cm="1">
        <f t="array" ref="Q1578">SUMPRODUCT(("TFLGV-ICEGSL"=[1]OUT_TransportEnergyCons!$A$3:$A$1000)*1,("var_fout"=[1]OUT_TransportEnergyCons!$B$3:$B$1000)*1,ISNUMBER(SEARCH("TFLGV",[1]OUT_TransportEnergyCons!$C$3:$C$1000))*1,[1]OUT_TransportEnergyCons!O$3:O$1000)</f>
        <v>0</v>
      </c>
      <c r="S1578" s="3"/>
    </row>
    <row r="1579" spans="2:19" x14ac:dyDescent="0.5">
      <c r="B1579" t="str">
        <f t="shared" si="1740"/>
        <v>SPS1</v>
      </c>
      <c r="C1579" t="str">
        <f t="shared" si="174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2.8699790018299312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2.0876002078424598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1.5334345167017511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0.76662652843440549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M1579" s="1" cm="1">
        <f t="array" ref="M1579">SUMPRODUCT(("TFLGV-ICEdslExt"=[1]OUT_TransportEnergyCons!$A$3:$A$1000)*1,("var_fout"=[1]OUT_TransportEnergyCons!$B$3:$B$1000)*1,ISNUMBER(SEARCH("TFLGV",[1]OUT_TransportEnergyCons!$C$3:$C$1000))*1,[1]OUT_TransportEnergyCons!K$3:K$1000)</f>
        <v>0</v>
      </c>
      <c r="N1579" s="1" cm="1">
        <f t="array" ref="N1579">SUMPRODUCT(("TFLGV-ICEdslExt"=[1]OUT_TransportEnergyCons!$A$3:$A$1000)*1,("var_fout"=[1]OUT_TransportEnergyCons!$B$3:$B$1000)*1,ISNUMBER(SEARCH("TFLGV",[1]OUT_TransportEnergyCons!$C$3:$C$1000))*1,[1]OUT_TransportEnergyCons!L$3:L$1000)</f>
        <v>0</v>
      </c>
      <c r="O1579" s="1" cm="1">
        <f t="array" ref="O1579">SUMPRODUCT(("TFLGV-ICEdslExt"=[1]OUT_TransportEnergyCons!$A$3:$A$1000)*1,("var_fout"=[1]OUT_TransportEnergyCons!$B$3:$B$1000)*1,ISNUMBER(SEARCH("TFLGV",[1]OUT_TransportEnergyCons!$C$3:$C$1000))*1,[1]OUT_TransportEnergyCons!M$3:M$1000)</f>
        <v>0</v>
      </c>
      <c r="P1579" s="1" cm="1">
        <f t="array" ref="P1579">SUMPRODUCT(("TFLGV-ICEdslExt"=[1]OUT_TransportEnergyCons!$A$3:$A$1000)*1,("var_fout"=[1]OUT_TransportEnergyCons!$B$3:$B$1000)*1,ISNUMBER(SEARCH("TFLGV",[1]OUT_TransportEnergyCons!$C$3:$C$1000))*1,[1]OUT_TransportEnergyCons!N$3:N$1000)</f>
        <v>0</v>
      </c>
      <c r="Q1579" s="1" cm="1">
        <f t="array" ref="Q1579">SUMPRODUCT(("TFLGV-ICEdslExt"=[1]OUT_TransportEnergyCons!$A$3:$A$1000)*1,("var_fout"=[1]OUT_TransportEnergyCons!$B$3:$B$1000)*1,ISNUMBER(SEARCH("TFLGV",[1]OUT_TransportEnergyCons!$C$3:$C$1000))*1,[1]OUT_TransportEnergyCons!O$3:O$1000)</f>
        <v>0</v>
      </c>
      <c r="S1579" s="3"/>
    </row>
    <row r="1580" spans="2:19" x14ac:dyDescent="0.5">
      <c r="B1580" t="str">
        <f t="shared" si="1740"/>
        <v>SPS1</v>
      </c>
      <c r="C1580" t="str">
        <f t="shared" si="174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1.5213744721891045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1.79559430610801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1.7437625434643325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0.71328226034433451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9.0095825708227299E-4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4.265111405564293E-5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0</v>
      </c>
      <c r="M1580" s="1" cm="1">
        <f t="array" ref="M1580">SUMPRODUCT(("TFLGV-ICEdsl"=[1]OUT_TransportEnergyCons!$A$3:$A$1000)*1,("var_fout"=[1]OUT_TransportEnergyCons!$B$3:$B$1000)*1,ISNUMBER(SEARCH("TFLGV",[1]OUT_TransportEnergyCons!$C$3:$C$1000))*1,[1]OUT_TransportEnergyCons!K$3:K$1000)</f>
        <v>0</v>
      </c>
      <c r="N1580" s="1" cm="1">
        <f t="array" ref="N1580">SUMPRODUCT(("TFLGV-ICEdsl"=[1]OUT_TransportEnergyCons!$A$3:$A$1000)*1,("var_fout"=[1]OUT_TransportEnergyCons!$B$3:$B$1000)*1,ISNUMBER(SEARCH("TFLGV",[1]OUT_TransportEnergyCons!$C$3:$C$1000))*1,[1]OUT_TransportEnergyCons!L$3:L$1000)</f>
        <v>0</v>
      </c>
      <c r="O1580" s="1" cm="1">
        <f t="array" ref="O1580">SUMPRODUCT(("TFLGV-ICEdsl"=[1]OUT_TransportEnergyCons!$A$3:$A$1000)*1,("var_fout"=[1]OUT_TransportEnergyCons!$B$3:$B$1000)*1,ISNUMBER(SEARCH("TFLGV",[1]OUT_TransportEnergyCons!$C$3:$C$1000))*1,[1]OUT_TransportEnergyCons!M$3:M$1000)</f>
        <v>0</v>
      </c>
      <c r="P1580" s="1" cm="1">
        <f t="array" ref="P1580">SUMPRODUCT(("TFLGV-ICEdsl"=[1]OUT_TransportEnergyCons!$A$3:$A$1000)*1,("var_fout"=[1]OUT_TransportEnergyCons!$B$3:$B$1000)*1,ISNUMBER(SEARCH("TFLGV",[1]OUT_TransportEnergyCons!$C$3:$C$1000))*1,[1]OUT_TransportEnergyCons!N$3:N$1000)</f>
        <v>0</v>
      </c>
      <c r="Q1580" s="1" cm="1">
        <f t="array" ref="Q1580">SUMPRODUCT(("TFLGV-ICEdsl"=[1]OUT_TransportEnergyCons!$A$3:$A$1000)*1,("var_fout"=[1]OUT_TransportEnergyCons!$B$3:$B$1000)*1,ISNUMBER(SEARCH("TFLGV",[1]OUT_TransportEnergyCons!$C$3:$C$1000))*1,[1]OUT_TransportEnergyCons!O$3:O$1000)</f>
        <v>0</v>
      </c>
      <c r="S1580" s="3"/>
    </row>
    <row r="1581" spans="2:19" x14ac:dyDescent="0.5">
      <c r="B1581" t="str">
        <f t="shared" si="1740"/>
        <v>SPS1</v>
      </c>
      <c r="C1581" t="str">
        <f t="shared" si="174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0.1987522794075671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0.90423181837219624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1.4722441435384175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1.2696539471259545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4.7768259889849557E-5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0</v>
      </c>
      <c r="M1581" s="1" cm="1">
        <f t="array" ref="M1581">SUMPRODUCT(("TFLGV-HYBDSL"=[1]OUT_TransportEnergyCons!$A$3:$A$1000)*1,("var_fout"=[1]OUT_TransportEnergyCons!$B$3:$B$1000)*1,ISNUMBER(SEARCH("TFLGV",[1]OUT_TransportEnergyCons!$C$3:$C$1000))*1,[1]OUT_TransportEnergyCons!K$3:K$1000)</f>
        <v>0</v>
      </c>
      <c r="N1581" s="1" cm="1">
        <f t="array" ref="N1581">SUMPRODUCT(("TFLGV-HYBDSL"=[1]OUT_TransportEnergyCons!$A$3:$A$1000)*1,("var_fout"=[1]OUT_TransportEnergyCons!$B$3:$B$1000)*1,ISNUMBER(SEARCH("TFLGV",[1]OUT_TransportEnergyCons!$C$3:$C$1000))*1,[1]OUT_TransportEnergyCons!L$3:L$1000)</f>
        <v>0</v>
      </c>
      <c r="O1581" s="1" cm="1">
        <f t="array" ref="O1581">SUMPRODUCT(("TFLGV-HYBDSL"=[1]OUT_TransportEnergyCons!$A$3:$A$1000)*1,("var_fout"=[1]OUT_TransportEnergyCons!$B$3:$B$1000)*1,ISNUMBER(SEARCH("TFLGV",[1]OUT_TransportEnergyCons!$C$3:$C$1000))*1,[1]OUT_TransportEnergyCons!M$3:M$1000)</f>
        <v>0</v>
      </c>
      <c r="P1581" s="1" cm="1">
        <f t="array" ref="P1581">SUMPRODUCT(("TFLGV-HYBDSL"=[1]OUT_TransportEnergyCons!$A$3:$A$1000)*1,("var_fout"=[1]OUT_TransportEnergyCons!$B$3:$B$1000)*1,ISNUMBER(SEARCH("TFLGV",[1]OUT_TransportEnergyCons!$C$3:$C$1000))*1,[1]OUT_TransportEnergyCons!N$3:N$1000)</f>
        <v>0</v>
      </c>
      <c r="Q1581" s="1" cm="1">
        <f t="array" ref="Q1581">SUMPRODUCT(("TFLGV-HYBDSL"=[1]OUT_TransportEnergyCons!$A$3:$A$1000)*1,("var_fout"=[1]OUT_TransportEnergyCons!$B$3:$B$1000)*1,ISNUMBER(SEARCH("TFLGV",[1]OUT_TransportEnergyCons!$C$3:$C$1000))*1,[1]OUT_TransportEnergyCons!O$3:O$1000)</f>
        <v>0</v>
      </c>
      <c r="S1581" s="3"/>
    </row>
    <row r="1582" spans="2:19" x14ac:dyDescent="0.5">
      <c r="B1582" t="str">
        <f t="shared" si="1740"/>
        <v>SPS1</v>
      </c>
      <c r="C1582" t="str">
        <f t="shared" si="174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8.1289707617023775E-3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7.1782502820977798E-3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1.0044842909538502E-2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0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0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0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0</v>
      </c>
      <c r="M1582" s="1" cm="1">
        <f t="array" ref="M1582">SUMPRODUCT(("TFLGV-ICENGA"=[1]OUT_TransportEnergyCons!$A$3:$A$1000)*1,("var_fout"=[1]OUT_TransportEnergyCons!$B$3:$B$1000)*1,ISNUMBER(SEARCH("TFLGV",[1]OUT_TransportEnergyCons!$C$3:$C$1000))*1,[1]OUT_TransportEnergyCons!K$3:K$1000)</f>
        <v>0</v>
      </c>
      <c r="N1582" s="1" cm="1">
        <f t="array" ref="N1582">SUMPRODUCT(("TFLGV-ICENGA"=[1]OUT_TransportEnergyCons!$A$3:$A$1000)*1,("var_fout"=[1]OUT_TransportEnergyCons!$B$3:$B$1000)*1,ISNUMBER(SEARCH("TFLGV",[1]OUT_TransportEnergyCons!$C$3:$C$1000))*1,[1]OUT_TransportEnergyCons!L$3:L$1000)</f>
        <v>0</v>
      </c>
      <c r="O1582" s="1" cm="1">
        <f t="array" ref="O1582">SUMPRODUCT(("TFLGV-ICENGA"=[1]OUT_TransportEnergyCons!$A$3:$A$1000)*1,("var_fout"=[1]OUT_TransportEnergyCons!$B$3:$B$1000)*1,ISNUMBER(SEARCH("TFLGV",[1]OUT_TransportEnergyCons!$C$3:$C$1000))*1,[1]OUT_TransportEnergyCons!M$3:M$1000)</f>
        <v>0</v>
      </c>
      <c r="P1582" s="1" cm="1">
        <f t="array" ref="P1582">SUMPRODUCT(("TFLGV-ICENGA"=[1]OUT_TransportEnergyCons!$A$3:$A$1000)*1,("var_fout"=[1]OUT_TransportEnergyCons!$B$3:$B$1000)*1,ISNUMBER(SEARCH("TFLGV",[1]OUT_TransportEnergyCons!$C$3:$C$1000))*1,[1]OUT_TransportEnergyCons!N$3:N$1000)</f>
        <v>0</v>
      </c>
      <c r="Q1582" s="1" cm="1">
        <f t="array" ref="Q1582">SUMPRODUCT(("TFLGV-ICENGA"=[1]OUT_TransportEnergyCons!$A$3:$A$1000)*1,("var_fout"=[1]OUT_TransportEnergyCons!$B$3:$B$1000)*1,ISNUMBER(SEARCH("TFLGV",[1]OUT_TransportEnergyCons!$C$3:$C$1000))*1,[1]OUT_TransportEnergyCons!O$3:O$1000)</f>
        <v>0</v>
      </c>
      <c r="S1582" s="3"/>
    </row>
    <row r="1583" spans="2:19" x14ac:dyDescent="0.5">
      <c r="B1583" s="2" t="str">
        <f t="shared" si="1740"/>
        <v>SPS1</v>
      </c>
      <c r="C1583" s="2" t="str">
        <f t="shared" si="1741"/>
        <v>CH</v>
      </c>
      <c r="D1583" s="2" t="s">
        <v>1568</v>
      </c>
      <c r="E1583" s="2" t="s">
        <v>1576</v>
      </c>
      <c r="F1583" s="22" t="s">
        <v>292</v>
      </c>
      <c r="G1583" s="22" t="s">
        <v>292</v>
      </c>
      <c r="H1583" s="22" t="s">
        <v>292</v>
      </c>
      <c r="I1583" s="22" t="s">
        <v>292</v>
      </c>
      <c r="J1583" s="22" t="s">
        <v>292</v>
      </c>
      <c r="K1583" s="22" t="s">
        <v>292</v>
      </c>
      <c r="L1583" s="22" t="s">
        <v>292</v>
      </c>
      <c r="M1583" s="22" t="s">
        <v>292</v>
      </c>
      <c r="N1583" s="22" t="s">
        <v>292</v>
      </c>
      <c r="O1583" s="22" t="s">
        <v>292</v>
      </c>
      <c r="P1583" s="22" t="s">
        <v>292</v>
      </c>
      <c r="Q1583" s="22" t="s">
        <v>292</v>
      </c>
      <c r="S1583" s="3"/>
    </row>
    <row r="1584" spans="2:19" x14ac:dyDescent="0.5">
      <c r="B1584" t="str">
        <f t="shared" si="1740"/>
        <v>SPS1</v>
      </c>
      <c r="C1584" t="str">
        <f t="shared" si="1741"/>
        <v>CH</v>
      </c>
      <c r="D1584" t="s">
        <v>1569</v>
      </c>
      <c r="E1584" t="s">
        <v>1576</v>
      </c>
      <c r="F1584" s="1">
        <f>IFERROR(F1574/F1548,"-")</f>
        <v>0.68922285337539591</v>
      </c>
      <c r="G1584" s="1">
        <f t="shared" ref="G1584:K1584" si="1766">IFERROR(G1574/G1548,"-")</f>
        <v>0.69564643130450565</v>
      </c>
      <c r="H1584" s="1">
        <f t="shared" si="1766"/>
        <v>0.70528179819816983</v>
      </c>
      <c r="I1584" s="1">
        <f t="shared" si="1766"/>
        <v>0.70528179819816994</v>
      </c>
      <c r="J1584" s="1" t="str">
        <f t="shared" si="1766"/>
        <v>-</v>
      </c>
      <c r="K1584" s="1" t="str">
        <f t="shared" si="1766"/>
        <v>-</v>
      </c>
      <c r="L1584" s="1" t="str">
        <f t="shared" ref="L1584:O1584" si="1767">IFERROR(L1574/L1548,"-")</f>
        <v>-</v>
      </c>
      <c r="M1584" s="1" t="str">
        <f t="shared" si="1767"/>
        <v>-</v>
      </c>
      <c r="N1584" s="1" t="str">
        <f t="shared" si="1767"/>
        <v>-</v>
      </c>
      <c r="O1584" s="1" t="str">
        <f t="shared" si="1767"/>
        <v>-</v>
      </c>
      <c r="P1584" s="1" t="str">
        <f>IFERROR(P1574/P1548,"-")</f>
        <v>-</v>
      </c>
      <c r="Q1584" s="1" t="str">
        <f>IFERROR(Q1574/Q1548,"-")</f>
        <v>-</v>
      </c>
      <c r="S1584" s="3"/>
    </row>
    <row r="1585" spans="2:19" x14ac:dyDescent="0.5">
      <c r="B1585" t="str">
        <f t="shared" si="1740"/>
        <v>SPS1</v>
      </c>
      <c r="C1585" t="str">
        <f t="shared" si="1741"/>
        <v>CH</v>
      </c>
      <c r="D1585" t="s">
        <v>1570</v>
      </c>
      <c r="E1585" t="s">
        <v>1576</v>
      </c>
      <c r="F1585" s="1">
        <f>IFERROR(F1575/F1549,"-")</f>
        <v>0.68135756995377184</v>
      </c>
      <c r="G1585" s="1">
        <f t="shared" ref="G1585:K1585" si="1768">IFERROR(G1575/G1549,"-")</f>
        <v>0.68135756995377272</v>
      </c>
      <c r="H1585" s="1">
        <f t="shared" si="1768"/>
        <v>0.68135756995377217</v>
      </c>
      <c r="I1585" s="1">
        <f t="shared" si="1768"/>
        <v>0.68135756995377272</v>
      </c>
      <c r="J1585" s="1">
        <f t="shared" si="1768"/>
        <v>0.6813575699537735</v>
      </c>
      <c r="K1585" s="1">
        <f t="shared" si="1768"/>
        <v>0.68135756995377195</v>
      </c>
      <c r="L1585" s="1">
        <f t="shared" ref="L1585:O1585" si="1769">IFERROR(L1575/L1549,"-")</f>
        <v>0.6813575699537725</v>
      </c>
      <c r="M1585" s="1">
        <f t="shared" si="1769"/>
        <v>0.68135756995377206</v>
      </c>
      <c r="N1585" s="1">
        <f t="shared" si="1769"/>
        <v>0.68135756995377283</v>
      </c>
      <c r="O1585" s="1">
        <f t="shared" si="1769"/>
        <v>0.6813575699537725</v>
      </c>
      <c r="P1585" s="1">
        <f>IFERROR(P1575/P1549,"-")</f>
        <v>0.68135756995377394</v>
      </c>
      <c r="Q1585" s="1">
        <f>IFERROR(Q1575/Q1549,"-")</f>
        <v>0.68135756995377295</v>
      </c>
      <c r="S1585" s="3"/>
    </row>
    <row r="1586" spans="2:19" x14ac:dyDescent="0.5">
      <c r="B1586" t="str">
        <f t="shared" si="1740"/>
        <v>SPS1</v>
      </c>
      <c r="C1586" t="str">
        <f t="shared" si="174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770">IFERROR(G1576/G1551,"-")</f>
        <v>0.46510343171505447</v>
      </c>
      <c r="H1586" s="1">
        <f t="shared" si="1770"/>
        <v>0.47230577215004599</v>
      </c>
      <c r="I1586" s="1">
        <f t="shared" si="1770"/>
        <v>0.50880592093488408</v>
      </c>
      <c r="J1586" s="1">
        <f t="shared" si="1770"/>
        <v>0.54365155606024973</v>
      </c>
      <c r="K1586" s="1">
        <f t="shared" si="1770"/>
        <v>0.56577662323065958</v>
      </c>
      <c r="L1586" s="1">
        <f t="shared" ref="L1586:O1586" si="1771">IFERROR(L1576/L1551,"-")</f>
        <v>0.58354317176734272</v>
      </c>
      <c r="M1586" s="1">
        <f t="shared" si="1771"/>
        <v>0.59980534178523026</v>
      </c>
      <c r="N1586" s="1">
        <f t="shared" si="1771"/>
        <v>0.60480257429318762</v>
      </c>
      <c r="O1586" s="1">
        <f t="shared" si="1771"/>
        <v>0.60480257429318851</v>
      </c>
      <c r="P1586" s="1">
        <f>IFERROR(P1576/P1551,"-")</f>
        <v>0.6048025742931874</v>
      </c>
      <c r="Q1586" s="1">
        <f>IFERROR(Q1576/Q1551,"-")</f>
        <v>0.60480257429318851</v>
      </c>
      <c r="S1586" s="3"/>
    </row>
    <row r="1587" spans="2:19" x14ac:dyDescent="0.5">
      <c r="B1587" t="str">
        <f t="shared" si="1740"/>
        <v>SPS1</v>
      </c>
      <c r="C1587" t="str">
        <f t="shared" si="1741"/>
        <v>CH</v>
      </c>
      <c r="D1587" t="s">
        <v>1591</v>
      </c>
      <c r="E1587" t="s">
        <v>1576</v>
      </c>
      <c r="F1587" s="1">
        <f>IFERROR(F1577/F1557,"-")</f>
        <v>0.27758325613681001</v>
      </c>
      <c r="G1587" s="1">
        <f t="shared" ref="G1587:K1587" si="1772">IFERROR(G1577/G1557,"-")</f>
        <v>0.28017034051580064</v>
      </c>
      <c r="H1587" s="1">
        <f t="shared" si="1772"/>
        <v>0.2840509670842869</v>
      </c>
      <c r="I1587" s="1">
        <f t="shared" si="1772"/>
        <v>0.28405096708428712</v>
      </c>
      <c r="J1587" s="1" t="str">
        <f t="shared" si="1772"/>
        <v>-</v>
      </c>
      <c r="K1587" s="1" t="str">
        <f t="shared" si="1772"/>
        <v>-</v>
      </c>
      <c r="L1587" s="1" t="str">
        <f t="shared" ref="L1587:O1587" si="1773">IFERROR(L1577/L1557,"-")</f>
        <v>-</v>
      </c>
      <c r="M1587" s="1" t="str">
        <f t="shared" si="1773"/>
        <v>-</v>
      </c>
      <c r="N1587" s="1" t="str">
        <f t="shared" si="1773"/>
        <v>-</v>
      </c>
      <c r="O1587" s="1" t="str">
        <f t="shared" si="1773"/>
        <v>-</v>
      </c>
      <c r="P1587" s="1" t="str">
        <f>IFERROR(P1577/P1557,"-")</f>
        <v>-</v>
      </c>
      <c r="Q1587" s="1" t="str">
        <f>IFERROR(Q1577/Q1557,"-")</f>
        <v>-</v>
      </c>
      <c r="S1587" s="3"/>
    </row>
    <row r="1588" spans="2:19" x14ac:dyDescent="0.5">
      <c r="B1588" t="str">
        <f t="shared" si="1740"/>
        <v>SPS1</v>
      </c>
      <c r="C1588" t="str">
        <f t="shared" si="1741"/>
        <v>CH</v>
      </c>
      <c r="D1588" t="s">
        <v>1592</v>
      </c>
      <c r="E1588" t="s">
        <v>1576</v>
      </c>
      <c r="F1588" s="1">
        <f>IFERROR(F1578/F1558,"-")</f>
        <v>0.35122961215622051</v>
      </c>
      <c r="G1588" s="1">
        <f t="shared" ref="G1588:K1588" si="1774">IFERROR(G1578/G1558,"-")</f>
        <v>0.35122961215622156</v>
      </c>
      <c r="H1588" s="1">
        <f t="shared" si="1774"/>
        <v>0.35122961215622062</v>
      </c>
      <c r="I1588" s="1">
        <f t="shared" si="1774"/>
        <v>0.35122961215622078</v>
      </c>
      <c r="J1588" s="1">
        <f t="shared" si="1774"/>
        <v>0.35122961215622112</v>
      </c>
      <c r="K1588" s="1">
        <f t="shared" si="1774"/>
        <v>0.35122961215622117</v>
      </c>
      <c r="L1588" s="1" t="str">
        <f t="shared" ref="L1588:O1588" si="1775">IFERROR(L1578/L1558,"-")</f>
        <v>-</v>
      </c>
      <c r="M1588" s="1" t="str">
        <f t="shared" si="1775"/>
        <v>-</v>
      </c>
      <c r="N1588" s="1" t="str">
        <f t="shared" si="1775"/>
        <v>-</v>
      </c>
      <c r="O1588" s="1" t="str">
        <f t="shared" si="1775"/>
        <v>-</v>
      </c>
      <c r="P1588" s="1" t="str">
        <f>IFERROR(P1578/P1558,"-")</f>
        <v>-</v>
      </c>
      <c r="Q1588" s="1" t="str">
        <f>IFERROR(Q1578/Q1558,"-")</f>
        <v>-</v>
      </c>
      <c r="S1588" s="3"/>
    </row>
    <row r="1589" spans="2:19" x14ac:dyDescent="0.5">
      <c r="B1589" t="str">
        <f t="shared" si="1740"/>
        <v>SPS1</v>
      </c>
      <c r="C1589" t="str">
        <f t="shared" si="1741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776">IFERROR(G1579/G1564,"-")</f>
        <v>0.2679374627761123</v>
      </c>
      <c r="H1589" s="1">
        <f t="shared" si="1776"/>
        <v>0.28128870255135008</v>
      </c>
      <c r="I1589" s="1">
        <f t="shared" si="1776"/>
        <v>0.28128870255135002</v>
      </c>
      <c r="J1589" s="1" t="str">
        <f t="shared" si="1776"/>
        <v>-</v>
      </c>
      <c r="K1589" s="1" t="str">
        <f t="shared" si="1776"/>
        <v>-</v>
      </c>
      <c r="L1589" s="1" t="str">
        <f t="shared" ref="L1589:O1589" si="1777">IFERROR(L1579/L1564,"-")</f>
        <v>-</v>
      </c>
      <c r="M1589" s="1" t="str">
        <f t="shared" si="1777"/>
        <v>-</v>
      </c>
      <c r="N1589" s="1" t="str">
        <f t="shared" si="1777"/>
        <v>-</v>
      </c>
      <c r="O1589" s="1" t="str">
        <f t="shared" si="1777"/>
        <v>-</v>
      </c>
      <c r="P1589" s="1" t="str">
        <f t="shared" ref="P1589:Q1591" si="1778">IFERROR(P1579/P1564,"-")</f>
        <v>-</v>
      </c>
      <c r="Q1589" s="1" t="str">
        <f t="shared" si="1778"/>
        <v>-</v>
      </c>
      <c r="S1589" s="3"/>
    </row>
    <row r="1590" spans="2:19" x14ac:dyDescent="0.5">
      <c r="B1590" t="str">
        <f t="shared" si="1740"/>
        <v>SPS1</v>
      </c>
      <c r="C1590" t="str">
        <f t="shared" si="1741"/>
        <v>CH</v>
      </c>
      <c r="D1590" t="s">
        <v>1573</v>
      </c>
      <c r="E1590" t="s">
        <v>1576</v>
      </c>
      <c r="F1590" s="1">
        <f>IFERROR(F1580/F1565,"-")</f>
        <v>0.34211451343153215</v>
      </c>
      <c r="G1590" s="1">
        <f t="shared" ref="G1590:K1590" si="1779">IFERROR(G1580/G1565,"-")</f>
        <v>0.34211451343153176</v>
      </c>
      <c r="H1590" s="1">
        <f t="shared" si="1779"/>
        <v>0.34211451343153176</v>
      </c>
      <c r="I1590" s="1">
        <f t="shared" si="1779"/>
        <v>0.3421145134315321</v>
      </c>
      <c r="J1590" s="1">
        <f t="shared" si="1779"/>
        <v>0.34211451343153165</v>
      </c>
      <c r="K1590" s="1">
        <f t="shared" si="1779"/>
        <v>0.34211451343153187</v>
      </c>
      <c r="L1590" s="1" t="str">
        <f t="shared" ref="L1590:O1590" si="1780">IFERROR(L1580/L1565,"-")</f>
        <v>-</v>
      </c>
      <c r="M1590" s="1" t="str">
        <f t="shared" si="1780"/>
        <v>-</v>
      </c>
      <c r="N1590" s="1" t="str">
        <f t="shared" si="1780"/>
        <v>-</v>
      </c>
      <c r="O1590" s="1" t="str">
        <f t="shared" si="1780"/>
        <v>-</v>
      </c>
      <c r="P1590" s="1" t="str">
        <f t="shared" si="1778"/>
        <v>-</v>
      </c>
      <c r="Q1590" s="1" t="str">
        <f t="shared" si="1778"/>
        <v>-</v>
      </c>
      <c r="S1590" s="3"/>
    </row>
    <row r="1591" spans="2:19" x14ac:dyDescent="0.5">
      <c r="B1591" t="str">
        <f t="shared" si="1740"/>
        <v>SPS1</v>
      </c>
      <c r="C1591" t="str">
        <f t="shared" si="174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781">IFERROR(G1581/G1566,"-")</f>
        <v>0.46076759264650807</v>
      </c>
      <c r="H1591" s="1">
        <f t="shared" si="1781"/>
        <v>0.46076759264650829</v>
      </c>
      <c r="I1591" s="1">
        <f t="shared" si="1781"/>
        <v>0.46076759264650796</v>
      </c>
      <c r="J1591" s="1">
        <f t="shared" si="1781"/>
        <v>0.46076759264650824</v>
      </c>
      <c r="K1591" s="1">
        <f t="shared" si="1781"/>
        <v>0.46076759264650774</v>
      </c>
      <c r="L1591" s="1" t="str">
        <f t="shared" ref="L1591:O1591" si="1782">IFERROR(L1581/L1566,"-")</f>
        <v>-</v>
      </c>
      <c r="M1591" s="1" t="str">
        <f t="shared" si="1782"/>
        <v>-</v>
      </c>
      <c r="N1591" s="1" t="str">
        <f t="shared" si="1782"/>
        <v>-</v>
      </c>
      <c r="O1591" s="1" t="str">
        <f t="shared" si="1782"/>
        <v>-</v>
      </c>
      <c r="P1591" s="1" t="str">
        <f t="shared" si="1778"/>
        <v>-</v>
      </c>
      <c r="Q1591" s="1" t="str">
        <f t="shared" si="1778"/>
        <v>-</v>
      </c>
      <c r="S1591" s="3"/>
    </row>
    <row r="1592" spans="2:19" x14ac:dyDescent="0.5">
      <c r="B1592" t="str">
        <f t="shared" si="1740"/>
        <v>SPS1</v>
      </c>
      <c r="C1592" t="str">
        <f t="shared" si="1741"/>
        <v>CH</v>
      </c>
      <c r="D1592" t="s">
        <v>1575</v>
      </c>
      <c r="E1592" t="s">
        <v>1576</v>
      </c>
      <c r="F1592" s="1">
        <f>IFERROR(F1582/F1572,"-")</f>
        <v>0.32057692743518112</v>
      </c>
      <c r="G1592" s="1">
        <f t="shared" ref="G1592:K1592" si="1783">IFERROR(G1582/G1572,"-")</f>
        <v>0.32057692743517985</v>
      </c>
      <c r="H1592" s="1">
        <f t="shared" si="1783"/>
        <v>0.32057692743518112</v>
      </c>
      <c r="I1592" s="1" t="str">
        <f t="shared" si="1783"/>
        <v>-</v>
      </c>
      <c r="J1592" s="1" t="str">
        <f t="shared" si="1783"/>
        <v>-</v>
      </c>
      <c r="K1592" s="1" t="str">
        <f t="shared" si="1783"/>
        <v>-</v>
      </c>
      <c r="L1592" s="1" t="str">
        <f t="shared" ref="L1592:O1592" si="1784">IFERROR(L1582/L1572,"-")</f>
        <v>-</v>
      </c>
      <c r="M1592" s="1" t="str">
        <f t="shared" si="1784"/>
        <v>-</v>
      </c>
      <c r="N1592" s="1" t="str">
        <f t="shared" si="1784"/>
        <v>-</v>
      </c>
      <c r="O1592" s="1" t="str">
        <f t="shared" si="1784"/>
        <v>-</v>
      </c>
      <c r="P1592" s="1" t="str">
        <f>IFERROR(P1582/P1572,"-")</f>
        <v>-</v>
      </c>
      <c r="Q1592" s="1" t="str">
        <f>IFERROR(Q1582/Q1572,"-")</f>
        <v>-</v>
      </c>
      <c r="S1592" s="3"/>
    </row>
    <row r="1593" spans="2:19" x14ac:dyDescent="0.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24.511224072065765</v>
      </c>
      <c r="G1593" s="3">
        <f t="shared" ref="G1593" si="1785">G1594+G1597+G1599+G1606+G1614</f>
        <v>21.032709574284059</v>
      </c>
      <c r="H1593" s="3">
        <f t="shared" ref="H1593" si="1786">H1594+H1597+H1599+H1606+H1614</f>
        <v>20.505621986739268</v>
      </c>
      <c r="I1593" s="3">
        <f t="shared" ref="I1593" si="1787">I1594+I1597+I1599+I1606+I1614</f>
        <v>16.611335938596689</v>
      </c>
      <c r="J1593" s="3">
        <f t="shared" ref="J1593" si="1788">J1594+J1597+J1599+J1606+J1614</f>
        <v>13.556306274891414</v>
      </c>
      <c r="K1593" s="3">
        <f t="shared" ref="K1593" si="1789">K1594+K1597+K1599+K1606+K1614</f>
        <v>13.236814717983709</v>
      </c>
      <c r="L1593" s="3">
        <f t="shared" ref="L1593:O1593" si="1790">L1594+L1597+L1599+L1606+L1614</f>
        <v>10.49525912353416</v>
      </c>
      <c r="M1593" s="3">
        <f t="shared" si="1790"/>
        <v>9.1740866355611139</v>
      </c>
      <c r="N1593" s="3">
        <f t="shared" si="1790"/>
        <v>8.2877131012929155</v>
      </c>
      <c r="O1593" s="3">
        <f t="shared" si="1790"/>
        <v>8.5765321441570315</v>
      </c>
      <c r="P1593" s="3">
        <f>P1594+P1597+P1599+P1606+P1614</f>
        <v>8.8819665574238638</v>
      </c>
      <c r="Q1593" s="3">
        <f>Q1594+Q1597+Q1599+Q1606+Q1614</f>
        <v>9.2297003566351439</v>
      </c>
      <c r="S1593" s="3"/>
    </row>
    <row r="1594" spans="2:19" x14ac:dyDescent="0.5">
      <c r="B1594" t="str">
        <f t="shared" ref="B1594:B1639" si="1791">B1593</f>
        <v>SPS1</v>
      </c>
      <c r="C1594" t="str">
        <f t="shared" ref="C1594:C1639" si="1792">C1593</f>
        <v>CH</v>
      </c>
      <c r="D1594" t="s">
        <v>1597</v>
      </c>
      <c r="E1594" t="str">
        <f>E1593</f>
        <v>PJ/yr.</v>
      </c>
      <c r="F1594" s="1">
        <f>SUM(F1595:F1596)</f>
        <v>6.1538492777534993E-3</v>
      </c>
      <c r="G1594" s="1">
        <f t="shared" ref="G1594" si="1793">SUM(G1595:G1596)</f>
        <v>1.3649091197842472E-2</v>
      </c>
      <c r="H1594" s="1">
        <f t="shared" ref="H1594" si="1794">SUM(H1595:H1596)</f>
        <v>1.3948174199683687E-2</v>
      </c>
      <c r="I1594" s="1">
        <f t="shared" ref="I1594" si="1795">SUM(I1595:I1596)</f>
        <v>4.7489798834673891E-3</v>
      </c>
      <c r="J1594" s="1">
        <f t="shared" ref="J1594" si="1796">SUM(J1595:J1596)</f>
        <v>1.4352923067263725</v>
      </c>
      <c r="K1594" s="1">
        <f t="shared" ref="K1594" si="1797">SUM(K1595:K1596)</f>
        <v>2.4105988096600681</v>
      </c>
      <c r="L1594" s="1">
        <f t="shared" ref="L1594:O1594" si="1798">SUM(L1595:L1596)</f>
        <v>5.5446857856329412</v>
      </c>
      <c r="M1594" s="1">
        <f t="shared" si="1798"/>
        <v>7.1708224703138326</v>
      </c>
      <c r="N1594" s="1">
        <f t="shared" si="1798"/>
        <v>8.2876904668608447</v>
      </c>
      <c r="O1594" s="1">
        <f t="shared" si="1798"/>
        <v>8.5765065039921229</v>
      </c>
      <c r="P1594" s="1">
        <f>SUM(P1595:P1596)</f>
        <v>8.8819444378327468</v>
      </c>
      <c r="Q1594" s="1">
        <f>SUM(Q1595:Q1596)</f>
        <v>9.2296659426291434</v>
      </c>
      <c r="S1594" s="3"/>
    </row>
    <row r="1595" spans="2:19" x14ac:dyDescent="0.5">
      <c r="B1595" t="str">
        <f t="shared" si="1791"/>
        <v>SPS1</v>
      </c>
      <c r="C1595" t="str">
        <f t="shared" si="1792"/>
        <v>CH</v>
      </c>
      <c r="D1595" t="s">
        <v>1598</v>
      </c>
      <c r="E1595" t="str">
        <f t="shared" ref="E1595:E1619" si="1799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M1595" s="1" cm="1">
        <f t="array" ref="M1595">SUMPRODUCT(("TFHGV-BeVELCExt"=[1]OUT_TransportEnergyCons!$A$3:$A$1000)*1,("Var_Fin"=[1]OUT_TransportEnergyCons!$B$3:$B$1000)*1,ISNUMBER(SEARCH("ELC",[1]OUT_TransportEnergyCons!$C$3:$C$1000))*1,[1]OUT_TransportEnergyCons!K$3:K$1000)</f>
        <v>0</v>
      </c>
      <c r="N1595" s="1" cm="1">
        <f t="array" ref="N1595">SUMPRODUCT(("TFHGV-BeVELCExt"=[1]OUT_TransportEnergyCons!$A$3:$A$1000)*1,("Var_Fin"=[1]OUT_TransportEnergyCons!$B$3:$B$1000)*1,ISNUMBER(SEARCH("ELC",[1]OUT_TransportEnergyCons!$C$3:$C$1000))*1,[1]OUT_TransportEnergyCons!L$3:L$1000)</f>
        <v>0</v>
      </c>
      <c r="O1595" s="1" cm="1">
        <f t="array" ref="O1595">SUMPRODUCT(("TFHGV-BeVELCExt"=[1]OUT_TransportEnergyCons!$A$3:$A$1000)*1,("Var_Fin"=[1]OUT_TransportEnergyCons!$B$3:$B$1000)*1,ISNUMBER(SEARCH("ELC",[1]OUT_TransportEnergyCons!$C$3:$C$1000))*1,[1]OUT_TransportEnergyCons!M$3:M$1000)</f>
        <v>0</v>
      </c>
      <c r="P1595" s="1" cm="1">
        <f t="array" ref="P1595">SUMPRODUCT(("TFHGV-BeVELCExt"=[1]OUT_TransportEnergyCons!$A$3:$A$1000)*1,("Var_Fin"=[1]OUT_TransportEnergyCons!$B$3:$B$1000)*1,ISNUMBER(SEARCH("ELC",[1]OUT_TransportEnergyCons!$C$3:$C$1000))*1,[1]OUT_TransportEnergyCons!N$3:N$1000)</f>
        <v>0</v>
      </c>
      <c r="Q1595" s="1" cm="1">
        <f t="array" ref="Q1595">SUMPRODUCT(("TFHGV-BeVELCExt"=[1]OUT_TransportEnergyCons!$A$3:$A$1000)*1,("Var_Fin"=[1]OUT_TransportEnergyCons!$B$3:$B$1000)*1,ISNUMBER(SEARCH("ELC",[1]OUT_TransportEnergyCons!$C$3:$C$1000))*1,[1]OUT_TransportEnergyCons!O$3:O$1000)</f>
        <v>0</v>
      </c>
      <c r="S1595" s="3"/>
    </row>
    <row r="1596" spans="2:19" x14ac:dyDescent="0.5">
      <c r="B1596" t="str">
        <f t="shared" si="1791"/>
        <v>SPS1</v>
      </c>
      <c r="C1596" t="str">
        <f t="shared" si="1792"/>
        <v>CH</v>
      </c>
      <c r="D1596" t="s">
        <v>1599</v>
      </c>
      <c r="E1596" t="str">
        <f t="shared" si="1799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6.1538492777534993E-3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1.3649091197842472E-2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1.3948174199683687E-2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4.7489798834673891E-3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1.4352923067263725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2.4105988096600681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5.5446857856329412</v>
      </c>
      <c r="M1596" s="1" cm="1">
        <f t="array" ref="M1596">SUMPRODUCT(("TFHGV-BEVELC"=[1]OUT_TransportEnergyCons!$A$3:$A$1000)*1,("Var_Fin"=[1]OUT_TransportEnergyCons!$B$3:$B$1000)*1,ISNUMBER(SEARCH("ELC",[1]OUT_TransportEnergyCons!$C$3:$C$1000))*1,[1]OUT_TransportEnergyCons!K$3:K$1000)</f>
        <v>7.1708224703138326</v>
      </c>
      <c r="N1596" s="1" cm="1">
        <f t="array" ref="N1596">SUMPRODUCT(("TFHGV-BEVELC"=[1]OUT_TransportEnergyCons!$A$3:$A$1000)*1,("Var_Fin"=[1]OUT_TransportEnergyCons!$B$3:$B$1000)*1,ISNUMBER(SEARCH("ELC",[1]OUT_TransportEnergyCons!$C$3:$C$1000))*1,[1]OUT_TransportEnergyCons!L$3:L$1000)</f>
        <v>8.2876904668608447</v>
      </c>
      <c r="O1596" s="1" cm="1">
        <f t="array" ref="O1596">SUMPRODUCT(("TFHGV-BEVELC"=[1]OUT_TransportEnergyCons!$A$3:$A$1000)*1,("Var_Fin"=[1]OUT_TransportEnergyCons!$B$3:$B$1000)*1,ISNUMBER(SEARCH("ELC",[1]OUT_TransportEnergyCons!$C$3:$C$1000))*1,[1]OUT_TransportEnergyCons!M$3:M$1000)</f>
        <v>8.5765065039921229</v>
      </c>
      <c r="P1596" s="1" cm="1">
        <f t="array" ref="P1596">SUMPRODUCT(("TFHGV-BEVELC"=[1]OUT_TransportEnergyCons!$A$3:$A$1000)*1,("Var_Fin"=[1]OUT_TransportEnergyCons!$B$3:$B$1000)*1,ISNUMBER(SEARCH("ELC",[1]OUT_TransportEnergyCons!$C$3:$C$1000))*1,[1]OUT_TransportEnergyCons!N$3:N$1000)</f>
        <v>8.8819444378327468</v>
      </c>
      <c r="Q1596" s="1" cm="1">
        <f t="array" ref="Q1596">SUMPRODUCT(("TFHGV-BEVELC"=[1]OUT_TransportEnergyCons!$A$3:$A$1000)*1,("Var_Fin"=[1]OUT_TransportEnergyCons!$B$3:$B$1000)*1,ISNUMBER(SEARCH("ELC",[1]OUT_TransportEnergyCons!$C$3:$C$1000))*1,[1]OUT_TransportEnergyCons!O$3:O$1000)</f>
        <v>9.2296659426291434</v>
      </c>
      <c r="S1596" s="3"/>
    </row>
    <row r="1597" spans="2:19" x14ac:dyDescent="0.5">
      <c r="B1597" t="str">
        <f t="shared" si="1791"/>
        <v>SPS1</v>
      </c>
      <c r="C1597" t="str">
        <f t="shared" si="1792"/>
        <v>CH</v>
      </c>
      <c r="D1597" t="s">
        <v>1600</v>
      </c>
      <c r="E1597" t="str">
        <f t="shared" si="1799"/>
        <v>PJ/yr.</v>
      </c>
      <c r="F1597" s="1">
        <f>F1598</f>
        <v>2.5602947625837408E-3</v>
      </c>
      <c r="G1597" s="1">
        <f t="shared" ref="G1597" si="1800">G1598</f>
        <v>1.0095173883984839E-3</v>
      </c>
      <c r="H1597" s="1">
        <f t="shared" ref="H1597" si="1801">H1598</f>
        <v>9.871121471988196E-4</v>
      </c>
      <c r="I1597" s="1">
        <f t="shared" ref="I1597" si="1802">I1598</f>
        <v>3.4004816691920683E-5</v>
      </c>
      <c r="J1597" s="1">
        <f t="shared" ref="J1597" si="1803">J1598</f>
        <v>3.4258850205504506E-5</v>
      </c>
      <c r="K1597" s="1">
        <f t="shared" ref="K1597:O1597" si="1804">K1598</f>
        <v>3.0727543182963614E-5</v>
      </c>
      <c r="L1597" s="1">
        <f t="shared" si="1804"/>
        <v>3.0736279369045731E-5</v>
      </c>
      <c r="M1597" s="1">
        <f t="shared" si="1804"/>
        <v>2.4545059814289972E-5</v>
      </c>
      <c r="N1597" s="1">
        <f t="shared" si="1804"/>
        <v>2.2634432070287745E-5</v>
      </c>
      <c r="O1597" s="1">
        <f t="shared" si="1804"/>
        <v>2.5640164909379963E-5</v>
      </c>
      <c r="P1597" s="1">
        <f>P1598</f>
        <v>2.2119591116668346E-5</v>
      </c>
      <c r="Q1597" s="1">
        <f>Q1598</f>
        <v>3.4414005999804636E-5</v>
      </c>
      <c r="S1597" s="3"/>
    </row>
    <row r="1598" spans="2:19" x14ac:dyDescent="0.5">
      <c r="B1598" t="str">
        <f t="shared" si="1791"/>
        <v>SPS1</v>
      </c>
      <c r="C1598" t="str">
        <f t="shared" si="1792"/>
        <v>CH</v>
      </c>
      <c r="D1598" t="s">
        <v>1601</v>
      </c>
      <c r="E1598" t="str">
        <f t="shared" si="1799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2.5602947625837408E-3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1.0095173883984839E-3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9.871121471988196E-4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3.4004816691920683E-5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3.4258850205504506E-5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3.0727543182963614E-5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3.0736279369045731E-5</v>
      </c>
      <c r="M1598" s="1" cm="1">
        <f t="array" ref="M1598">SUMPRODUCT(("TFHGV-FCLH2O"=[1]OUT_TransportEnergyCons!$A$3:$A$1000)*1,("Var_Fin"=[1]OUT_TransportEnergyCons!$B$3:$B$1000)*1,ISNUMBER(SEARCH("h2",[1]OUT_TransportEnergyCons!$C$3:$C$1000))*1,[1]OUT_TransportEnergyCons!K$3:K$1000)</f>
        <v>2.4545059814289972E-5</v>
      </c>
      <c r="N1598" s="1" cm="1">
        <f t="array" ref="N1598">SUMPRODUCT(("TFHGV-FCLH2O"=[1]OUT_TransportEnergyCons!$A$3:$A$1000)*1,("Var_Fin"=[1]OUT_TransportEnergyCons!$B$3:$B$1000)*1,ISNUMBER(SEARCH("h2",[1]OUT_TransportEnergyCons!$C$3:$C$1000))*1,[1]OUT_TransportEnergyCons!L$3:L$1000)</f>
        <v>2.2634432070287745E-5</v>
      </c>
      <c r="O1598" s="1" cm="1">
        <f t="array" ref="O1598">SUMPRODUCT(("TFHGV-FCLH2O"=[1]OUT_TransportEnergyCons!$A$3:$A$1000)*1,("Var_Fin"=[1]OUT_TransportEnergyCons!$B$3:$B$1000)*1,ISNUMBER(SEARCH("h2",[1]OUT_TransportEnergyCons!$C$3:$C$1000))*1,[1]OUT_TransportEnergyCons!M$3:M$1000)</f>
        <v>2.5640164909379963E-5</v>
      </c>
      <c r="P1598" s="1" cm="1">
        <f t="array" ref="P1598">SUMPRODUCT(("TFHGV-FCLH2O"=[1]OUT_TransportEnergyCons!$A$3:$A$1000)*1,("Var_Fin"=[1]OUT_TransportEnergyCons!$B$3:$B$1000)*1,ISNUMBER(SEARCH("h2",[1]OUT_TransportEnergyCons!$C$3:$C$1000))*1,[1]OUT_TransportEnergyCons!N$3:N$1000)</f>
        <v>2.2119591116668346E-5</v>
      </c>
      <c r="Q1598" s="1" cm="1">
        <f t="array" ref="Q1598">SUMPRODUCT(("TFHGV-FCLH2O"=[1]OUT_TransportEnergyCons!$A$3:$A$1000)*1,("Var_Fin"=[1]OUT_TransportEnergyCons!$B$3:$B$1000)*1,ISNUMBER(SEARCH("h2",[1]OUT_TransportEnergyCons!$C$3:$C$1000))*1,[1]OUT_TransportEnergyCons!O$3:O$1000)</f>
        <v>3.4414005999804636E-5</v>
      </c>
      <c r="S1598" s="3"/>
    </row>
    <row r="1599" spans="2:19" x14ac:dyDescent="0.5">
      <c r="B1599" t="str">
        <f t="shared" si="1791"/>
        <v>SPS1</v>
      </c>
      <c r="C1599" t="str">
        <f t="shared" si="1792"/>
        <v>CH</v>
      </c>
      <c r="D1599" t="s">
        <v>1602</v>
      </c>
      <c r="E1599" t="str">
        <f t="shared" si="1799"/>
        <v>PJ/yr.</v>
      </c>
      <c r="F1599" s="1">
        <f>SUM(F1604:F1605)</f>
        <v>0</v>
      </c>
      <c r="G1599" s="1">
        <f t="shared" ref="G1599:K1599" si="1805">SUM(G1604:G1605)</f>
        <v>0</v>
      </c>
      <c r="H1599" s="1">
        <f t="shared" si="1805"/>
        <v>0</v>
      </c>
      <c r="I1599" s="1">
        <f t="shared" si="1805"/>
        <v>0</v>
      </c>
      <c r="J1599" s="1">
        <f t="shared" si="1805"/>
        <v>0</v>
      </c>
      <c r="K1599" s="1">
        <f t="shared" si="1805"/>
        <v>0</v>
      </c>
      <c r="L1599" s="1">
        <f t="shared" ref="L1599:O1599" si="1806">SUM(L1604:L1605)</f>
        <v>0</v>
      </c>
      <c r="M1599" s="1">
        <f t="shared" si="1806"/>
        <v>0</v>
      </c>
      <c r="N1599" s="1">
        <f t="shared" si="1806"/>
        <v>0</v>
      </c>
      <c r="O1599" s="1">
        <f t="shared" si="1806"/>
        <v>0</v>
      </c>
      <c r="P1599" s="1">
        <f>SUM(P1604:P1605)</f>
        <v>0</v>
      </c>
      <c r="Q1599" s="1">
        <f>SUM(Q1604:Q1605)</f>
        <v>0</v>
      </c>
      <c r="S1599" s="3"/>
    </row>
    <row r="1600" spans="2:19" x14ac:dyDescent="0.5">
      <c r="B1600" t="str">
        <f t="shared" si="1791"/>
        <v>SPS1</v>
      </c>
      <c r="C1600" t="str">
        <f t="shared" si="1792"/>
        <v>CH</v>
      </c>
      <c r="D1600" t="s">
        <v>1603</v>
      </c>
      <c r="E1600" t="str">
        <f t="shared" si="1799"/>
        <v>PJ/yr.</v>
      </c>
      <c r="F1600" s="1">
        <f>F1599-F1601</f>
        <v>0</v>
      </c>
      <c r="G1600" s="1">
        <f t="shared" ref="G1600:K1600" si="1807">G1599-G1601</f>
        <v>0</v>
      </c>
      <c r="H1600" s="1">
        <f t="shared" si="1807"/>
        <v>0</v>
      </c>
      <c r="I1600" s="1">
        <f t="shared" si="1807"/>
        <v>0</v>
      </c>
      <c r="J1600" s="1">
        <f t="shared" si="1807"/>
        <v>0</v>
      </c>
      <c r="K1600" s="1">
        <f t="shared" si="1807"/>
        <v>0</v>
      </c>
      <c r="L1600" s="1">
        <f t="shared" ref="L1600:O1600" si="1808">L1599-L1601</f>
        <v>0</v>
      </c>
      <c r="M1600" s="1">
        <f t="shared" si="1808"/>
        <v>0</v>
      </c>
      <c r="N1600" s="1">
        <f t="shared" si="1808"/>
        <v>0</v>
      </c>
      <c r="O1600" s="1">
        <f t="shared" si="1808"/>
        <v>0</v>
      </c>
      <c r="P1600" s="1">
        <f>P1599-P1601</f>
        <v>0</v>
      </c>
      <c r="Q1600" s="1">
        <f>Q1599-Q1601</f>
        <v>0</v>
      </c>
      <c r="S1600" s="3"/>
    </row>
    <row r="1601" spans="2:19" x14ac:dyDescent="0.5">
      <c r="B1601" t="str">
        <f t="shared" si="1791"/>
        <v>SPS1</v>
      </c>
      <c r="C1601" t="str">
        <f t="shared" si="1792"/>
        <v>CH</v>
      </c>
      <c r="D1601" t="s">
        <v>1604</v>
      </c>
      <c r="E1601" t="str">
        <f t="shared" si="1799"/>
        <v>PJ/yr.</v>
      </c>
      <c r="F1601" s="1">
        <f>SUM(F1602:F1603)</f>
        <v>0</v>
      </c>
      <c r="G1601" s="1">
        <f t="shared" ref="G1601:K1601" si="1809">SUM(G1602:G1603)</f>
        <v>0</v>
      </c>
      <c r="H1601" s="1">
        <f t="shared" si="1809"/>
        <v>0</v>
      </c>
      <c r="I1601" s="1">
        <f t="shared" si="1809"/>
        <v>0</v>
      </c>
      <c r="J1601" s="1">
        <f t="shared" si="1809"/>
        <v>0</v>
      </c>
      <c r="K1601" s="1">
        <f t="shared" si="1809"/>
        <v>0</v>
      </c>
      <c r="L1601" s="1">
        <f t="shared" ref="L1601:O1601" si="1810">SUM(L1602:L1603)</f>
        <v>0</v>
      </c>
      <c r="M1601" s="1">
        <f t="shared" si="1810"/>
        <v>0</v>
      </c>
      <c r="N1601" s="1">
        <f t="shared" si="1810"/>
        <v>0</v>
      </c>
      <c r="O1601" s="1">
        <f t="shared" si="1810"/>
        <v>0</v>
      </c>
      <c r="P1601" s="1">
        <f>SUM(P1602:P1603)</f>
        <v>0</v>
      </c>
      <c r="Q1601" s="1">
        <f>SUM(Q1602:Q1603)</f>
        <v>0</v>
      </c>
      <c r="S1601" s="3"/>
    </row>
    <row r="1602" spans="2:19" x14ac:dyDescent="0.5">
      <c r="B1602" t="str">
        <f t="shared" si="1791"/>
        <v>SPS1</v>
      </c>
      <c r="C1602" t="str">
        <f t="shared" si="1792"/>
        <v>CH</v>
      </c>
      <c r="D1602" t="s">
        <v>1605</v>
      </c>
      <c r="E1602" t="str">
        <f t="shared" si="1799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M1602" s="1">
        <f>[1]Transport!I$25/SUM([1]Transport!I$21,[1]Transport!I$25)*M1599*(M$35+M$600)/(M$35+M$600+M$39)</f>
        <v>0</v>
      </c>
      <c r="N1602" s="1">
        <f>[1]Transport!J$25/SUM([1]Transport!J$21,[1]Transport!J$25)*N1599*(N$35+N$600)/(N$35+N$600+N$39)</f>
        <v>0</v>
      </c>
      <c r="O1602" s="1">
        <f>[1]Transport!K$25/SUM([1]Transport!K$21,[1]Transport!K$25)*O1599*(O$35+O$600)/(O$35+O$600+O$39)</f>
        <v>0</v>
      </c>
      <c r="P1602" s="1">
        <f>[1]Transport!L$25/SUM([1]Transport!L$21,[1]Transport!L$25)*P1599*(P$35+P$600)/(P$35+P$600+P$39)</f>
        <v>0</v>
      </c>
      <c r="Q1602" s="1">
        <f>[1]Transport!M$25/SUM([1]Transport!M$21,[1]Transport!M$25)*Q1599*(Q$35+Q$600)/(Q$35+Q$600+Q$39)</f>
        <v>0</v>
      </c>
      <c r="S1602" s="3"/>
    </row>
    <row r="1603" spans="2:19" x14ac:dyDescent="0.5">
      <c r="B1603" t="str">
        <f t="shared" si="1791"/>
        <v>SPS1</v>
      </c>
      <c r="C1603" t="str">
        <f t="shared" si="1792"/>
        <v>CH</v>
      </c>
      <c r="D1603" t="s">
        <v>1606</v>
      </c>
      <c r="E1603" t="str">
        <f t="shared" si="1799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M1603" s="1">
        <f>(M$39+M$719)/([1]Transport!I$21+[1]Transport!I$25)*M1599</f>
        <v>0</v>
      </c>
      <c r="N1603" s="1">
        <f>(N$39+N$719)/([1]Transport!J$21+[1]Transport!J$25)*N1599</f>
        <v>0</v>
      </c>
      <c r="O1603" s="1">
        <f>(O$39+O$719)/([1]Transport!K$21+[1]Transport!K$25)*O1599</f>
        <v>0</v>
      </c>
      <c r="P1603" s="1">
        <f>(P$39+P$719)/([1]Transport!L$21+[1]Transport!L$25)*P1599</f>
        <v>0</v>
      </c>
      <c r="Q1603" s="1">
        <f>(Q$39+Q$719)/([1]Transport!M$21+[1]Transport!M$25)*Q1599</f>
        <v>0</v>
      </c>
      <c r="S1603" s="3"/>
    </row>
    <row r="1604" spans="2:19" x14ac:dyDescent="0.5">
      <c r="B1604" t="str">
        <f t="shared" si="1791"/>
        <v>SPS1</v>
      </c>
      <c r="C1604" t="str">
        <f t="shared" si="1792"/>
        <v>CH</v>
      </c>
      <c r="D1604" t="s">
        <v>1607</v>
      </c>
      <c r="E1604" t="str">
        <f t="shared" si="1799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M1604" s="1" cm="1">
        <f t="array" ref="M1604">SUMPRODUCT(("TFHGV-ICEGSLExt"=[1]OUT_TransportEnergyCons!$A$3:$A$1000)*1,("Var_Fin"=[1]OUT_TransportEnergyCons!$B$3:$B$1000)*1,ISNUMBER(SEARCH("gsl",[1]OUT_TransportEnergyCons!$C$3:$C$1000))*1,[1]OUT_TransportEnergyCons!K$3:K$1000)</f>
        <v>0</v>
      </c>
      <c r="N1604" s="1" cm="1">
        <f t="array" ref="N1604">SUMPRODUCT(("TFHGV-ICEGSLExt"=[1]OUT_TransportEnergyCons!$A$3:$A$1000)*1,("Var_Fin"=[1]OUT_TransportEnergyCons!$B$3:$B$1000)*1,ISNUMBER(SEARCH("gsl",[1]OUT_TransportEnergyCons!$C$3:$C$1000))*1,[1]OUT_TransportEnergyCons!L$3:L$1000)</f>
        <v>0</v>
      </c>
      <c r="O1604" s="1" cm="1">
        <f t="array" ref="O1604">SUMPRODUCT(("TFHGV-ICEGSLExt"=[1]OUT_TransportEnergyCons!$A$3:$A$1000)*1,("Var_Fin"=[1]OUT_TransportEnergyCons!$B$3:$B$1000)*1,ISNUMBER(SEARCH("gsl",[1]OUT_TransportEnergyCons!$C$3:$C$1000))*1,[1]OUT_TransportEnergyCons!M$3:M$1000)</f>
        <v>0</v>
      </c>
      <c r="P1604" s="1" cm="1">
        <f t="array" ref="P1604">SUMPRODUCT(("TFHGV-ICEGSLExt"=[1]OUT_TransportEnergyCons!$A$3:$A$1000)*1,("Var_Fin"=[1]OUT_TransportEnergyCons!$B$3:$B$1000)*1,ISNUMBER(SEARCH("gsl",[1]OUT_TransportEnergyCons!$C$3:$C$1000))*1,[1]OUT_TransportEnergyCons!N$3:N$1000)</f>
        <v>0</v>
      </c>
      <c r="Q1604" s="1" cm="1">
        <f t="array" ref="Q1604">SUMPRODUCT(("TFHGV-ICEGSLExt"=[1]OUT_TransportEnergyCons!$A$3:$A$1000)*1,("Var_Fin"=[1]OUT_TransportEnergyCons!$B$3:$B$1000)*1,ISNUMBER(SEARCH("gsl",[1]OUT_TransportEnergyCons!$C$3:$C$1000))*1,[1]OUT_TransportEnergyCons!O$3:O$1000)</f>
        <v>0</v>
      </c>
      <c r="S1604" s="3"/>
    </row>
    <row r="1605" spans="2:19" x14ac:dyDescent="0.5">
      <c r="B1605" t="str">
        <f t="shared" si="1791"/>
        <v>SPS1</v>
      </c>
      <c r="C1605" t="str">
        <f t="shared" si="1792"/>
        <v>CH</v>
      </c>
      <c r="D1605" t="s">
        <v>1608</v>
      </c>
      <c r="E1605" t="str">
        <f t="shared" si="1799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M1605" s="1" cm="1">
        <f t="array" ref="M1605">SUMPRODUCT(("TFHGV-ICEGSL"=[1]OUT_TransportEnergyCons!$A$3:$A$1000)*1,("Var_Fin"=[1]OUT_TransportEnergyCons!$B$3:$B$1000)*1,ISNUMBER(SEARCH("gsl",[1]OUT_TransportEnergyCons!$C$3:$C$1000))*1,[1]OUT_TransportEnergyCons!K$3:K$1000)</f>
        <v>0</v>
      </c>
      <c r="N1605" s="1" cm="1">
        <f t="array" ref="N1605">SUMPRODUCT(("TFHGV-ICEGSL"=[1]OUT_TransportEnergyCons!$A$3:$A$1000)*1,("Var_Fin"=[1]OUT_TransportEnergyCons!$B$3:$B$1000)*1,ISNUMBER(SEARCH("gsl",[1]OUT_TransportEnergyCons!$C$3:$C$1000))*1,[1]OUT_TransportEnergyCons!L$3:L$1000)</f>
        <v>0</v>
      </c>
      <c r="O1605" s="1" cm="1">
        <f t="array" ref="O1605">SUMPRODUCT(("TFHGV-ICEGSL"=[1]OUT_TransportEnergyCons!$A$3:$A$1000)*1,("Var_Fin"=[1]OUT_TransportEnergyCons!$B$3:$B$1000)*1,ISNUMBER(SEARCH("gsl",[1]OUT_TransportEnergyCons!$C$3:$C$1000))*1,[1]OUT_TransportEnergyCons!M$3:M$1000)</f>
        <v>0</v>
      </c>
      <c r="P1605" s="1" cm="1">
        <f t="array" ref="P1605">SUMPRODUCT(("TFHGV-ICEGSL"=[1]OUT_TransportEnergyCons!$A$3:$A$1000)*1,("Var_Fin"=[1]OUT_TransportEnergyCons!$B$3:$B$1000)*1,ISNUMBER(SEARCH("gsl",[1]OUT_TransportEnergyCons!$C$3:$C$1000))*1,[1]OUT_TransportEnergyCons!N$3:N$1000)</f>
        <v>0</v>
      </c>
      <c r="Q1605" s="1" cm="1">
        <f t="array" ref="Q1605">SUMPRODUCT(("TFHGV-ICEGSL"=[1]OUT_TransportEnergyCons!$A$3:$A$1000)*1,("Var_Fin"=[1]OUT_TransportEnergyCons!$B$3:$B$1000)*1,ISNUMBER(SEARCH("gsl",[1]OUT_TransportEnergyCons!$C$3:$C$1000))*1,[1]OUT_TransportEnergyCons!O$3:O$1000)</f>
        <v>0</v>
      </c>
      <c r="S1605" s="3"/>
    </row>
    <row r="1606" spans="2:19" x14ac:dyDescent="0.5">
      <c r="B1606" t="str">
        <f t="shared" si="1791"/>
        <v>SPS1</v>
      </c>
      <c r="C1606" t="str">
        <f t="shared" si="1792"/>
        <v>CH</v>
      </c>
      <c r="D1606" t="s">
        <v>1609</v>
      </c>
      <c r="E1606" t="str">
        <f t="shared" si="1799"/>
        <v>PJ/yr.</v>
      </c>
      <c r="F1606" s="1">
        <f>SUM(F1611:F1613)</f>
        <v>24.484427207364583</v>
      </c>
      <c r="G1606" s="1">
        <f t="shared" ref="G1606:K1606" si="1811">SUM(G1611:G1613)</f>
        <v>21.015728010570101</v>
      </c>
      <c r="H1606" s="1">
        <f t="shared" si="1811"/>
        <v>20.487737043458345</v>
      </c>
      <c r="I1606" s="1">
        <f t="shared" si="1811"/>
        <v>16.60366393346084</v>
      </c>
      <c r="J1606" s="1">
        <f t="shared" si="1811"/>
        <v>12.118391367589481</v>
      </c>
      <c r="K1606" s="1">
        <f t="shared" si="1811"/>
        <v>10.823474358502866</v>
      </c>
      <c r="L1606" s="1">
        <f t="shared" ref="L1606:O1606" si="1812">SUM(L1611:L1613)</f>
        <v>4.9480484596017487</v>
      </c>
      <c r="M1606" s="1">
        <f t="shared" si="1812"/>
        <v>2.0021080693546733</v>
      </c>
      <c r="N1606" s="1">
        <f t="shared" si="1812"/>
        <v>0</v>
      </c>
      <c r="O1606" s="1">
        <f t="shared" si="1812"/>
        <v>0</v>
      </c>
      <c r="P1606" s="1">
        <f>SUM(P1611:P1613)</f>
        <v>0</v>
      </c>
      <c r="Q1606" s="1">
        <f>SUM(Q1611:Q1613)</f>
        <v>0</v>
      </c>
      <c r="S1606" s="3"/>
    </row>
    <row r="1607" spans="2:19" x14ac:dyDescent="0.5">
      <c r="B1607" t="str">
        <f t="shared" si="1791"/>
        <v>SPS1</v>
      </c>
      <c r="C1607" t="str">
        <f t="shared" si="1792"/>
        <v>CH</v>
      </c>
      <c r="D1607" t="s">
        <v>1610</v>
      </c>
      <c r="E1607" t="str">
        <f t="shared" si="1799"/>
        <v>PJ/yr.</v>
      </c>
      <c r="F1607" s="1">
        <f>IF(F1606-F1608&lt;0,0,F1606-F1608)</f>
        <v>23.876879895828555</v>
      </c>
      <c r="G1607" s="1">
        <f t="shared" ref="G1607:K1607" si="1813">IF(G1606-G1608&lt;0,0,G1606-G1608)</f>
        <v>20.463893225557932</v>
      </c>
      <c r="H1607" s="1">
        <f t="shared" si="1813"/>
        <v>19.568400120428972</v>
      </c>
      <c r="I1607" s="1">
        <f t="shared" si="1813"/>
        <v>15.833702729834787</v>
      </c>
      <c r="J1607" s="1">
        <f t="shared" si="1813"/>
        <v>11.196451548930607</v>
      </c>
      <c r="K1607" s="1">
        <f t="shared" si="1813"/>
        <v>9.6283669620772478</v>
      </c>
      <c r="L1607" s="1">
        <f t="shared" ref="L1607:O1607" si="1814">IF(L1606-L1608&lt;0,0,L1606-L1608)</f>
        <v>3.5303082799799057</v>
      </c>
      <c r="M1607" s="1">
        <f t="shared" si="1814"/>
        <v>0</v>
      </c>
      <c r="N1607" s="1">
        <f t="shared" si="1814"/>
        <v>0</v>
      </c>
      <c r="O1607" s="1">
        <f t="shared" si="1814"/>
        <v>0</v>
      </c>
      <c r="P1607" s="1">
        <f>IF(P1606-P1608&lt;0,0,P1606-P1608)</f>
        <v>0</v>
      </c>
      <c r="Q1607" s="1">
        <f>IF(Q1606-Q1608&lt;0,0,Q1606-Q1608)</f>
        <v>0</v>
      </c>
      <c r="S1607" s="3"/>
    </row>
    <row r="1608" spans="2:19" x14ac:dyDescent="0.5">
      <c r="B1608" t="str">
        <f t="shared" si="1791"/>
        <v>SPS1</v>
      </c>
      <c r="C1608" t="str">
        <f t="shared" si="1792"/>
        <v>CH</v>
      </c>
      <c r="D1608" t="s">
        <v>1611</v>
      </c>
      <c r="E1608" t="str">
        <f t="shared" si="1799"/>
        <v>PJ/yr.</v>
      </c>
      <c r="F1608" s="1">
        <f>SUM(F1609:F1610)</f>
        <v>0.60754731153602803</v>
      </c>
      <c r="G1608" s="1">
        <f t="shared" ref="G1608:K1608" si="1815">SUM(G1609:G1610)</f>
        <v>0.55183478501216987</v>
      </c>
      <c r="H1608" s="1">
        <f t="shared" si="1815"/>
        <v>0.91933692302937464</v>
      </c>
      <c r="I1608" s="1">
        <f t="shared" si="1815"/>
        <v>0.76996120362605369</v>
      </c>
      <c r="J1608" s="1">
        <f t="shared" si="1815"/>
        <v>0.9219398186588732</v>
      </c>
      <c r="K1608" s="1">
        <f t="shared" si="1815"/>
        <v>1.1951073964256176</v>
      </c>
      <c r="L1608" s="1">
        <f t="shared" ref="L1608:O1608" si="1816">SUM(L1609:L1610)</f>
        <v>1.4177401796218427</v>
      </c>
      <c r="M1608" s="1">
        <f t="shared" si="1816"/>
        <v>4.184010910202252</v>
      </c>
      <c r="N1608" s="1">
        <f t="shared" si="1816"/>
        <v>0</v>
      </c>
      <c r="O1608" s="1">
        <f t="shared" si="1816"/>
        <v>0</v>
      </c>
      <c r="P1608" s="1">
        <f>SUM(P1609:P1610)</f>
        <v>0</v>
      </c>
      <c r="Q1608" s="1">
        <f>SUM(Q1609:Q1610)</f>
        <v>0</v>
      </c>
      <c r="S1608" s="3"/>
    </row>
    <row r="1609" spans="2:19" x14ac:dyDescent="0.5">
      <c r="B1609" t="str">
        <f t="shared" si="1791"/>
        <v>SPS1</v>
      </c>
      <c r="C1609" t="str">
        <f t="shared" si="1792"/>
        <v>CH</v>
      </c>
      <c r="D1609" t="s">
        <v>1612</v>
      </c>
      <c r="E1609" t="str">
        <f t="shared" si="1799"/>
        <v>PJ/yr.</v>
      </c>
      <c r="F1609" s="1">
        <f>[1]Transport!B$26/SUM([1]Transport!B$22,[1]Transport!B$26)*F1606*(F$34+F$582)/(F$34+F$582+F$38)</f>
        <v>0.60754731153602803</v>
      </c>
      <c r="G1609" s="1">
        <f>[1]Transport!C$26/SUM([1]Transport!C$22,[1]Transport!C$26)*G1606*(G$34+G$582)/(G$34+G$582+G$38)</f>
        <v>0.55183478501216987</v>
      </c>
      <c r="H1609" s="1">
        <f>[1]Transport!D$26/SUM([1]Transport!D$22,[1]Transport!D$26)*H1606*(H$34+H$582)/(H$34+H$582+H$38)</f>
        <v>0.91933692302937464</v>
      </c>
      <c r="I1609" s="1">
        <f>[1]Transport!E$26/SUM([1]Transport!E$22,[1]Transport!E$26)*I1606*(I$34+I$582)/(I$34+I$582+I$38)</f>
        <v>0.76996120362605369</v>
      </c>
      <c r="J1609" s="1">
        <f>[1]Transport!F$26/SUM([1]Transport!F$22,[1]Transport!F$26)*J1606*(J$34+J$582)/(J$34+J$582+J$38)</f>
        <v>0.9219398186588732</v>
      </c>
      <c r="K1609" s="1">
        <f>[1]Transport!G$26/SUM([1]Transport!G$22,[1]Transport!G$26)*K1606*(K$34+K$582)/(K$34+K$582+K$38)</f>
        <v>1.1940414495913045</v>
      </c>
      <c r="L1609" s="1">
        <f>[1]Transport!H$26/SUM([1]Transport!H$22,[1]Transport!H$26)*L1606*(L$34+L$582)/(L$34+L$582+L$38)</f>
        <v>1.1237944361973902</v>
      </c>
      <c r="M1609" s="1">
        <f>[1]Transport!I$26/SUM([1]Transport!I$22,[1]Transport!I$26)*M1606*(M$34+M$582)/(M$34+M$582+M$38)</f>
        <v>1.014679247555911</v>
      </c>
      <c r="N1609" s="1">
        <f>[1]Transport!J$26/SUM([1]Transport!J$22,[1]Transport!J$26)*N1606*(N$34+N$582)/(N$34+N$582+N$38)</f>
        <v>0</v>
      </c>
      <c r="O1609" s="1">
        <f>[1]Transport!K$26/SUM([1]Transport!K$22,[1]Transport!K$26)*O1606*(O$34+O$582)/(O$34+O$582+O$38)</f>
        <v>0</v>
      </c>
      <c r="P1609" s="1">
        <f>[1]Transport!L$26/SUM([1]Transport!L$22,[1]Transport!L$26)*P1606*(P$34+P$582)/(P$34+P$582+P$38)</f>
        <v>0</v>
      </c>
      <c r="Q1609" s="1">
        <f>[1]Transport!M$26/SUM([1]Transport!M$22,[1]Transport!M$26)*Q1606*(Q$34+Q$582)/(Q$34+Q$582+Q$38)</f>
        <v>0</v>
      </c>
      <c r="S1609" s="3"/>
    </row>
    <row r="1610" spans="2:19" x14ac:dyDescent="0.5">
      <c r="B1610" t="str">
        <f t="shared" si="1791"/>
        <v>SPS1</v>
      </c>
      <c r="C1610" t="str">
        <f t="shared" si="1792"/>
        <v>CH</v>
      </c>
      <c r="D1610" t="s">
        <v>1613</v>
      </c>
      <c r="E1610" t="str">
        <f t="shared" si="1799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0</v>
      </c>
      <c r="K1610" s="1">
        <f>(K$38+K$718)/([1]Transport!G$22+[1]Transport!G$26)*K1606</f>
        <v>1.0659468343129641E-3</v>
      </c>
      <c r="L1610" s="1">
        <f>(L$38+L$718)/([1]Transport!H$22+[1]Transport!H$26)*L1606</f>
        <v>0.29394574342445262</v>
      </c>
      <c r="M1610" s="1">
        <f>(M$38+M$718)/([1]Transport!I$22+[1]Transport!I$26)*M1606</f>
        <v>3.1693316626463415</v>
      </c>
      <c r="N1610" s="1">
        <f>(N$38+N$718)/([1]Transport!J$22+[1]Transport!J$26)*N1606</f>
        <v>0</v>
      </c>
      <c r="O1610" s="1">
        <f>(O$38+O$718)/([1]Transport!K$22+[1]Transport!K$26)*O1606</f>
        <v>0</v>
      </c>
      <c r="P1610" s="1">
        <f>(P$38+P$718)/([1]Transport!L$22+[1]Transport!L$26)*P1606</f>
        <v>0</v>
      </c>
      <c r="Q1610" s="1">
        <f>(Q$38+Q$718)/([1]Transport!M$22+[1]Transport!M$26)*Q1606</f>
        <v>0</v>
      </c>
      <c r="S1610" s="3"/>
    </row>
    <row r="1611" spans="2:19" x14ac:dyDescent="0.5">
      <c r="B1611" t="str">
        <f t="shared" si="1791"/>
        <v>SPS1</v>
      </c>
      <c r="C1611" t="str">
        <f t="shared" si="1792"/>
        <v>CH</v>
      </c>
      <c r="D1611" t="s">
        <v>1614</v>
      </c>
      <c r="E1611" t="str">
        <f t="shared" si="1799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19.236771543604398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11.804297960157431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11.487302078335135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4.9462703868194193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M1611" s="1" cm="1">
        <f t="array" ref="M1611">SUMPRODUCT(("TFHGV-ICEdslExt"=[1]OUT_TransportEnergyCons!$A$3:$A$1000)*1,("Var_Fin"=[1]OUT_TransportEnergyCons!$B$3:$B$1000)*1,ISNUMBER(SEARCH("dsl",[1]OUT_TransportEnergyCons!$C$3:$C$1000))*1,[1]OUT_TransportEnergyCons!K$3:K$1000)</f>
        <v>0</v>
      </c>
      <c r="N1611" s="1" cm="1">
        <f t="array" ref="N1611">SUMPRODUCT(("TFHGV-ICEdslExt"=[1]OUT_TransportEnergyCons!$A$3:$A$1000)*1,("Var_Fin"=[1]OUT_TransportEnergyCons!$B$3:$B$1000)*1,ISNUMBER(SEARCH("dsl",[1]OUT_TransportEnergyCons!$C$3:$C$1000))*1,[1]OUT_TransportEnergyCons!L$3:L$1000)</f>
        <v>0</v>
      </c>
      <c r="O1611" s="1" cm="1">
        <f t="array" ref="O1611">SUMPRODUCT(("TFHGV-ICEdslExt"=[1]OUT_TransportEnergyCons!$A$3:$A$1000)*1,("Var_Fin"=[1]OUT_TransportEnergyCons!$B$3:$B$1000)*1,ISNUMBER(SEARCH("dsl",[1]OUT_TransportEnergyCons!$C$3:$C$1000))*1,[1]OUT_TransportEnergyCons!M$3:M$1000)</f>
        <v>0</v>
      </c>
      <c r="P1611" s="1" cm="1">
        <f t="array" ref="P1611">SUMPRODUCT(("TFHGV-ICEdslExt"=[1]OUT_TransportEnergyCons!$A$3:$A$1000)*1,("Var_Fin"=[1]OUT_TransportEnergyCons!$B$3:$B$1000)*1,ISNUMBER(SEARCH("dsl",[1]OUT_TransportEnergyCons!$C$3:$C$1000))*1,[1]OUT_TransportEnergyCons!N$3:N$1000)</f>
        <v>0</v>
      </c>
      <c r="Q1611" s="1" cm="1">
        <f t="array" ref="Q1611">SUMPRODUCT(("TFHGV-ICEdslExt"=[1]OUT_TransportEnergyCons!$A$3:$A$1000)*1,("Var_Fin"=[1]OUT_TransportEnergyCons!$B$3:$B$1000)*1,ISNUMBER(SEARCH("dsl",[1]OUT_TransportEnergyCons!$C$3:$C$1000))*1,[1]OUT_TransportEnergyCons!O$3:O$1000)</f>
        <v>0</v>
      </c>
      <c r="S1611" s="3"/>
    </row>
    <row r="1612" spans="2:19" x14ac:dyDescent="0.5">
      <c r="B1612" t="str">
        <f t="shared" si="1791"/>
        <v>SPS1</v>
      </c>
      <c r="C1612" t="str">
        <f t="shared" si="1792"/>
        <v>CH</v>
      </c>
      <c r="D1612" t="s">
        <v>1615</v>
      </c>
      <c r="E1612" t="str">
        <f t="shared" si="1799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5.2476556637601863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6.1445943209396123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4.8002527445001872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0.44129046959933788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7.2786437594047791E-4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7.2977029345991102E-4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6.6883902368921862E-4</v>
      </c>
      <c r="M1612" s="1" cm="1">
        <f t="array" ref="M1612">SUMPRODUCT(("TFHGV-ICEdsl"=[1]OUT_TransportEnergyCons!$A$3:$A$1000)*1,("Var_Fin"=[1]OUT_TransportEnergyCons!$B$3:$B$1000)*1,ISNUMBER(SEARCH("dsl",[1]OUT_TransportEnergyCons!$C$3:$C$1000))*1,[1]OUT_TransportEnergyCons!K$3:K$1000)</f>
        <v>3.1544653987368118E-4</v>
      </c>
      <c r="N1612" s="1" cm="1">
        <f t="array" ref="N1612">SUMPRODUCT(("TFHGV-ICEdsl"=[1]OUT_TransportEnergyCons!$A$3:$A$1000)*1,("Var_Fin"=[1]OUT_TransportEnergyCons!$B$3:$B$1000)*1,ISNUMBER(SEARCH("dsl",[1]OUT_TransportEnergyCons!$C$3:$C$1000))*1,[1]OUT_TransportEnergyCons!L$3:L$1000)</f>
        <v>0</v>
      </c>
      <c r="O1612" s="1" cm="1">
        <f t="array" ref="O1612">SUMPRODUCT(("TFHGV-ICEdsl"=[1]OUT_TransportEnergyCons!$A$3:$A$1000)*1,("Var_Fin"=[1]OUT_TransportEnergyCons!$B$3:$B$1000)*1,ISNUMBER(SEARCH("dsl",[1]OUT_TransportEnergyCons!$C$3:$C$1000))*1,[1]OUT_TransportEnergyCons!M$3:M$1000)</f>
        <v>0</v>
      </c>
      <c r="P1612" s="1" cm="1">
        <f t="array" ref="P1612">SUMPRODUCT(("TFHGV-ICEdsl"=[1]OUT_TransportEnergyCons!$A$3:$A$1000)*1,("Var_Fin"=[1]OUT_TransportEnergyCons!$B$3:$B$1000)*1,ISNUMBER(SEARCH("dsl",[1]OUT_TransportEnergyCons!$C$3:$C$1000))*1,[1]OUT_TransportEnergyCons!N$3:N$1000)</f>
        <v>0</v>
      </c>
      <c r="Q1612" s="1" cm="1">
        <f t="array" ref="Q1612">SUMPRODUCT(("TFHGV-ICEdsl"=[1]OUT_TransportEnergyCons!$A$3:$A$1000)*1,("Var_Fin"=[1]OUT_TransportEnergyCons!$B$3:$B$1000)*1,ISNUMBER(SEARCH("dsl",[1]OUT_TransportEnergyCons!$C$3:$C$1000))*1,[1]OUT_TransportEnergyCons!O$3:O$1000)</f>
        <v>0</v>
      </c>
      <c r="S1612" s="3"/>
    </row>
    <row r="1613" spans="2:19" x14ac:dyDescent="0.5">
      <c r="B1613" t="str">
        <f t="shared" si="1791"/>
        <v>SPS1</v>
      </c>
      <c r="C1613" t="str">
        <f t="shared" si="1792"/>
        <v>CH</v>
      </c>
      <c r="D1613" t="s">
        <v>1616</v>
      </c>
      <c r="E1613" t="str">
        <f t="shared" si="1799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3.0668357294730559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4.2001822206230219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11.216103077042083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12.11766350321354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10.822744588209405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4.9473796205780598</v>
      </c>
      <c r="M1613" s="1" cm="1">
        <f t="array" ref="M1613">SUMPRODUCT(("TFHGV-HYBDSL"=[1]OUT_TransportEnergyCons!$A$3:$A$1000)*1,("Var_Fin"=[1]OUT_TransportEnergyCons!$B$3:$B$1000)*1,ISNUMBER(SEARCH("dsl",[1]OUT_TransportEnergyCons!$C$3:$C$1000))*1,[1]OUT_TransportEnergyCons!K$3:K$1000)</f>
        <v>2.0017926228147997</v>
      </c>
      <c r="N1613" s="1" cm="1">
        <f t="array" ref="N1613">SUMPRODUCT(("TFHGV-HYBDSL"=[1]OUT_TransportEnergyCons!$A$3:$A$1000)*1,("Var_Fin"=[1]OUT_TransportEnergyCons!$B$3:$B$1000)*1,ISNUMBER(SEARCH("dsl",[1]OUT_TransportEnergyCons!$C$3:$C$1000))*1,[1]OUT_TransportEnergyCons!L$3:L$1000)</f>
        <v>0</v>
      </c>
      <c r="O1613" s="1" cm="1">
        <f t="array" ref="O1613">SUMPRODUCT(("TFHGV-HYBDSL"=[1]OUT_TransportEnergyCons!$A$3:$A$1000)*1,("Var_Fin"=[1]OUT_TransportEnergyCons!$B$3:$B$1000)*1,ISNUMBER(SEARCH("dsl",[1]OUT_TransportEnergyCons!$C$3:$C$1000))*1,[1]OUT_TransportEnergyCons!M$3:M$1000)</f>
        <v>0</v>
      </c>
      <c r="P1613" s="1" cm="1">
        <f t="array" ref="P1613">SUMPRODUCT(("TFHGV-HYBDSL"=[1]OUT_TransportEnergyCons!$A$3:$A$1000)*1,("Var_Fin"=[1]OUT_TransportEnergyCons!$B$3:$B$1000)*1,ISNUMBER(SEARCH("dsl",[1]OUT_TransportEnergyCons!$C$3:$C$1000))*1,[1]OUT_TransportEnergyCons!N$3:N$1000)</f>
        <v>0</v>
      </c>
      <c r="Q1613" s="1" cm="1">
        <f t="array" ref="Q1613">SUMPRODUCT(("TFHGV-HYBDSL"=[1]OUT_TransportEnergyCons!$A$3:$A$1000)*1,("Var_Fin"=[1]OUT_TransportEnergyCons!$B$3:$B$1000)*1,ISNUMBER(SEARCH("dsl",[1]OUT_TransportEnergyCons!$C$3:$C$1000))*1,[1]OUT_TransportEnergyCons!O$3:O$1000)</f>
        <v>0</v>
      </c>
      <c r="S1613" s="3"/>
    </row>
    <row r="1614" spans="2:19" x14ac:dyDescent="0.5">
      <c r="B1614" t="str">
        <f t="shared" si="1791"/>
        <v>SPS1</v>
      </c>
      <c r="C1614" t="str">
        <f t="shared" si="1792"/>
        <v>CH</v>
      </c>
      <c r="D1614" t="s">
        <v>1617</v>
      </c>
      <c r="E1614" t="str">
        <f t="shared" si="1799"/>
        <v>PJ/yr.</v>
      </c>
      <c r="F1614" s="1">
        <f>F1619</f>
        <v>1.8082720660845621E-2</v>
      </c>
      <c r="G1614" s="1">
        <f t="shared" ref="G1614:K1614" si="1817">G1619</f>
        <v>2.3229551277167116E-3</v>
      </c>
      <c r="H1614" s="1">
        <f t="shared" si="1817"/>
        <v>2.949656934039843E-3</v>
      </c>
      <c r="I1614" s="1">
        <f t="shared" si="1817"/>
        <v>2.8890204356878686E-3</v>
      </c>
      <c r="J1614" s="1">
        <f t="shared" si="1817"/>
        <v>2.5883417253546779E-3</v>
      </c>
      <c r="K1614" s="1">
        <f t="shared" si="1817"/>
        <v>2.7108222775916319E-3</v>
      </c>
      <c r="L1614" s="1">
        <f t="shared" ref="L1614:O1614" si="1818">L1619</f>
        <v>2.4941420201003532E-3</v>
      </c>
      <c r="M1614" s="1">
        <f t="shared" si="1818"/>
        <v>1.1315508327928697E-3</v>
      </c>
      <c r="N1614" s="1">
        <f t="shared" si="1818"/>
        <v>0</v>
      </c>
      <c r="O1614" s="1">
        <f t="shared" si="1818"/>
        <v>0</v>
      </c>
      <c r="P1614" s="1">
        <f>P1619</f>
        <v>0</v>
      </c>
      <c r="Q1614" s="1">
        <f>Q1619</f>
        <v>0</v>
      </c>
      <c r="S1614" s="3"/>
    </row>
    <row r="1615" spans="2:19" x14ac:dyDescent="0.5">
      <c r="B1615" t="str">
        <f t="shared" si="1791"/>
        <v>SPS1</v>
      </c>
      <c r="C1615" t="str">
        <f t="shared" si="1792"/>
        <v>CH</v>
      </c>
      <c r="D1615" t="s">
        <v>1618</v>
      </c>
      <c r="E1615" t="str">
        <f t="shared" si="1799"/>
        <v>PJ/yr.</v>
      </c>
      <c r="F1615" s="1">
        <f>IF(F1614-F1616&lt;0,0,F1614-F1616)</f>
        <v>1.6707776692323113E-2</v>
      </c>
      <c r="G1615" s="1">
        <f t="shared" ref="G1615:K1615" si="1819">IF(G1614-G1616&lt;0,0,G1614-G1616)</f>
        <v>2.0339604260411516E-3</v>
      </c>
      <c r="H1615" s="1">
        <f t="shared" si="1819"/>
        <v>2.9139299676497069E-3</v>
      </c>
      <c r="I1615" s="1">
        <f t="shared" si="1819"/>
        <v>2.8427653750640706E-3</v>
      </c>
      <c r="J1615" s="1">
        <f t="shared" si="1819"/>
        <v>0</v>
      </c>
      <c r="K1615" s="1">
        <f t="shared" si="1819"/>
        <v>0</v>
      </c>
      <c r="L1615" s="1">
        <f t="shared" ref="L1615:O1615" si="1820">IF(L1614-L1616&lt;0,0,L1614-L1616)</f>
        <v>0</v>
      </c>
      <c r="M1615" s="1">
        <f t="shared" si="1820"/>
        <v>0</v>
      </c>
      <c r="N1615" s="1">
        <f t="shared" si="1820"/>
        <v>0</v>
      </c>
      <c r="O1615" s="1">
        <f t="shared" si="1820"/>
        <v>0</v>
      </c>
      <c r="P1615" s="1">
        <f>IF(P1614-P1616&lt;0,0,P1614-P1616)</f>
        <v>0</v>
      </c>
      <c r="Q1615" s="1">
        <f>IF(Q1614-Q1616&lt;0,0,Q1614-Q1616)</f>
        <v>0</v>
      </c>
      <c r="S1615" s="3"/>
    </row>
    <row r="1616" spans="2:19" x14ac:dyDescent="0.5">
      <c r="B1616" t="str">
        <f t="shared" si="1791"/>
        <v>SPS1</v>
      </c>
      <c r="C1616" t="str">
        <f t="shared" si="1792"/>
        <v>CH</v>
      </c>
      <c r="D1616" t="s">
        <v>1619</v>
      </c>
      <c r="E1616" t="str">
        <f t="shared" si="1799"/>
        <v>PJ/yr.</v>
      </c>
      <c r="F1616" s="1">
        <f>SUM(F1617:F1618)</f>
        <v>1.37494396852251E-3</v>
      </c>
      <c r="G1616" s="1">
        <f t="shared" ref="G1616:K1616" si="1821">SUM(G1617:G1618)</f>
        <v>2.8899470167555999E-4</v>
      </c>
      <c r="H1616" s="1">
        <f t="shared" si="1821"/>
        <v>3.5726966390136171E-5</v>
      </c>
      <c r="I1616" s="1">
        <f t="shared" si="1821"/>
        <v>4.6255060623797855E-5</v>
      </c>
      <c r="J1616" s="1">
        <f t="shared" si="1821"/>
        <v>2.6810413776785775E-3</v>
      </c>
      <c r="K1616" s="1">
        <f t="shared" si="1821"/>
        <v>4.2413482457057568E-3</v>
      </c>
      <c r="L1616" s="1">
        <f t="shared" ref="L1616:O1616" si="1822">SUM(L1617:L1618)</f>
        <v>2.5523767743183151E-3</v>
      </c>
      <c r="M1616" s="1">
        <f t="shared" si="1822"/>
        <v>1.608582896112607E-3</v>
      </c>
      <c r="N1616" s="1">
        <f t="shared" si="1822"/>
        <v>0</v>
      </c>
      <c r="O1616" s="1">
        <f t="shared" si="1822"/>
        <v>0</v>
      </c>
      <c r="P1616" s="1">
        <f>SUM(P1617:P1618)</f>
        <v>0</v>
      </c>
      <c r="Q1616" s="1">
        <f>SUM(Q1617:Q1618)</f>
        <v>0</v>
      </c>
      <c r="S1616" s="3"/>
    </row>
    <row r="1617" spans="2:19" x14ac:dyDescent="0.5">
      <c r="B1617" t="str">
        <f t="shared" si="1791"/>
        <v>SPS1</v>
      </c>
      <c r="C1617" t="str">
        <f t="shared" si="1792"/>
        <v>CH</v>
      </c>
      <c r="D1617" t="s">
        <v>1620</v>
      </c>
      <c r="E1617" t="str">
        <f t="shared" si="1799"/>
        <v>PJ/yr.</v>
      </c>
      <c r="F1617" s="1">
        <f>IF(SUM([1]Transport!B$24,[1]Transport!B$27)=0,0,[1]Transport!B$27/SUM([1]Transport!B$24,[1]Transport!B$27)*F1614*(F$47+F$614)/(F$47+F$614+F$49))</f>
        <v>1.37494396852251E-3</v>
      </c>
      <c r="G1617" s="1">
        <f>IF(SUM([1]Transport!C$24,[1]Transport!C$27)=0,0,[1]Transport!C$27/SUM([1]Transport!C$24,[1]Transport!C$27)*G1614*(G$47+G$614)/(G$47+G$614+G$49))</f>
        <v>2.8899470167555999E-4</v>
      </c>
      <c r="H1617" s="1">
        <f>IF(SUM([1]Transport!D$24,[1]Transport!D$27)=0,0,[1]Transport!D$27/SUM([1]Transport!D$24,[1]Transport!D$27)*H1614*(H$47+H$614)/(H$47+H$614+H$49))</f>
        <v>3.5726966390136171E-5</v>
      </c>
      <c r="I1617" s="1">
        <f>IF(SUM([1]Transport!E$24,[1]Transport!E$27)=0,0,[1]Transport!E$27/SUM([1]Transport!E$24,[1]Transport!E$27)*I1614*(I$47+I$614)/(I$47+I$614+I$49))</f>
        <v>4.6255060623797855E-5</v>
      </c>
      <c r="J1617" s="1">
        <f>IF(SUM([1]Transport!F$24,[1]Transport!F$27)=0,0,[1]Transport!F$27/SUM([1]Transport!F$24,[1]Transport!F$27)*J1614*(J$47+J$614)/(J$47+J$614+J$49))</f>
        <v>9.2699652323899814E-5</v>
      </c>
      <c r="K1617" s="1">
        <f>IF(SUM([1]Transport!G$24,[1]Transport!G$27)=0,0,[1]Transport!G$27/SUM([1]Transport!G$24,[1]Transport!G$27)*K1614*(K$47+K$614)/(K$47+K$614+K$49))</f>
        <v>1.5305259681141247E-3</v>
      </c>
      <c r="L1617" s="1">
        <f>IF(SUM([1]Transport!H$24,[1]Transport!H$27)=0,0,[1]Transport!H$27/SUM([1]Transport!H$24,[1]Transport!H$27)*L1614*(L$47+L$614)/(L$47+L$614+L$49))</f>
        <v>5.8234754217961819E-5</v>
      </c>
      <c r="M1617" s="1">
        <f>IF(SUM([1]Transport!I$24,[1]Transport!I$27)=0,0,[1]Transport!I$27/SUM([1]Transport!I$24,[1]Transport!I$27)*M1614*(M$47+M$614)/(M$47+M$614+M$49))</f>
        <v>4.7703206331973738E-4</v>
      </c>
      <c r="N1617" s="1">
        <f>IF(SUM([1]Transport!J$24,[1]Transport!J$27)=0,0,[1]Transport!J$27/SUM([1]Transport!J$24,[1]Transport!J$27)*N1614*(N$47+N$614)/(N$47+N$614+N$49))</f>
        <v>0</v>
      </c>
      <c r="O1617" s="1">
        <f>IF(SUM([1]Transport!K$24,[1]Transport!K$27)=0,0,[1]Transport!K$27/SUM([1]Transport!K$24,[1]Transport!K$27)*O1614*(O$47+O$614)/(O$47+O$614+O$49))</f>
        <v>0</v>
      </c>
      <c r="P1617" s="1">
        <f>IF(SUM([1]Transport!L$24,[1]Transport!L$27)=0,0,[1]Transport!L$27/SUM([1]Transport!L$24,[1]Transport!L$27)*P1614*(P$47+P$614)/(P$47+P$614+P$49))</f>
        <v>0</v>
      </c>
      <c r="Q1617" s="1">
        <f>IF(SUM([1]Transport!M$24,[1]Transport!M$27)=0,0,[1]Transport!M$27/SUM([1]Transport!M$24,[1]Transport!M$27)*Q1614*(Q$47+Q$614)/(Q$47+Q$614+Q$49))</f>
        <v>0</v>
      </c>
      <c r="S1617" s="3"/>
    </row>
    <row r="1618" spans="2:19" x14ac:dyDescent="0.5">
      <c r="B1618" t="str">
        <f t="shared" si="1791"/>
        <v>SPS1</v>
      </c>
      <c r="C1618" t="str">
        <f t="shared" si="1792"/>
        <v>CH</v>
      </c>
      <c r="D1618" t="s">
        <v>1621</v>
      </c>
      <c r="E1618" t="str">
        <f t="shared" si="1799"/>
        <v>PJ/yr.</v>
      </c>
      <c r="F1618" s="1">
        <f>IF(([1]Transport!B$24+[1]Transport!B$27)=0,0,IF((F$49+F$716)/([1]Transport!B$24+[1]Transport!B$27)*F1614&gt;F1614,F1614,(F$49+F$716)/([1]Transport!B$24+[1]Transport!B$27)*F1614))</f>
        <v>0</v>
      </c>
      <c r="G1618" s="1">
        <f>IF(([1]Transport!C$24+[1]Transport!C$27)=0,0,IF((G$49+G$716)/([1]Transport!C$24+[1]Transport!C$27)*G1614&gt;G1614,G1614,(G$49+G$716)/([1]Transport!C$24+[1]Transport!C$27)*G1614))</f>
        <v>0</v>
      </c>
      <c r="H1618" s="1">
        <f>IF(([1]Transport!D$24+[1]Transport!D$27)=0,0,IF((H$49+H$716)/([1]Transport!D$24+[1]Transport!D$27)*H1614&gt;H1614,H1614,(H$49+H$716)/([1]Transport!D$24+[1]Transport!D$27)*H1614))</f>
        <v>0</v>
      </c>
      <c r="I1618" s="1">
        <f>IF(([1]Transport!E$24+[1]Transport!E$27)=0,0,IF((I$49+I$716)/([1]Transport!E$24+[1]Transport!E$27)*I1614&gt;I1614,I1614,(I$49+I$716)/([1]Transport!E$24+[1]Transport!E$27)*I1614))</f>
        <v>0</v>
      </c>
      <c r="J1618" s="1">
        <f>IF(([1]Transport!F$24+[1]Transport!F$27)=0,0,IF((J$49+J$716)/([1]Transport!F$24+[1]Transport!F$27)*J1614&gt;J1614,J1614,(J$49+J$716)/([1]Transport!F$24+[1]Transport!F$27)*J1614))</f>
        <v>2.5883417253546779E-3</v>
      </c>
      <c r="K1618" s="1">
        <f>IF(([1]Transport!G$24+[1]Transport!G$27)=0,0,IF((K$49+K$716)/([1]Transport!G$24+[1]Transport!G$27)*K1614&gt;K1614,K1614,(K$49+K$716)/([1]Transport!G$24+[1]Transport!G$27)*K1614))</f>
        <v>2.7108222775916319E-3</v>
      </c>
      <c r="L1618" s="1">
        <f>IF(([1]Transport!H$24+[1]Transport!H$27)=0,0,IF((L$49+L$716)/([1]Transport!H$24+[1]Transport!H$27)*L1614&gt;L1614,L1614,(L$49+L$716)/([1]Transport!H$24+[1]Transport!H$27)*L1614))</f>
        <v>2.4941420201003532E-3</v>
      </c>
      <c r="M1618" s="1">
        <f>IF(([1]Transport!I$24+[1]Transport!I$27)=0,0,IF((M$49+M$716)/([1]Transport!I$24+[1]Transport!I$27)*M1614&gt;M1614,M1614,(M$49+M$716)/([1]Transport!I$24+[1]Transport!I$27)*M1614))</f>
        <v>1.1315508327928697E-3</v>
      </c>
      <c r="N1618" s="1">
        <f>IF(([1]Transport!J$24+[1]Transport!J$27)=0,0,IF((N$49+N$716)/([1]Transport!J$24+[1]Transport!J$27)*N1614&gt;N1614,N1614,(N$49+N$716)/([1]Transport!J$24+[1]Transport!J$27)*N1614))</f>
        <v>0</v>
      </c>
      <c r="O1618" s="1">
        <f>IF(([1]Transport!K$24+[1]Transport!K$27)=0,0,IF((O$49+O$716)/([1]Transport!K$24+[1]Transport!K$27)*O1614&gt;O1614,O1614,(O$49+O$716)/([1]Transport!K$24+[1]Transport!K$27)*O1614))</f>
        <v>0</v>
      </c>
      <c r="P1618" s="1">
        <f>IF(([1]Transport!L$24+[1]Transport!L$27)=0,0,IF((P$49+P$716)/([1]Transport!L$24+[1]Transport!L$27)*P1614&gt;P1614,P1614,(P$49+P$716)/([1]Transport!L$24+[1]Transport!L$27)*P1614))</f>
        <v>0</v>
      </c>
      <c r="Q1618" s="1">
        <f>IF(([1]Transport!M$24+[1]Transport!M$27)=0,0,IF((Q$49+Q$716)/([1]Transport!M$24+[1]Transport!M$27)*Q1614&gt;Q1614,Q1614,(Q$49+Q$716)/([1]Transport!M$24+[1]Transport!M$27)*Q1614))</f>
        <v>0</v>
      </c>
      <c r="S1618" s="3"/>
    </row>
    <row r="1619" spans="2:19" x14ac:dyDescent="0.5">
      <c r="B1619" t="str">
        <f t="shared" si="1791"/>
        <v>SPS1</v>
      </c>
      <c r="C1619" t="str">
        <f t="shared" si="1792"/>
        <v>CH</v>
      </c>
      <c r="D1619" t="s">
        <v>1622</v>
      </c>
      <c r="E1619" t="str">
        <f t="shared" si="1799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1.8082720660845621E-2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2.3229551277167116E-3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2.949656934039843E-3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2.8890204356878686E-3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2.5883417253546779E-3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2.7108222775916319E-3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2.4941420201003532E-3</v>
      </c>
      <c r="M1619" s="1" cm="1">
        <f t="array" ref="M1619">SUMPRODUCT(("TFHGV-ICENGA"=[1]OUT_TransportEnergyCons!$A$3:$A$1000)*1,("Var_Fin"=[1]OUT_TransportEnergyCons!$B$3:$B$1000)*1,ISNUMBER(SEARCH("nga",[1]OUT_TransportEnergyCons!$C$3:$C$1000))*1,[1]OUT_TransportEnergyCons!K$3:K$1000)</f>
        <v>1.1315508327928697E-3</v>
      </c>
      <c r="N1619" s="1" cm="1">
        <f t="array" ref="N1619">SUMPRODUCT(("TFHGV-ICENGA"=[1]OUT_TransportEnergyCons!$A$3:$A$1000)*1,("Var_Fin"=[1]OUT_TransportEnergyCons!$B$3:$B$1000)*1,ISNUMBER(SEARCH("nga",[1]OUT_TransportEnergyCons!$C$3:$C$1000))*1,[1]OUT_TransportEnergyCons!L$3:L$1000)</f>
        <v>0</v>
      </c>
      <c r="O1619" s="1" cm="1">
        <f t="array" ref="O1619">SUMPRODUCT(("TFHGV-ICENGA"=[1]OUT_TransportEnergyCons!$A$3:$A$1000)*1,("Var_Fin"=[1]OUT_TransportEnergyCons!$B$3:$B$1000)*1,ISNUMBER(SEARCH("nga",[1]OUT_TransportEnergyCons!$C$3:$C$1000))*1,[1]OUT_TransportEnergyCons!M$3:M$1000)</f>
        <v>0</v>
      </c>
      <c r="P1619" s="1" cm="1">
        <f t="array" ref="P1619">SUMPRODUCT(("TFHGV-ICENGA"=[1]OUT_TransportEnergyCons!$A$3:$A$1000)*1,("Var_Fin"=[1]OUT_TransportEnergyCons!$B$3:$B$1000)*1,ISNUMBER(SEARCH("nga",[1]OUT_TransportEnergyCons!$C$3:$C$1000))*1,[1]OUT_TransportEnergyCons!N$3:N$1000)</f>
        <v>0</v>
      </c>
      <c r="Q1619" s="1" cm="1">
        <f t="array" ref="Q1619">SUMPRODUCT(("TFHGV-ICENGA"=[1]OUT_TransportEnergyCons!$A$3:$A$1000)*1,("Var_Fin"=[1]OUT_TransportEnergyCons!$B$3:$B$1000)*1,ISNUMBER(SEARCH("nga",[1]OUT_TransportEnergyCons!$C$3:$C$1000))*1,[1]OUT_TransportEnergyCons!O$3:O$1000)</f>
        <v>0</v>
      </c>
      <c r="S1619" s="3"/>
    </row>
    <row r="1620" spans="2:19" x14ac:dyDescent="0.5">
      <c r="B1620" s="2" t="str">
        <f t="shared" si="1791"/>
        <v>SPS1</v>
      </c>
      <c r="C1620" s="2" t="str">
        <f t="shared" si="1792"/>
        <v>CH</v>
      </c>
      <c r="D1620" s="2" t="s">
        <v>1623</v>
      </c>
      <c r="E1620" s="2" t="s">
        <v>1517</v>
      </c>
      <c r="F1620" s="3">
        <f>SUM(F1621:F1629)</f>
        <v>2.2034059836047586</v>
      </c>
      <c r="G1620" s="3">
        <f t="shared" ref="G1620" si="1823">SUM(G1621:G1629)</f>
        <v>2.2263420687943829</v>
      </c>
      <c r="H1620" s="3">
        <f t="shared" ref="H1620" si="1824">SUM(H1621:H1629)</f>
        <v>2.2607490655191258</v>
      </c>
      <c r="I1620" s="3">
        <f t="shared" ref="I1620" si="1825">SUM(I1621:I1629)</f>
        <v>2.318093183475566</v>
      </c>
      <c r="J1620" s="3">
        <f t="shared" ref="J1620" si="1826">SUM(J1621:J1629)</f>
        <v>2.4189040399379036</v>
      </c>
      <c r="K1620" s="3">
        <f t="shared" ref="K1620" si="1827">SUM(K1621:K1629)</f>
        <v>2.520102177537078</v>
      </c>
      <c r="L1620" s="3">
        <f t="shared" ref="L1620:O1620" si="1828">SUM(L1621:L1629)</f>
        <v>2.6223382097061796</v>
      </c>
      <c r="M1620" s="3">
        <f t="shared" si="1828"/>
        <v>2.7245729430274341</v>
      </c>
      <c r="N1620" s="3">
        <f t="shared" si="1828"/>
        <v>2.8129659171334893</v>
      </c>
      <c r="O1620" s="3">
        <f t="shared" si="1828"/>
        <v>2.9109948787769273</v>
      </c>
      <c r="P1620" s="3">
        <f>SUM(P1621:P1629)</f>
        <v>3.0146641217934063</v>
      </c>
      <c r="Q1620" s="3">
        <f>SUM(Q1621:Q1629)</f>
        <v>3.1326884770535468</v>
      </c>
      <c r="S1620" s="3"/>
    </row>
    <row r="1621" spans="2:19" x14ac:dyDescent="0.5">
      <c r="B1621" t="str">
        <f t="shared" si="1791"/>
        <v>SPS1</v>
      </c>
      <c r="C1621" t="str">
        <f t="shared" si="1792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M1621" s="1" cm="1">
        <f t="array" ref="M1621">SUMPRODUCT(("TFHGV-BeVELCExt"=[1]OUT_TransportEnergyCons!$A$3:$A$1000)*1,("var_fout"=[1]OUT_TransportEnergyCons!$B$3:$B$1000)*1,ISNUMBER(SEARCH("TFHGV",[1]OUT_TransportEnergyCons!$C$3:$C$1000))*1,[1]OUT_TransportEnergyCons!K$3:K$1000)</f>
        <v>0</v>
      </c>
      <c r="N1621" s="1" cm="1">
        <f t="array" ref="N1621">SUMPRODUCT(("TFHGV-BeVELCExt"=[1]OUT_TransportEnergyCons!$A$3:$A$1000)*1,("var_fout"=[1]OUT_TransportEnergyCons!$B$3:$B$1000)*1,ISNUMBER(SEARCH("TFHGV",[1]OUT_TransportEnergyCons!$C$3:$C$1000))*1,[1]OUT_TransportEnergyCons!L$3:L$1000)</f>
        <v>0</v>
      </c>
      <c r="O1621" s="1" cm="1">
        <f t="array" ref="O1621">SUMPRODUCT(("TFHGV-BeVELCExt"=[1]OUT_TransportEnergyCons!$A$3:$A$1000)*1,("var_fout"=[1]OUT_TransportEnergyCons!$B$3:$B$1000)*1,ISNUMBER(SEARCH("TFHGV",[1]OUT_TransportEnergyCons!$C$3:$C$1000))*1,[1]OUT_TransportEnergyCons!M$3:M$1000)</f>
        <v>0</v>
      </c>
      <c r="P1621" s="1" cm="1">
        <f t="array" ref="P1621">SUMPRODUCT(("TFHGV-BeVELCExt"=[1]OUT_TransportEnergyCons!$A$3:$A$1000)*1,("var_fout"=[1]OUT_TransportEnergyCons!$B$3:$B$1000)*1,ISNUMBER(SEARCH("TFHGV",[1]OUT_TransportEnergyCons!$C$3:$C$1000))*1,[1]OUT_TransportEnergyCons!N$3:N$1000)</f>
        <v>0</v>
      </c>
      <c r="Q1621" s="1" cm="1">
        <f t="array" ref="Q1621">SUMPRODUCT(("TFHGV-BeVELCExt"=[1]OUT_TransportEnergyCons!$A$3:$A$1000)*1,("var_fout"=[1]OUT_TransportEnergyCons!$B$3:$B$1000)*1,ISNUMBER(SEARCH("TFHGV",[1]OUT_TransportEnergyCons!$C$3:$C$1000))*1,[1]OUT_TransportEnergyCons!O$3:O$1000)</f>
        <v>0</v>
      </c>
      <c r="S1621" s="3"/>
    </row>
    <row r="1622" spans="2:19" x14ac:dyDescent="0.5">
      <c r="B1622" t="str">
        <f t="shared" si="1791"/>
        <v>SPS1</v>
      </c>
      <c r="C1622" t="str">
        <f t="shared" si="1792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1.6537101574216144E-3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3.697336737808153E-3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3.7867708157493258E-3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1.303328738170545E-3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0.437676198923869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0.75052992641432614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1.8132094324639476</v>
      </c>
      <c r="M1622" s="1" cm="1">
        <f t="array" ref="M1622">SUMPRODUCT(("TFHGV-BEVELC"=[1]OUT_TransportEnergyCons!$A$3:$A$1000)*1,("var_fout"=[1]OUT_TransportEnergyCons!$B$3:$B$1000)*1,ISNUMBER(SEARCH("TFHGV",[1]OUT_TransportEnergyCons!$C$3:$C$1000))*1,[1]OUT_TransportEnergyCons!K$3:K$1000)</f>
        <v>2.3971617905370675</v>
      </c>
      <c r="N1622" s="1" cm="1">
        <f t="array" ref="N1622">SUMPRODUCT(("TFHGV-BEVELC"=[1]OUT_TransportEnergyCons!$A$3:$A$1000)*1,("var_fout"=[1]OUT_TransportEnergyCons!$B$3:$B$1000)*1,ISNUMBER(SEARCH("TFHGV",[1]OUT_TransportEnergyCons!$C$3:$C$1000))*1,[1]OUT_TransportEnergyCons!L$3:L$1000)</f>
        <v>2.812960962234242</v>
      </c>
      <c r="O1622" s="1" cm="1">
        <f t="array" ref="O1622">SUMPRODUCT(("TFHGV-BEVELC"=[1]OUT_TransportEnergyCons!$A$3:$A$1000)*1,("var_fout"=[1]OUT_TransportEnergyCons!$B$3:$B$1000)*1,ISNUMBER(SEARCH("TFHGV",[1]OUT_TransportEnergyCons!$C$3:$C$1000))*1,[1]OUT_TransportEnergyCons!M$3:M$1000)</f>
        <v>2.9109892658932721</v>
      </c>
      <c r="P1622" s="1" cm="1">
        <f t="array" ref="P1622">SUMPRODUCT(("TFHGV-BEVELC"=[1]OUT_TransportEnergyCons!$A$3:$A$1000)*1,("var_fout"=[1]OUT_TransportEnergyCons!$B$3:$B$1000)*1,ISNUMBER(SEARCH("TFHGV",[1]OUT_TransportEnergyCons!$C$3:$C$1000))*1,[1]OUT_TransportEnergyCons!N$3:N$1000)</f>
        <v>3.014659279597895</v>
      </c>
      <c r="Q1622" s="1" cm="1">
        <f t="array" ref="Q1622">SUMPRODUCT(("TFHGV-BEVELC"=[1]OUT_TransportEnergyCons!$A$3:$A$1000)*1,("var_fout"=[1]OUT_TransportEnergyCons!$B$3:$B$1000)*1,ISNUMBER(SEARCH("TFHGV",[1]OUT_TransportEnergyCons!$C$3:$C$1000))*1,[1]OUT_TransportEnergyCons!O$3:O$1000)</f>
        <v>3.1326809434899969</v>
      </c>
      <c r="S1622" s="3"/>
    </row>
    <row r="1623" spans="2:19" x14ac:dyDescent="0.5">
      <c r="B1623" t="str">
        <f t="shared" si="1791"/>
        <v>SPS1</v>
      </c>
      <c r="C1623" t="str">
        <f t="shared" si="1792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4.4666577590868079E-4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1.7676499127486687E-4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1.7293410100904205E-4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6.10533885779164E-6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6.6747423675116679E-6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6.1348291502731819E-6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6.4214833045344785E-6</v>
      </c>
      <c r="M1623" s="1" cm="1">
        <f t="array" ref="M1623">SUMPRODUCT(("TFHGV-FCLH2O"=[1]OUT_TransportEnergyCons!$A$3:$A$1000)*1,("var_fout"=[1]OUT_TransportEnergyCons!$B$3:$B$1000)*1,ISNUMBER(SEARCH("TFHGV",[1]OUT_TransportEnergyCons!$C$3:$C$1000))*1,[1]OUT_TransportEnergyCons!K$3:K$1000)</f>
        <v>5.2785745612149262E-6</v>
      </c>
      <c r="N1623" s="1" cm="1">
        <f t="array" ref="N1623">SUMPRODUCT(("TFHGV-FCLH2O"=[1]OUT_TransportEnergyCons!$A$3:$A$1000)*1,("var_fout"=[1]OUT_TransportEnergyCons!$B$3:$B$1000)*1,ISNUMBER(SEARCH("TFHGV",[1]OUT_TransportEnergyCons!$C$3:$C$1000))*1,[1]OUT_TransportEnergyCons!L$3:L$1000)</f>
        <v>4.9548992471927755E-6</v>
      </c>
      <c r="O1623" s="1" cm="1">
        <f t="array" ref="O1623">SUMPRODUCT(("TFHGV-FCLH2O"=[1]OUT_TransportEnergyCons!$A$3:$A$1000)*1,("var_fout"=[1]OUT_TransportEnergyCons!$B$3:$B$1000)*1,ISNUMBER(SEARCH("TFHGV",[1]OUT_TransportEnergyCons!$C$3:$C$1000))*1,[1]OUT_TransportEnergyCons!M$3:M$1000)</f>
        <v>5.6128836549937936E-6</v>
      </c>
      <c r="P1623" s="1" cm="1">
        <f t="array" ref="P1623">SUMPRODUCT(("TFHGV-FCLH2O"=[1]OUT_TransportEnergyCons!$A$3:$A$1000)*1,("var_fout"=[1]OUT_TransportEnergyCons!$B$3:$B$1000)*1,ISNUMBER(SEARCH("TFHGV",[1]OUT_TransportEnergyCons!$C$3:$C$1000))*1,[1]OUT_TransportEnergyCons!N$3:N$1000)</f>
        <v>4.8421955113273896E-6</v>
      </c>
      <c r="Q1623" s="1" cm="1">
        <f t="array" ref="Q1623">SUMPRODUCT(("TFHGV-FCLH2O"=[1]OUT_TransportEnergyCons!$A$3:$A$1000)*1,("var_fout"=[1]OUT_TransportEnergyCons!$B$3:$B$1000)*1,ISNUMBER(SEARCH("TFHGV",[1]OUT_TransportEnergyCons!$C$3:$C$1000))*1,[1]OUT_TransportEnergyCons!O$3:O$1000)</f>
        <v>7.5335635500728502E-6</v>
      </c>
      <c r="S1623" s="3"/>
    </row>
    <row r="1624" spans="2:19" x14ac:dyDescent="0.5">
      <c r="B1624" t="str">
        <f t="shared" si="1791"/>
        <v>SPS1</v>
      </c>
      <c r="C1624" t="str">
        <f t="shared" si="1792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M1624" s="1" cm="1">
        <f t="array" ref="M1624">SUMPRODUCT(("TFHGV-ICEGSLExt"=[1]OUT_TransportEnergyCons!$A$3:$A$1000)*1,("var_fout"=[1]OUT_TransportEnergyCons!$B$3:$B$1000)*1,ISNUMBER(SEARCH("TFHGV",[1]OUT_TransportEnergyCons!$C$3:$C$1000))*1,[1]OUT_TransportEnergyCons!K$3:K$1000)</f>
        <v>0</v>
      </c>
      <c r="N1624" s="1" cm="1">
        <f t="array" ref="N1624">SUMPRODUCT(("TFHGV-ICEGSLExt"=[1]OUT_TransportEnergyCons!$A$3:$A$1000)*1,("var_fout"=[1]OUT_TransportEnergyCons!$B$3:$B$1000)*1,ISNUMBER(SEARCH("TFHGV",[1]OUT_TransportEnergyCons!$C$3:$C$1000))*1,[1]OUT_TransportEnergyCons!L$3:L$1000)</f>
        <v>0</v>
      </c>
      <c r="O1624" s="1" cm="1">
        <f t="array" ref="O1624">SUMPRODUCT(("TFHGV-ICEGSLExt"=[1]OUT_TransportEnergyCons!$A$3:$A$1000)*1,("var_fout"=[1]OUT_TransportEnergyCons!$B$3:$B$1000)*1,ISNUMBER(SEARCH("TFHGV",[1]OUT_TransportEnergyCons!$C$3:$C$1000))*1,[1]OUT_TransportEnergyCons!M$3:M$1000)</f>
        <v>0</v>
      </c>
      <c r="P1624" s="1" cm="1">
        <f t="array" ref="P1624">SUMPRODUCT(("TFHGV-ICEGSLExt"=[1]OUT_TransportEnergyCons!$A$3:$A$1000)*1,("var_fout"=[1]OUT_TransportEnergyCons!$B$3:$B$1000)*1,ISNUMBER(SEARCH("TFHGV",[1]OUT_TransportEnergyCons!$C$3:$C$1000))*1,[1]OUT_TransportEnergyCons!N$3:N$1000)</f>
        <v>0</v>
      </c>
      <c r="Q1624" s="1" cm="1">
        <f t="array" ref="Q1624">SUMPRODUCT(("TFHGV-ICEGSLExt"=[1]OUT_TransportEnergyCons!$A$3:$A$1000)*1,("var_fout"=[1]OUT_TransportEnergyCons!$B$3:$B$1000)*1,ISNUMBER(SEARCH("TFHGV",[1]OUT_TransportEnergyCons!$C$3:$C$1000))*1,[1]OUT_TransportEnergyCons!O$3:O$1000)</f>
        <v>0</v>
      </c>
      <c r="S1624" s="3"/>
    </row>
    <row r="1625" spans="2:19" x14ac:dyDescent="0.5">
      <c r="B1625" t="str">
        <f t="shared" si="1791"/>
        <v>SPS1</v>
      </c>
      <c r="C1625" t="str">
        <f t="shared" si="1792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M1625" s="1" cm="1">
        <f t="array" ref="M1625">SUMPRODUCT(("TFHGV-ICEGSL"=[1]OUT_TransportEnergyCons!$A$3:$A$1000)*1,("var_fout"=[1]OUT_TransportEnergyCons!$B$3:$B$1000)*1,ISNUMBER(SEARCH("TFHGV",[1]OUT_TransportEnergyCons!$C$3:$C$1000))*1,[1]OUT_TransportEnergyCons!K$3:K$1000)</f>
        <v>0</v>
      </c>
      <c r="N1625" s="1" cm="1">
        <f t="array" ref="N1625">SUMPRODUCT(("TFHGV-ICEGSL"=[1]OUT_TransportEnergyCons!$A$3:$A$1000)*1,("var_fout"=[1]OUT_TransportEnergyCons!$B$3:$B$1000)*1,ISNUMBER(SEARCH("TFHGV",[1]OUT_TransportEnergyCons!$C$3:$C$1000))*1,[1]OUT_TransportEnergyCons!L$3:L$1000)</f>
        <v>0</v>
      </c>
      <c r="O1625" s="1" cm="1">
        <f t="array" ref="O1625">SUMPRODUCT(("TFHGV-ICEGSL"=[1]OUT_TransportEnergyCons!$A$3:$A$1000)*1,("var_fout"=[1]OUT_TransportEnergyCons!$B$3:$B$1000)*1,ISNUMBER(SEARCH("TFHGV",[1]OUT_TransportEnergyCons!$C$3:$C$1000))*1,[1]OUT_TransportEnergyCons!M$3:M$1000)</f>
        <v>0</v>
      </c>
      <c r="P1625" s="1" cm="1">
        <f t="array" ref="P1625">SUMPRODUCT(("TFHGV-ICEGSL"=[1]OUT_TransportEnergyCons!$A$3:$A$1000)*1,("var_fout"=[1]OUT_TransportEnergyCons!$B$3:$B$1000)*1,ISNUMBER(SEARCH("TFHGV",[1]OUT_TransportEnergyCons!$C$3:$C$1000))*1,[1]OUT_TransportEnergyCons!N$3:N$1000)</f>
        <v>0</v>
      </c>
      <c r="Q1625" s="1" cm="1">
        <f t="array" ref="Q1625">SUMPRODUCT(("TFHGV-ICEGSL"=[1]OUT_TransportEnergyCons!$A$3:$A$1000)*1,("var_fout"=[1]OUT_TransportEnergyCons!$B$3:$B$1000)*1,ISNUMBER(SEARCH("TFHGV",[1]OUT_TransportEnergyCons!$C$3:$C$1000))*1,[1]OUT_TransportEnergyCons!O$3:O$1000)</f>
        <v>0</v>
      </c>
      <c r="S1625" s="3"/>
    </row>
    <row r="1626" spans="2:19" x14ac:dyDescent="0.5">
      <c r="B1626" t="str">
        <f t="shared" si="1791"/>
        <v>SPS1</v>
      </c>
      <c r="C1626" t="str">
        <f t="shared" si="1792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1.5765238705871154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0.99151629763139226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1.0000849064254644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0.43062246672234017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M1626" s="1" cm="1">
        <f t="array" ref="M1626">SUMPRODUCT(("TFHGV-ICEdslExt"=[1]OUT_TransportEnergyCons!$A$3:$A$1000)*1,("var_fout"=[1]OUT_TransportEnergyCons!$B$3:$B$1000)*1,ISNUMBER(SEARCH("TFHGV",[1]OUT_TransportEnergyCons!$C$3:$C$1000))*1,[1]OUT_TransportEnergyCons!K$3:K$1000)</f>
        <v>0</v>
      </c>
      <c r="N1626" s="1" cm="1">
        <f t="array" ref="N1626">SUMPRODUCT(("TFHGV-ICEdslExt"=[1]OUT_TransportEnergyCons!$A$3:$A$1000)*1,("var_fout"=[1]OUT_TransportEnergyCons!$B$3:$B$1000)*1,ISNUMBER(SEARCH("TFHGV",[1]OUT_TransportEnergyCons!$C$3:$C$1000))*1,[1]OUT_TransportEnergyCons!L$3:L$1000)</f>
        <v>0</v>
      </c>
      <c r="O1626" s="1" cm="1">
        <f t="array" ref="O1626">SUMPRODUCT(("TFHGV-ICEdslExt"=[1]OUT_TransportEnergyCons!$A$3:$A$1000)*1,("var_fout"=[1]OUT_TransportEnergyCons!$B$3:$B$1000)*1,ISNUMBER(SEARCH("TFHGV",[1]OUT_TransportEnergyCons!$C$3:$C$1000))*1,[1]OUT_TransportEnergyCons!M$3:M$1000)</f>
        <v>0</v>
      </c>
      <c r="P1626" s="1" cm="1">
        <f t="array" ref="P1626">SUMPRODUCT(("TFHGV-ICEdslExt"=[1]OUT_TransportEnergyCons!$A$3:$A$1000)*1,("var_fout"=[1]OUT_TransportEnergyCons!$B$3:$B$1000)*1,ISNUMBER(SEARCH("TFHGV",[1]OUT_TransportEnergyCons!$C$3:$C$1000))*1,[1]OUT_TransportEnergyCons!N$3:N$1000)</f>
        <v>0</v>
      </c>
      <c r="Q1626" s="1" cm="1">
        <f t="array" ref="Q1626">SUMPRODUCT(("TFHGV-ICEdslExt"=[1]OUT_TransportEnergyCons!$A$3:$A$1000)*1,("var_fout"=[1]OUT_TransportEnergyCons!$B$3:$B$1000)*1,ISNUMBER(SEARCH("TFHGV",[1]OUT_TransportEnergyCons!$C$3:$C$1000))*1,[1]OUT_TransportEnergyCons!O$3:O$1000)</f>
        <v>0</v>
      </c>
      <c r="S1626" s="3"/>
    </row>
    <row r="1627" spans="2:19" x14ac:dyDescent="0.5">
      <c r="B1627" t="str">
        <f t="shared" si="1791"/>
        <v>SPS1</v>
      </c>
      <c r="C1627" t="str">
        <f t="shared" si="1792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0.6229151725908938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0.72938494390207165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0.56980687347112691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5.2382729860026504E-2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8.6400059838690968E-5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8.6626298947472538E-5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7.9393543054682715E-5</v>
      </c>
      <c r="M1627" s="1" cm="1">
        <f t="array" ref="M1627">SUMPRODUCT(("TFHGV-ICEdsl"=[1]OUT_TransportEnergyCons!$A$3:$A$1000)*1,("var_fout"=[1]OUT_TransportEnergyCons!$B$3:$B$1000)*1,ISNUMBER(SEARCH("TFHGV",[1]OUT_TransportEnergyCons!$C$3:$C$1000))*1,[1]OUT_TransportEnergyCons!K$3:K$1000)</f>
        <v>3.7444613065144504E-5</v>
      </c>
      <c r="N1627" s="1" cm="1">
        <f t="array" ref="N1627">SUMPRODUCT(("TFHGV-ICEdsl"=[1]OUT_TransportEnergyCons!$A$3:$A$1000)*1,("var_fout"=[1]OUT_TransportEnergyCons!$B$3:$B$1000)*1,ISNUMBER(SEARCH("TFHGV",[1]OUT_TransportEnergyCons!$C$3:$C$1000))*1,[1]OUT_TransportEnergyCons!L$3:L$1000)</f>
        <v>0</v>
      </c>
      <c r="O1627" s="1" cm="1">
        <f t="array" ref="O1627">SUMPRODUCT(("TFHGV-ICEdsl"=[1]OUT_TransportEnergyCons!$A$3:$A$1000)*1,("var_fout"=[1]OUT_TransportEnergyCons!$B$3:$B$1000)*1,ISNUMBER(SEARCH("TFHGV",[1]OUT_TransportEnergyCons!$C$3:$C$1000))*1,[1]OUT_TransportEnergyCons!M$3:M$1000)</f>
        <v>0</v>
      </c>
      <c r="P1627" s="1" cm="1">
        <f t="array" ref="P1627">SUMPRODUCT(("TFHGV-ICEdsl"=[1]OUT_TransportEnergyCons!$A$3:$A$1000)*1,("var_fout"=[1]OUT_TransportEnergyCons!$B$3:$B$1000)*1,ISNUMBER(SEARCH("TFHGV",[1]OUT_TransportEnergyCons!$C$3:$C$1000))*1,[1]OUT_TransportEnergyCons!N$3:N$1000)</f>
        <v>0</v>
      </c>
      <c r="Q1627" s="1" cm="1">
        <f t="array" ref="Q1627">SUMPRODUCT(("TFHGV-ICEdsl"=[1]OUT_TransportEnergyCons!$A$3:$A$1000)*1,("var_fout"=[1]OUT_TransportEnergyCons!$B$3:$B$1000)*1,ISNUMBER(SEARCH("TFHGV",[1]OUT_TransportEnergyCons!$C$3:$C$1000))*1,[1]OUT_TransportEnergyCons!O$3:O$1000)</f>
        <v>0</v>
      </c>
      <c r="S1627" s="3"/>
    </row>
    <row r="1628" spans="2:19" x14ac:dyDescent="0.5">
      <c r="B1628" t="str">
        <f t="shared" si="1791"/>
        <v>SPS1</v>
      </c>
      <c r="C1628" t="str">
        <f t="shared" si="1792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0.50132598259482486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0.68659056583801603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1.8334610627968306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1.9808363076380877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1.7691599888818141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0.80873257270354859</v>
      </c>
      <c r="M1628" s="1" cm="1">
        <f t="array" ref="M1628">SUMPRODUCT(("TFHGV-HYBDSL"=[1]OUT_TransportEnergyCons!$A$3:$A$1000)*1,("var_fout"=[1]OUT_TransportEnergyCons!$B$3:$B$1000)*1,ISNUMBER(SEARCH("TFHGV",[1]OUT_TransportEnergyCons!$C$3:$C$1000))*1,[1]OUT_TransportEnergyCons!K$3:K$1000)</f>
        <v>0.32722673860204826</v>
      </c>
      <c r="N1628" s="1" cm="1">
        <f t="array" ref="N1628">SUMPRODUCT(("TFHGV-HYBDSL"=[1]OUT_TransportEnergyCons!$A$3:$A$1000)*1,("var_fout"=[1]OUT_TransportEnergyCons!$B$3:$B$1000)*1,ISNUMBER(SEARCH("TFHGV",[1]OUT_TransportEnergyCons!$C$3:$C$1000))*1,[1]OUT_TransportEnergyCons!L$3:L$1000)</f>
        <v>0</v>
      </c>
      <c r="O1628" s="1" cm="1">
        <f t="array" ref="O1628">SUMPRODUCT(("TFHGV-HYBDSL"=[1]OUT_TransportEnergyCons!$A$3:$A$1000)*1,("var_fout"=[1]OUT_TransportEnergyCons!$B$3:$B$1000)*1,ISNUMBER(SEARCH("TFHGV",[1]OUT_TransportEnergyCons!$C$3:$C$1000))*1,[1]OUT_TransportEnergyCons!M$3:M$1000)</f>
        <v>0</v>
      </c>
      <c r="P1628" s="1" cm="1">
        <f t="array" ref="P1628">SUMPRODUCT(("TFHGV-HYBDSL"=[1]OUT_TransportEnergyCons!$A$3:$A$1000)*1,("var_fout"=[1]OUT_TransportEnergyCons!$B$3:$B$1000)*1,ISNUMBER(SEARCH("TFHGV",[1]OUT_TransportEnergyCons!$C$3:$C$1000))*1,[1]OUT_TransportEnergyCons!N$3:N$1000)</f>
        <v>0</v>
      </c>
      <c r="Q1628" s="1" cm="1">
        <f t="array" ref="Q1628">SUMPRODUCT(("TFHGV-HYBDSL"=[1]OUT_TransportEnergyCons!$A$3:$A$1000)*1,("var_fout"=[1]OUT_TransportEnergyCons!$B$3:$B$1000)*1,ISNUMBER(SEARCH("TFHGV",[1]OUT_TransportEnergyCons!$C$3:$C$1000))*1,[1]OUT_TransportEnergyCons!O$3:O$1000)</f>
        <v>0</v>
      </c>
      <c r="S1628" s="3"/>
    </row>
    <row r="1629" spans="2:19" x14ac:dyDescent="0.5">
      <c r="B1629" t="str">
        <f t="shared" si="1791"/>
        <v>SPS1</v>
      </c>
      <c r="C1629" t="str">
        <f t="shared" si="1792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1.8665644934193601E-3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2.4074293701086162E-4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3.0701486775992071E-4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3.1749001934035774E-4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2.9845857374076582E-4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3.1950111283966966E-4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3.103895123244518E-4</v>
      </c>
      <c r="M1629" s="1" cm="1">
        <f t="array" ref="M1629">SUMPRODUCT(("TFHGV-ICENGA"=[1]OUT_TransportEnergyCons!$A$3:$A$1000)*1,("var_fout"=[1]OUT_TransportEnergyCons!$B$3:$B$1000)*1,ISNUMBER(SEARCH("TFHGV",[1]OUT_TransportEnergyCons!$C$3:$C$1000))*1,[1]OUT_TransportEnergyCons!K$3:K$1000)</f>
        <v>1.4169070069173264E-4</v>
      </c>
      <c r="N1629" s="1" cm="1">
        <f t="array" ref="N1629">SUMPRODUCT(("TFHGV-ICENGA"=[1]OUT_TransportEnergyCons!$A$3:$A$1000)*1,("var_fout"=[1]OUT_TransportEnergyCons!$B$3:$B$1000)*1,ISNUMBER(SEARCH("TFHGV",[1]OUT_TransportEnergyCons!$C$3:$C$1000))*1,[1]OUT_TransportEnergyCons!L$3:L$1000)</f>
        <v>0</v>
      </c>
      <c r="O1629" s="1" cm="1">
        <f t="array" ref="O1629">SUMPRODUCT(("TFHGV-ICENGA"=[1]OUT_TransportEnergyCons!$A$3:$A$1000)*1,("var_fout"=[1]OUT_TransportEnergyCons!$B$3:$B$1000)*1,ISNUMBER(SEARCH("TFHGV",[1]OUT_TransportEnergyCons!$C$3:$C$1000))*1,[1]OUT_TransportEnergyCons!M$3:M$1000)</f>
        <v>0</v>
      </c>
      <c r="P1629" s="1" cm="1">
        <f t="array" ref="P1629">SUMPRODUCT(("TFHGV-ICENGA"=[1]OUT_TransportEnergyCons!$A$3:$A$1000)*1,("var_fout"=[1]OUT_TransportEnergyCons!$B$3:$B$1000)*1,ISNUMBER(SEARCH("TFHGV",[1]OUT_TransportEnergyCons!$C$3:$C$1000))*1,[1]OUT_TransportEnergyCons!N$3:N$1000)</f>
        <v>0</v>
      </c>
      <c r="Q1629" s="1" cm="1">
        <f t="array" ref="Q1629">SUMPRODUCT(("TFHGV-ICENGA"=[1]OUT_TransportEnergyCons!$A$3:$A$1000)*1,("var_fout"=[1]OUT_TransportEnergyCons!$B$3:$B$1000)*1,ISNUMBER(SEARCH("TFHGV",[1]OUT_TransportEnergyCons!$C$3:$C$1000))*1,[1]OUT_TransportEnergyCons!O$3:O$1000)</f>
        <v>0</v>
      </c>
      <c r="S1629" s="3"/>
    </row>
    <row r="1630" spans="2:19" x14ac:dyDescent="0.5">
      <c r="B1630" s="2" t="str">
        <f t="shared" si="1791"/>
        <v>SPS1</v>
      </c>
      <c r="C1630" s="2" t="str">
        <f t="shared" si="1792"/>
        <v>CH</v>
      </c>
      <c r="D1630" s="2" t="s">
        <v>1633</v>
      </c>
      <c r="E1630" s="2" t="s">
        <v>1229</v>
      </c>
      <c r="F1630" s="22" t="s">
        <v>292</v>
      </c>
      <c r="G1630" s="22" t="s">
        <v>292</v>
      </c>
      <c r="H1630" s="22" t="s">
        <v>292</v>
      </c>
      <c r="I1630" s="22" t="s">
        <v>292</v>
      </c>
      <c r="J1630" s="22" t="s">
        <v>292</v>
      </c>
      <c r="K1630" s="22" t="s">
        <v>292</v>
      </c>
      <c r="L1630" s="22" t="s">
        <v>292</v>
      </c>
      <c r="M1630" s="22" t="s">
        <v>292</v>
      </c>
      <c r="N1630" s="22" t="s">
        <v>292</v>
      </c>
      <c r="O1630" s="22" t="s">
        <v>292</v>
      </c>
      <c r="P1630" s="22" t="s">
        <v>292</v>
      </c>
      <c r="Q1630" s="22" t="s">
        <v>292</v>
      </c>
      <c r="S1630" s="3"/>
    </row>
    <row r="1631" spans="2:19" x14ac:dyDescent="0.5">
      <c r="B1631" t="str">
        <f t="shared" si="1791"/>
        <v>SPS1</v>
      </c>
      <c r="C1631" t="str">
        <f t="shared" si="1792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829">IFERROR(G1621/G1595,"-")</f>
        <v>-</v>
      </c>
      <c r="H1631" s="1" t="str">
        <f t="shared" si="1829"/>
        <v>-</v>
      </c>
      <c r="I1631" s="1" t="str">
        <f t="shared" si="1829"/>
        <v>-</v>
      </c>
      <c r="J1631" s="1" t="str">
        <f t="shared" si="1829"/>
        <v>-</v>
      </c>
      <c r="K1631" s="1" t="str">
        <f t="shared" si="1829"/>
        <v>-</v>
      </c>
      <c r="L1631" s="1" t="str">
        <f t="shared" ref="L1631:O1631" si="1830">IFERROR(L1621/L1595,"-")</f>
        <v>-</v>
      </c>
      <c r="M1631" s="1" t="str">
        <f t="shared" si="1830"/>
        <v>-</v>
      </c>
      <c r="N1631" s="1" t="str">
        <f t="shared" si="1830"/>
        <v>-</v>
      </c>
      <c r="O1631" s="1" t="str">
        <f t="shared" si="1830"/>
        <v>-</v>
      </c>
      <c r="P1631" s="1" t="str">
        <f>IFERROR(P1621/P1595,"-")</f>
        <v>-</v>
      </c>
      <c r="Q1631" s="1" t="str">
        <f>IFERROR(Q1621/Q1595,"-")</f>
        <v>-</v>
      </c>
      <c r="S1631" s="3"/>
    </row>
    <row r="1632" spans="2:19" x14ac:dyDescent="0.5">
      <c r="B1632" t="str">
        <f t="shared" si="1791"/>
        <v>SPS1</v>
      </c>
      <c r="C1632" t="str">
        <f t="shared" si="1792"/>
        <v>CH</v>
      </c>
      <c r="D1632" t="s">
        <v>1635</v>
      </c>
      <c r="E1632" t="str">
        <f t="shared" ref="E1632:E1639" si="1831">E1631</f>
        <v>km/MJ</v>
      </c>
      <c r="F1632" s="1">
        <f>IFERROR(F1622/F1596,"-")</f>
        <v>0.26872776416540894</v>
      </c>
      <c r="G1632" s="1">
        <f t="shared" ref="G1632:K1632" si="1832">IFERROR(G1622/G1596,"-")</f>
        <v>0.27088519552075346</v>
      </c>
      <c r="H1632" s="1">
        <f t="shared" si="1832"/>
        <v>0.27148863797780798</v>
      </c>
      <c r="I1632" s="1">
        <f t="shared" si="1832"/>
        <v>0.27444393746703788</v>
      </c>
      <c r="J1632" s="1">
        <f t="shared" si="1832"/>
        <v>0.30493872005913886</v>
      </c>
      <c r="K1632" s="1">
        <f t="shared" si="1832"/>
        <v>0.31134584627135137</v>
      </c>
      <c r="L1632" s="1">
        <f t="shared" ref="L1632:O1632" si="1833">IFERROR(L1622/L1596,"-")</f>
        <v>0.32701752679335366</v>
      </c>
      <c r="M1632" s="1">
        <f t="shared" si="1833"/>
        <v>0.33429384153086628</v>
      </c>
      <c r="N1632" s="1">
        <f t="shared" si="1833"/>
        <v>0.33941433665773912</v>
      </c>
      <c r="O1632" s="1">
        <f t="shared" si="1833"/>
        <v>0.33941433665773918</v>
      </c>
      <c r="P1632" s="1">
        <f>IFERROR(P1622/P1596,"-")</f>
        <v>0.33941433665773885</v>
      </c>
      <c r="Q1632" s="1">
        <f>IFERROR(Q1622/Q1596,"-")</f>
        <v>0.33941433665773907</v>
      </c>
      <c r="S1632" s="3"/>
    </row>
    <row r="1633" spans="2:19" x14ac:dyDescent="0.5">
      <c r="B1633" t="str">
        <f t="shared" si="1791"/>
        <v>SPS1</v>
      </c>
      <c r="C1633" t="str">
        <f t="shared" si="1792"/>
        <v>CH</v>
      </c>
      <c r="D1633" t="s">
        <v>1636</v>
      </c>
      <c r="E1633" t="str">
        <f t="shared" si="1831"/>
        <v>km/MJ</v>
      </c>
      <c r="F1633" s="1">
        <f>IFERROR(F1623/F1598,"-")</f>
        <v>0.17445873125089889</v>
      </c>
      <c r="G1633" s="1">
        <f t="shared" ref="G1633:K1633" si="1834">IFERROR(G1623/G1598,"-")</f>
        <v>0.1750985107401567</v>
      </c>
      <c r="H1633" s="1">
        <f t="shared" si="1834"/>
        <v>0.17519194906048549</v>
      </c>
      <c r="I1633" s="1">
        <f t="shared" si="1834"/>
        <v>0.17954335449313649</v>
      </c>
      <c r="J1633" s="1">
        <f t="shared" si="1834"/>
        <v>0.19483264404592338</v>
      </c>
      <c r="K1633" s="1">
        <f t="shared" si="1834"/>
        <v>0.19965244581202113</v>
      </c>
      <c r="L1633" s="1">
        <f t="shared" ref="L1633:O1633" si="1835">IFERROR(L1623/L1598,"-")</f>
        <v>0.20892194619370569</v>
      </c>
      <c r="M1633" s="1">
        <f t="shared" si="1835"/>
        <v>0.21505649614028544</v>
      </c>
      <c r="N1633" s="1">
        <f t="shared" si="1835"/>
        <v>0.218909811026232</v>
      </c>
      <c r="O1633" s="1">
        <f t="shared" si="1835"/>
        <v>0.21890981102623203</v>
      </c>
      <c r="P1633" s="1">
        <f>IFERROR(P1623/P1598,"-")</f>
        <v>0.21890981102623208</v>
      </c>
      <c r="Q1633" s="1">
        <f>IFERROR(Q1623/Q1598,"-")</f>
        <v>0.21890981102623208</v>
      </c>
      <c r="S1633" s="3"/>
    </row>
    <row r="1634" spans="2:19" x14ac:dyDescent="0.5">
      <c r="B1634" t="str">
        <f t="shared" si="1791"/>
        <v>SPS1</v>
      </c>
      <c r="C1634" t="str">
        <f t="shared" si="1792"/>
        <v>CH</v>
      </c>
      <c r="D1634" t="s">
        <v>1637</v>
      </c>
      <c r="E1634" t="str">
        <f t="shared" si="1831"/>
        <v>km/MJ</v>
      </c>
      <c r="F1634" s="1" t="str">
        <f>IFERROR(F1624/F1604,"-")</f>
        <v>-</v>
      </c>
      <c r="G1634" s="1" t="str">
        <f t="shared" ref="G1634:K1634" si="1836">IFERROR(G1624/G1604,"-")</f>
        <v>-</v>
      </c>
      <c r="H1634" s="1" t="str">
        <f t="shared" si="1836"/>
        <v>-</v>
      </c>
      <c r="I1634" s="1" t="str">
        <f t="shared" si="1836"/>
        <v>-</v>
      </c>
      <c r="J1634" s="1" t="str">
        <f t="shared" si="1836"/>
        <v>-</v>
      </c>
      <c r="K1634" s="1" t="str">
        <f t="shared" si="1836"/>
        <v>-</v>
      </c>
      <c r="L1634" s="1" t="str">
        <f t="shared" ref="L1634:O1634" si="1837">IFERROR(L1624/L1604,"-")</f>
        <v>-</v>
      </c>
      <c r="M1634" s="1" t="str">
        <f t="shared" si="1837"/>
        <v>-</v>
      </c>
      <c r="N1634" s="1" t="str">
        <f t="shared" si="1837"/>
        <v>-</v>
      </c>
      <c r="O1634" s="1" t="str">
        <f t="shared" si="1837"/>
        <v>-</v>
      </c>
      <c r="P1634" s="1" t="str">
        <f>IFERROR(P1624/P1604,"-")</f>
        <v>-</v>
      </c>
      <c r="Q1634" s="1" t="str">
        <f>IFERROR(Q1624/Q1604,"-")</f>
        <v>-</v>
      </c>
      <c r="S1634" s="3"/>
    </row>
    <row r="1635" spans="2:19" x14ac:dyDescent="0.5">
      <c r="B1635" t="str">
        <f t="shared" si="1791"/>
        <v>SPS1</v>
      </c>
      <c r="C1635" t="str">
        <f t="shared" si="1792"/>
        <v>CH</v>
      </c>
      <c r="D1635" t="s">
        <v>1638</v>
      </c>
      <c r="E1635" t="str">
        <f t="shared" si="1831"/>
        <v>km/MJ</v>
      </c>
      <c r="F1635" s="1" t="str">
        <f>IFERROR(F1625/F1605,"-")</f>
        <v>-</v>
      </c>
      <c r="G1635" s="1" t="str">
        <f t="shared" ref="G1635:K1635" si="1838">IFERROR(G1625/G1605,"-")</f>
        <v>-</v>
      </c>
      <c r="H1635" s="1" t="str">
        <f t="shared" si="1838"/>
        <v>-</v>
      </c>
      <c r="I1635" s="1" t="str">
        <f t="shared" si="1838"/>
        <v>-</v>
      </c>
      <c r="J1635" s="1" t="str">
        <f t="shared" si="1838"/>
        <v>-</v>
      </c>
      <c r="K1635" s="1" t="str">
        <f t="shared" si="1838"/>
        <v>-</v>
      </c>
      <c r="L1635" s="1" t="str">
        <f t="shared" ref="L1635:O1635" si="1839">IFERROR(L1625/L1605,"-")</f>
        <v>-</v>
      </c>
      <c r="M1635" s="1" t="str">
        <f t="shared" si="1839"/>
        <v>-</v>
      </c>
      <c r="N1635" s="1" t="str">
        <f t="shared" si="1839"/>
        <v>-</v>
      </c>
      <c r="O1635" s="1" t="str">
        <f t="shared" si="1839"/>
        <v>-</v>
      </c>
      <c r="P1635" s="1" t="str">
        <f>IFERROR(P1625/P1605,"-")</f>
        <v>-</v>
      </c>
      <c r="Q1635" s="1" t="str">
        <f>IFERROR(Q1625/Q1605,"-")</f>
        <v>-</v>
      </c>
      <c r="S1635" s="3"/>
    </row>
    <row r="1636" spans="2:19" x14ac:dyDescent="0.5">
      <c r="B1636" t="str">
        <f t="shared" si="1791"/>
        <v>SPS1</v>
      </c>
      <c r="C1636" t="str">
        <f t="shared" si="1792"/>
        <v>CH</v>
      </c>
      <c r="D1636" t="s">
        <v>1639</v>
      </c>
      <c r="E1636" t="str">
        <f t="shared" si="1831"/>
        <v>km/MJ</v>
      </c>
      <c r="F1636" s="1">
        <f>IFERROR(F1626/F1611,"-")</f>
        <v>8.1953661871669858E-2</v>
      </c>
      <c r="G1636" s="1">
        <f t="shared" ref="G1636:K1636" si="1840">IFERROR(G1626/G1611,"-")</f>
        <v>8.3996210615660247E-2</v>
      </c>
      <c r="H1636" s="1">
        <f t="shared" si="1840"/>
        <v>8.706003373164603E-2</v>
      </c>
      <c r="I1636" s="1">
        <f t="shared" si="1840"/>
        <v>8.7060033731645961E-2</v>
      </c>
      <c r="J1636" s="1" t="str">
        <f t="shared" si="1840"/>
        <v>-</v>
      </c>
      <c r="K1636" s="1" t="str">
        <f t="shared" si="1840"/>
        <v>-</v>
      </c>
      <c r="L1636" s="1" t="str">
        <f t="shared" ref="L1636:O1636" si="1841">IFERROR(L1626/L1611,"-")</f>
        <v>-</v>
      </c>
      <c r="M1636" s="1" t="str">
        <f t="shared" si="1841"/>
        <v>-</v>
      </c>
      <c r="N1636" s="1" t="str">
        <f t="shared" si="1841"/>
        <v>-</v>
      </c>
      <c r="O1636" s="1" t="str">
        <f t="shared" si="1841"/>
        <v>-</v>
      </c>
      <c r="P1636" s="1" t="str">
        <f t="shared" ref="P1636:Q1638" si="1842">IFERROR(P1626/P1611,"-")</f>
        <v>-</v>
      </c>
      <c r="Q1636" s="1" t="str">
        <f t="shared" si="1842"/>
        <v>-</v>
      </c>
      <c r="S1636" s="3"/>
    </row>
    <row r="1637" spans="2:19" x14ac:dyDescent="0.5">
      <c r="B1637" t="str">
        <f t="shared" si="1791"/>
        <v>SPS1</v>
      </c>
      <c r="C1637" t="str">
        <f t="shared" si="1792"/>
        <v>CH</v>
      </c>
      <c r="D1637" t="s">
        <v>1640</v>
      </c>
      <c r="E1637" t="str">
        <f t="shared" si="1831"/>
        <v>km/MJ</v>
      </c>
      <c r="F1637" s="1">
        <f>IFERROR(F1627/F1612,"-")</f>
        <v>0.11870351496053505</v>
      </c>
      <c r="G1637" s="1">
        <f t="shared" ref="G1637:K1637" si="1843">IFERROR(G1627/G1612,"-")</f>
        <v>0.11870351496053468</v>
      </c>
      <c r="H1637" s="1">
        <f t="shared" si="1843"/>
        <v>0.11870351496053494</v>
      </c>
      <c r="I1637" s="1">
        <f t="shared" si="1843"/>
        <v>0.11870351496053497</v>
      </c>
      <c r="J1637" s="1">
        <f t="shared" si="1843"/>
        <v>0.11870351496053497</v>
      </c>
      <c r="K1637" s="1">
        <f t="shared" si="1843"/>
        <v>0.11870351496053497</v>
      </c>
      <c r="L1637" s="1">
        <f t="shared" ref="L1637:O1637" si="1844">IFERROR(L1627/L1612,"-")</f>
        <v>0.1187035149605349</v>
      </c>
      <c r="M1637" s="1">
        <f t="shared" si="1844"/>
        <v>0.11870351496053497</v>
      </c>
      <c r="N1637" s="1" t="str">
        <f t="shared" si="1844"/>
        <v>-</v>
      </c>
      <c r="O1637" s="1" t="str">
        <f t="shared" si="1844"/>
        <v>-</v>
      </c>
      <c r="P1637" s="1" t="str">
        <f t="shared" si="1842"/>
        <v>-</v>
      </c>
      <c r="Q1637" s="1" t="str">
        <f t="shared" si="1842"/>
        <v>-</v>
      </c>
      <c r="S1637" s="3"/>
    </row>
    <row r="1638" spans="2:19" x14ac:dyDescent="0.5">
      <c r="B1638" t="str">
        <f t="shared" si="1791"/>
        <v>SPS1</v>
      </c>
      <c r="C1638" t="str">
        <f t="shared" si="1792"/>
        <v>CH</v>
      </c>
      <c r="D1638" t="s">
        <v>1641</v>
      </c>
      <c r="E1638" t="str">
        <f t="shared" si="1831"/>
        <v>km/MJ</v>
      </c>
      <c r="F1638" s="1" t="str">
        <f>IFERROR(F1628/F1613,"-")</f>
        <v>-</v>
      </c>
      <c r="G1638" s="1">
        <f t="shared" ref="G1638:K1638" si="1845">IFERROR(G1628/G1613,"-")</f>
        <v>0.16346685209675796</v>
      </c>
      <c r="H1638" s="1">
        <f t="shared" si="1845"/>
        <v>0.16346685209675799</v>
      </c>
      <c r="I1638" s="1">
        <f t="shared" si="1845"/>
        <v>0.16346685209675801</v>
      </c>
      <c r="J1638" s="1">
        <f t="shared" si="1845"/>
        <v>0.16346685209675779</v>
      </c>
      <c r="K1638" s="1">
        <f t="shared" si="1845"/>
        <v>0.16346685209675793</v>
      </c>
      <c r="L1638" s="1">
        <f t="shared" ref="L1638:O1638" si="1846">IFERROR(L1628/L1613,"-")</f>
        <v>0.16346685209675804</v>
      </c>
      <c r="M1638" s="1">
        <f t="shared" si="1846"/>
        <v>0.16346685209675807</v>
      </c>
      <c r="N1638" s="1" t="str">
        <f t="shared" si="1846"/>
        <v>-</v>
      </c>
      <c r="O1638" s="1" t="str">
        <f t="shared" si="1846"/>
        <v>-</v>
      </c>
      <c r="P1638" s="1" t="str">
        <f t="shared" si="1842"/>
        <v>-</v>
      </c>
      <c r="Q1638" s="1" t="str">
        <f t="shared" si="1842"/>
        <v>-</v>
      </c>
      <c r="S1638" s="3"/>
    </row>
    <row r="1639" spans="2:19" x14ac:dyDescent="0.5">
      <c r="B1639" t="str">
        <f t="shared" si="1791"/>
        <v>SPS1</v>
      </c>
      <c r="C1639" t="str">
        <f t="shared" si="1792"/>
        <v>CH</v>
      </c>
      <c r="D1639" t="s">
        <v>1642</v>
      </c>
      <c r="E1639" t="str">
        <f t="shared" si="1831"/>
        <v>km/MJ</v>
      </c>
      <c r="F1639" s="1">
        <f>IFERROR(F1629/F1619,"-")</f>
        <v>0.10322365358776006</v>
      </c>
      <c r="G1639" s="1">
        <f t="shared" ref="G1639:K1639" si="1847">IFERROR(G1629/G1619,"-")</f>
        <v>0.10363649910340439</v>
      </c>
      <c r="H1639" s="1">
        <f t="shared" si="1847"/>
        <v>0.10408494093563413</v>
      </c>
      <c r="I1639" s="1">
        <f t="shared" si="1847"/>
        <v>0.10989538717636801</v>
      </c>
      <c r="J1639" s="1">
        <f t="shared" si="1847"/>
        <v>0.11530879822287311</v>
      </c>
      <c r="K1639" s="1">
        <f t="shared" si="1847"/>
        <v>0.11786132771622458</v>
      </c>
      <c r="L1639" s="1">
        <f t="shared" ref="L1639:O1639" si="1848">IFERROR(L1629/L1619,"-")</f>
        <v>0.12444740909820488</v>
      </c>
      <c r="M1639" s="1">
        <f t="shared" si="1848"/>
        <v>0.12521814892046404</v>
      </c>
      <c r="N1639" s="1" t="str">
        <f t="shared" si="1848"/>
        <v>-</v>
      </c>
      <c r="O1639" s="1" t="str">
        <f t="shared" si="1848"/>
        <v>-</v>
      </c>
      <c r="P1639" s="1" t="str">
        <f>IFERROR(P1629/P1619,"-")</f>
        <v>-</v>
      </c>
      <c r="Q1639" s="1" t="str">
        <f>IFERROR(Q1629/Q1619,"-")</f>
        <v>-</v>
      </c>
      <c r="S1639" s="3"/>
    </row>
    <row r="1640" spans="2:19" x14ac:dyDescent="0.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10.966836452190254</v>
      </c>
      <c r="G1640" s="1">
        <f t="shared" ref="G1640:K1640" si="1849">G1641+G1645+G1649+G1655</f>
        <v>10.359756710599923</v>
      </c>
      <c r="H1640" s="1">
        <f t="shared" si="1849"/>
        <v>11.55076008228056</v>
      </c>
      <c r="I1640" s="1">
        <f t="shared" si="1849"/>
        <v>12.708773312692493</v>
      </c>
      <c r="J1640" s="1">
        <f t="shared" si="1849"/>
        <v>13.678429072873435</v>
      </c>
      <c r="K1640" s="1">
        <f t="shared" si="1849"/>
        <v>15.325776894152815</v>
      </c>
      <c r="L1640" s="1">
        <f t="shared" ref="L1640:O1640" si="1850">L1641+L1645+L1649+L1655</f>
        <v>17.581836781142858</v>
      </c>
      <c r="M1640" s="1">
        <f t="shared" si="1850"/>
        <v>19.192199583389399</v>
      </c>
      <c r="N1640" s="1">
        <f t="shared" si="1850"/>
        <v>19.746782893343845</v>
      </c>
      <c r="O1640" s="1">
        <f t="shared" si="1850"/>
        <v>20.315769288451378</v>
      </c>
      <c r="P1640" s="1">
        <f>P1641+P1645+P1649+P1655</f>
        <v>20.822127174247544</v>
      </c>
      <c r="Q1640" s="1">
        <f>Q1641+Q1645+Q1649+Q1655</f>
        <v>21.327141167845745</v>
      </c>
      <c r="S1640" s="3"/>
    </row>
    <row r="1641" spans="2:19" x14ac:dyDescent="0.5">
      <c r="B1641" t="str">
        <f t="shared" ref="B1641:B1662" si="1851">B1640</f>
        <v>SPS1</v>
      </c>
      <c r="C1641" t="str">
        <f t="shared" ref="C1641:C1687" si="1852">C1640</f>
        <v>CH</v>
      </c>
      <c r="D1641" t="s">
        <v>1652</v>
      </c>
      <c r="E1641" t="s">
        <v>8</v>
      </c>
      <c r="F1641" s="1">
        <f>SUM(F1642:F1644)</f>
        <v>9.2070286884618966</v>
      </c>
      <c r="G1641" s="1">
        <f t="shared" ref="G1641:K1641" si="1853">SUM(G1642:G1644)</f>
        <v>9.5634270325584403</v>
      </c>
      <c r="H1641" s="1">
        <f t="shared" si="1853"/>
        <v>9.9542390488425347</v>
      </c>
      <c r="I1641" s="1">
        <f t="shared" si="1853"/>
        <v>10.606212498534068</v>
      </c>
      <c r="J1641" s="1">
        <f t="shared" si="1853"/>
        <v>11.575812141492982</v>
      </c>
      <c r="K1641" s="1">
        <f t="shared" si="1853"/>
        <v>14.250696821502004</v>
      </c>
      <c r="L1641" s="1">
        <f t="shared" ref="L1641:O1641" si="1854">SUM(L1642:L1644)</f>
        <v>17.574553118214865</v>
      </c>
      <c r="M1641" s="1">
        <f t="shared" si="1854"/>
        <v>19.19000356683469</v>
      </c>
      <c r="N1641" s="1">
        <f t="shared" si="1854"/>
        <v>19.744606240207325</v>
      </c>
      <c r="O1641" s="1">
        <f t="shared" si="1854"/>
        <v>20.313543037667614</v>
      </c>
      <c r="P1641" s="1">
        <f>SUM(P1642:P1644)</f>
        <v>20.819972118545401</v>
      </c>
      <c r="Q1641" s="1">
        <f>SUM(Q1642:Q1644)</f>
        <v>21.323980081078531</v>
      </c>
      <c r="S1641" s="3"/>
    </row>
    <row r="1642" spans="2:19" x14ac:dyDescent="0.5">
      <c r="B1642" t="str">
        <f t="shared" si="1851"/>
        <v>SPS1</v>
      </c>
      <c r="C1642" t="str">
        <f t="shared" si="1852"/>
        <v>CH</v>
      </c>
      <c r="D1642" t="s">
        <v>1653</v>
      </c>
      <c r="E1642" t="str">
        <f t="shared" ref="E1642:E1644" si="185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9.7089503592552884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10.080346386513433</v>
      </c>
      <c r="M1642" s="1" cm="1">
        <f t="array" ref="M1642">SUMPRODUCT(("TPRLPELCEXT"=[1]OUT_TransportEnergyCons!$A$3:$A$1000)*1,("Var_Fin"=[1]OUT_TransportEnergyCons!$B$3:$B$1000)*1,ISNUMBER(SEARCH("ELC",[1]OUT_TransportEnergyCons!$C$3:$C$1000))*1,[1]OUT_TransportEnergyCons!K$3:K$1000)</f>
        <v>10.452281810452895</v>
      </c>
      <c r="N1642" s="1" cm="1">
        <f t="array" ref="N1642">SUMPRODUCT(("TPRLPELCEXT"=[1]OUT_TransportEnergyCons!$A$3:$A$1000)*1,("Var_Fin"=[1]OUT_TransportEnergyCons!$B$3:$B$1000)*1,ISNUMBER(SEARCH("ELC",[1]OUT_TransportEnergyCons!$C$3:$C$1000))*1,[1]OUT_TransportEnergyCons!L$3:L$1000)</f>
        <v>10.945785685905591</v>
      </c>
      <c r="O1642" s="1" cm="1">
        <f t="array" ref="O1642">SUMPRODUCT(("TPRLPELCEXT"=[1]OUT_TransportEnergyCons!$A$3:$A$1000)*1,("Var_Fin"=[1]OUT_TransportEnergyCons!$B$3:$B$1000)*1,ISNUMBER(SEARCH("ELC",[1]OUT_TransportEnergyCons!$C$3:$C$1000))*1,[1]OUT_TransportEnergyCons!M$3:M$1000)</f>
        <v>11.438122161949016</v>
      </c>
      <c r="P1642" s="1" cm="1">
        <f t="array" ref="P1642">SUMPRODUCT(("TPRLPELCEXT"=[1]OUT_TransportEnergyCons!$A$3:$A$1000)*1,("Var_Fin"=[1]OUT_TransportEnergyCons!$B$3:$B$1000)*1,ISNUMBER(SEARCH("ELC",[1]OUT_TransportEnergyCons!$C$3:$C$1000))*1,[1]OUT_TransportEnergyCons!N$3:N$1000)</f>
        <v>11.929272000082907</v>
      </c>
      <c r="Q1642" s="1" cm="1">
        <f t="array" ref="Q1642">SUMPRODUCT(("TPRLPELCEXT"=[1]OUT_TransportEnergyCons!$A$3:$A$1000)*1,("Var_Fin"=[1]OUT_TransportEnergyCons!$B$3:$B$1000)*1,ISNUMBER(SEARCH("ELC",[1]OUT_TransportEnergyCons!$C$3:$C$1000))*1,[1]OUT_TransportEnergyCons!O$3:O$1000)</f>
        <v>12.418987232780111</v>
      </c>
      <c r="S1642" s="3"/>
    </row>
    <row r="1643" spans="2:19" x14ac:dyDescent="0.5">
      <c r="B1643" t="str">
        <f t="shared" si="1851"/>
        <v>SPS1</v>
      </c>
      <c r="C1643" t="str">
        <f t="shared" si="1852"/>
        <v>CH</v>
      </c>
      <c r="D1643" t="s">
        <v>1654</v>
      </c>
      <c r="E1643" t="str">
        <f t="shared" si="185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1.5023086753609507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1.6575168949388748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1.7463305180123283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1.8943598706519491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1.9814049452825071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2.0281272336296245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2.1042275923685119</v>
      </c>
      <c r="M1643" s="1" cm="1">
        <f t="array" ref="M1643">SUMPRODUCT(("TFRLFELCEXT"=[1]OUT_TransportEnergyCons!$A$3:$A$1000)*1,("Var_Fin"=[1]OUT_TransportEnergyCons!$B$3:$B$1000)*1,ISNUMBER(SEARCH("ELC",[1]OUT_TransportEnergyCons!$C$3:$C$1000))*1,[1]OUT_TransportEnergyCons!K$3:K$1000)</f>
        <v>2.1803310415123605</v>
      </c>
      <c r="N1643" s="1" cm="1">
        <f t="array" ref="N1643">SUMPRODUCT(("TFRLFELCEXT"=[1]OUT_TransportEnergyCons!$A$3:$A$1000)*1,("Var_Fin"=[1]OUT_TransportEnergyCons!$B$3:$B$1000)*1,ISNUMBER(SEARCH("ELC",[1]OUT_TransportEnergyCons!$C$3:$C$1000))*1,[1]OUT_TransportEnergyCons!L$3:L$1000)</f>
        <v>2.2149191914925743</v>
      </c>
      <c r="O1643" s="1" cm="1">
        <f t="array" ref="O1643">SUMPRODUCT(("TFRLFELCEXT"=[1]OUT_TransportEnergyCons!$A$3:$A$1000)*1,("Var_Fin"=[1]OUT_TransportEnergyCons!$B$3:$B$1000)*1,ISNUMBER(SEARCH("ELC",[1]OUT_TransportEnergyCons!$C$3:$C$1000))*1,[1]OUT_TransportEnergyCons!M$3:M$1000)</f>
        <v>2.2672102537377117</v>
      </c>
      <c r="P1643" s="1" cm="1">
        <f t="array" ref="P1643">SUMPRODUCT(("TFRLFELCEXT"=[1]OUT_TransportEnergyCons!$A$3:$A$1000)*1,("Var_Fin"=[1]OUT_TransportEnergyCons!$B$3:$B$1000)*1,ISNUMBER(SEARCH("ELC",[1]OUT_TransportEnergyCons!$C$3:$C$1000))*1,[1]OUT_TransportEnergyCons!N$3:N$1000)</f>
        <v>2.2821405777349053</v>
      </c>
      <c r="Q1643" s="1" cm="1">
        <f t="array" ref="Q1643">SUMPRODUCT(("TFRLFELCEXT"=[1]OUT_TransportEnergyCons!$A$3:$A$1000)*1,("Var_Fin"=[1]OUT_TransportEnergyCons!$B$3:$B$1000)*1,ISNUMBER(SEARCH("ELC",[1]OUT_TransportEnergyCons!$C$3:$C$1000))*1,[1]OUT_TransportEnergyCons!O$3:O$1000)</f>
        <v>2.3114768991786065</v>
      </c>
      <c r="S1643" s="3"/>
    </row>
    <row r="1644" spans="2:19" x14ac:dyDescent="0.5">
      <c r="B1644" t="str">
        <f t="shared" si="1851"/>
        <v>SPS1</v>
      </c>
      <c r="C1644" t="str">
        <f t="shared" si="1852"/>
        <v>CH</v>
      </c>
      <c r="D1644" t="s">
        <v>1655</v>
      </c>
      <c r="E1644" t="str">
        <f t="shared" si="185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4.7007686422392507E-6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7.0785258516896948E-6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4.2630706039379132E-5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0.38420181927987418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2.5136192286170913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5.3899791393329224</v>
      </c>
      <c r="M1644" s="1" cm="1">
        <f t="array" ref="M1644">SUMPRODUCT(("TPSHPELCEXT"=[1]OUT_TransportEnergyCons!$A$3:$A$1000)*1,("Var_Fin"=[1]OUT_TransportEnergyCons!$B$3:$B$1000)*1,ISNUMBER(SEARCH("ELC",[1]OUT_TransportEnergyCons!$C$3:$C$1000))*1,[1]OUT_TransportEnergyCons!K$3:K$1000)+[1]Transport_Aviation_Intl!I$13</f>
        <v>6.5573907148694328</v>
      </c>
      <c r="N1644" s="1" cm="1">
        <f t="array" ref="N1644">SUMPRODUCT(("TPSHPELCEXT"=[1]OUT_TransportEnergyCons!$A$3:$A$1000)*1,("Var_Fin"=[1]OUT_TransportEnergyCons!$B$3:$B$1000)*1,ISNUMBER(SEARCH("ELC",[1]OUT_TransportEnergyCons!$C$3:$C$1000))*1,[1]OUT_TransportEnergyCons!L$3:L$1000)+[1]Transport_Aviation_Intl!J$13</f>
        <v>6.5839013628091605</v>
      </c>
      <c r="O1644" s="1" cm="1">
        <f t="array" ref="O1644">SUMPRODUCT(("TPSHPELCEXT"=[1]OUT_TransportEnergyCons!$A$3:$A$1000)*1,("Var_Fin"=[1]OUT_TransportEnergyCons!$B$3:$B$1000)*1,ISNUMBER(SEARCH("ELC",[1]OUT_TransportEnergyCons!$C$3:$C$1000))*1,[1]OUT_TransportEnergyCons!M$3:M$1000)+[1]Transport_Aviation_Intl!K$13</f>
        <v>6.6082106219808869</v>
      </c>
      <c r="P1644" s="1" cm="1">
        <f t="array" ref="P1644">SUMPRODUCT(("TPSHPELCEXT"=[1]OUT_TransportEnergyCons!$A$3:$A$1000)*1,("Var_Fin"=[1]OUT_TransportEnergyCons!$B$3:$B$1000)*1,ISNUMBER(SEARCH("ELC",[1]OUT_TransportEnergyCons!$C$3:$C$1000))*1,[1]OUT_TransportEnergyCons!N$3:N$1000)+[1]Transport_Aviation_Intl!L$13</f>
        <v>6.6085595407275868</v>
      </c>
      <c r="Q1644" s="1" cm="1">
        <f t="array" ref="Q1644">SUMPRODUCT(("TPSHPELCEXT"=[1]OUT_TransportEnergyCons!$A$3:$A$1000)*1,("Var_Fin"=[1]OUT_TransportEnergyCons!$B$3:$B$1000)*1,ISNUMBER(SEARCH("ELC",[1]OUT_TransportEnergyCons!$C$3:$C$1000))*1,[1]OUT_TransportEnergyCons!O$3:O$1000)+[1]Transport_Aviation_Intl!M$13</f>
        <v>6.5935159491198156</v>
      </c>
      <c r="S1644" s="3"/>
    </row>
    <row r="1645" spans="2:19" x14ac:dyDescent="0.5">
      <c r="B1645" t="str">
        <f t="shared" si="1851"/>
        <v>SPS1</v>
      </c>
      <c r="C1645" t="str">
        <f t="shared" si="185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856">SUM(G1646:G1648)</f>
        <v>0</v>
      </c>
      <c r="H1645" s="1">
        <f t="shared" si="1856"/>
        <v>0</v>
      </c>
      <c r="I1645" s="1">
        <f t="shared" si="1856"/>
        <v>0</v>
      </c>
      <c r="J1645" s="1">
        <f t="shared" si="1856"/>
        <v>3.6332475540280328E-5</v>
      </c>
      <c r="K1645" s="1">
        <f t="shared" si="1856"/>
        <v>2.157921692923614E-3</v>
      </c>
      <c r="L1645" s="1">
        <f t="shared" ref="L1645:O1645" si="1857">SUM(L1646:L1648)</f>
        <v>2.1511734965697134E-3</v>
      </c>
      <c r="M1645" s="1">
        <f t="shared" si="1857"/>
        <v>2.1960165547078394E-3</v>
      </c>
      <c r="N1645" s="1">
        <f t="shared" si="1857"/>
        <v>2.1766531365179321E-3</v>
      </c>
      <c r="O1645" s="1">
        <f t="shared" si="1857"/>
        <v>2.2262507837628813E-3</v>
      </c>
      <c r="P1645" s="1">
        <f>SUM(P1646:P1648)</f>
        <v>2.155055702141786E-3</v>
      </c>
      <c r="Q1645" s="1">
        <f>SUM(Q1646:Q1648)</f>
        <v>3.1610867672157454E-3</v>
      </c>
      <c r="S1645" s="3"/>
    </row>
    <row r="1646" spans="2:19" x14ac:dyDescent="0.5">
      <c r="B1646" t="str">
        <f t="shared" si="1851"/>
        <v>SPS1</v>
      </c>
      <c r="C1646" t="str">
        <f t="shared" si="1852"/>
        <v>CH</v>
      </c>
      <c r="D1646" t="s">
        <v>1657</v>
      </c>
      <c r="E1646" t="str">
        <f t="shared" ref="E1646:E1648" si="185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5.1371872503033235E-4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4.5046374017820878E-4</v>
      </c>
      <c r="M1646" s="1" cm="1">
        <f t="array" ref="M1646">SUMPRODUCT(("TPRLPH2OFCL"=[1]OUT_TransportEnergyCons!$A$3:$A$1000)*1,("Var_Fin"=[1]OUT_TransportEnergyCons!$B$3:$B$1000)*1,ISNUMBER(SEARCH("h2",[1]OUT_TransportEnergyCons!$C$3:$C$1000))*1,[1]OUT_TransportEnergyCons!K$3:K$1000)</f>
        <v>3.8933429539541058E-4</v>
      </c>
      <c r="N1646" s="1" cm="1">
        <f t="array" ref="N1646">SUMPRODUCT(("TPRLPH2OFCL"=[1]OUT_TransportEnergyCons!$A$3:$A$1000)*1,("Var_Fin"=[1]OUT_TransportEnergyCons!$B$3:$B$1000)*1,ISNUMBER(SEARCH("h2",[1]OUT_TransportEnergyCons!$C$3:$C$1000))*1,[1]OUT_TransportEnergyCons!L$3:L$1000)</f>
        <v>3.9496974170348265E-4</v>
      </c>
      <c r="O1646" s="1" cm="1">
        <f t="array" ref="O1646">SUMPRODUCT(("TPRLPH2OFCL"=[1]OUT_TransportEnergyCons!$A$3:$A$1000)*1,("Var_Fin"=[1]OUT_TransportEnergyCons!$B$3:$B$1000)*1,ISNUMBER(SEARCH("h2",[1]OUT_TransportEnergyCons!$C$3:$C$1000))*1,[1]OUT_TransportEnergyCons!M$3:M$1000)</f>
        <v>3.5851608209951097E-4</v>
      </c>
      <c r="P1646" s="1" cm="1">
        <f t="array" ref="P1646">SUMPRODUCT(("TPRLPH2OFCL"=[1]OUT_TransportEnergyCons!$A$3:$A$1000)*1,("Var_Fin"=[1]OUT_TransportEnergyCons!$B$3:$B$1000)*1,ISNUMBER(SEARCH("h2",[1]OUT_TransportEnergyCons!$C$3:$C$1000))*1,[1]OUT_TransportEnergyCons!N$3:N$1000)</f>
        <v>3.1243689292847414E-4</v>
      </c>
      <c r="Q1646" s="1" cm="1">
        <f t="array" ref="Q1646">SUMPRODUCT(("TPRLPH2OFCL"=[1]OUT_TransportEnergyCons!$A$3:$A$1000)*1,("Var_Fin"=[1]OUT_TransportEnergyCons!$B$3:$B$1000)*1,ISNUMBER(SEARCH("h2",[1]OUT_TransportEnergyCons!$C$3:$C$1000))*1,[1]OUT_TransportEnergyCons!O$3:O$1000)</f>
        <v>5.9006846286360033E-4</v>
      </c>
      <c r="S1646" s="3"/>
    </row>
    <row r="1647" spans="2:19" x14ac:dyDescent="0.5">
      <c r="B1647" t="str">
        <f t="shared" si="1851"/>
        <v>SPS1</v>
      </c>
      <c r="C1647" t="str">
        <f t="shared" si="1852"/>
        <v>CH</v>
      </c>
      <c r="D1647" t="s">
        <v>1658</v>
      </c>
      <c r="E1647" t="str">
        <f t="shared" si="185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1.6448382892151451E-4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1.9027899419069068E-4</v>
      </c>
      <c r="M1647" s="1" cm="1">
        <f t="array" ref="M1647">SUMPRODUCT(("TFRLFH2OFCL"=[1]OUT_TransportEnergyCons!$A$3:$A$1000)*1,("Var_Fin"=[1]OUT_TransportEnergyCons!$B$3:$B$1000)*1,ISNUMBER(SEARCH("h2",[1]OUT_TransportEnergyCons!$C$3:$C$1000))*1,[1]OUT_TransportEnergyCons!K$3:K$1000)</f>
        <v>2.8564722397535138E-4</v>
      </c>
      <c r="N1647" s="1" cm="1">
        <f t="array" ref="N1647">SUMPRODUCT(("TFRLFH2OFCL"=[1]OUT_TransportEnergyCons!$A$3:$A$1000)*1,("Var_Fin"=[1]OUT_TransportEnergyCons!$B$3:$B$1000)*1,ISNUMBER(SEARCH("h2",[1]OUT_TransportEnergyCons!$C$3:$C$1000))*1,[1]OUT_TransportEnergyCons!L$3:L$1000)</f>
        <v>2.9069264086522932E-4</v>
      </c>
      <c r="O1647" s="1" cm="1">
        <f t="array" ref="O1647">SUMPRODUCT(("TFRLFH2OFCL"=[1]OUT_TransportEnergyCons!$A$3:$A$1000)*1,("Var_Fin"=[1]OUT_TransportEnergyCons!$B$3:$B$1000)*1,ISNUMBER(SEARCH("h2",[1]OUT_TransportEnergyCons!$C$3:$C$1000))*1,[1]OUT_TransportEnergyCons!M$3:M$1000)</f>
        <v>3.8063137749960285E-4</v>
      </c>
      <c r="P1647" s="1" cm="1">
        <f t="array" ref="P1647">SUMPRODUCT(("TFRLFH2OFCL"=[1]OUT_TransportEnergyCons!$A$3:$A$1000)*1,("Var_Fin"=[1]OUT_TransportEnergyCons!$B$3:$B$1000)*1,ISNUMBER(SEARCH("h2",[1]OUT_TransportEnergyCons!$C$3:$C$1000))*1,[1]OUT_TransportEnergyCons!N$3:N$1000)</f>
        <v>3.605417273304201E-4</v>
      </c>
      <c r="Q1647" s="1" cm="1">
        <f t="array" ref="Q1647">SUMPRODUCT(("TFRLFH2OFCL"=[1]OUT_TransportEnergyCons!$A$3:$A$1000)*1,("Var_Fin"=[1]OUT_TransportEnergyCons!$B$3:$B$1000)*1,ISNUMBER(SEARCH("h2",[1]OUT_TransportEnergyCons!$C$3:$C$1000))*1,[1]OUT_TransportEnergyCons!O$3:O$1000)</f>
        <v>1.0884503693147098E-3</v>
      </c>
      <c r="S1647" s="3"/>
    </row>
    <row r="1648" spans="2:19" x14ac:dyDescent="0.5">
      <c r="B1648" t="str">
        <f t="shared" si="1851"/>
        <v>SPS1</v>
      </c>
      <c r="C1648" t="str">
        <f t="shared" si="1852"/>
        <v>CH</v>
      </c>
      <c r="D1648" t="s">
        <v>1659</v>
      </c>
      <c r="E1648" t="str">
        <f t="shared" si="185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3.6332475540280328E-5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1.479719138971767E-3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1.5104307622008141E-3</v>
      </c>
      <c r="M1648" s="1" cm="1">
        <f t="array" ref="M1648">SUMPRODUCT(("TPSHPH2OEXT"=[1]OUT_TransportEnergyCons!$A$3:$A$1000)*1,("Var_Fin"=[1]OUT_TransportEnergyCons!$B$3:$B$1000)*1,ISNUMBER(SEARCH("h2",[1]OUT_TransportEnergyCons!$C$3:$C$1000))*1,[1]OUT_TransportEnergyCons!K$3:K$1000)+[1]Transport_Aviation_Intl!I$14</f>
        <v>1.5210350353370775E-3</v>
      </c>
      <c r="N1648" s="1" cm="1">
        <f t="array" ref="N1648">SUMPRODUCT(("TPSHPH2OEXT"=[1]OUT_TransportEnergyCons!$A$3:$A$1000)*1,("Var_Fin"=[1]OUT_TransportEnergyCons!$B$3:$B$1000)*1,ISNUMBER(SEARCH("h2",[1]OUT_TransportEnergyCons!$C$3:$C$1000))*1,[1]OUT_TransportEnergyCons!L$3:L$1000)+[1]Transport_Aviation_Intl!J$14</f>
        <v>1.4909907539492199E-3</v>
      </c>
      <c r="O1648" s="1" cm="1">
        <f t="array" ref="O1648">SUMPRODUCT(("TPSHPH2OEXT"=[1]OUT_TransportEnergyCons!$A$3:$A$1000)*1,("Var_Fin"=[1]OUT_TransportEnergyCons!$B$3:$B$1000)*1,ISNUMBER(SEARCH("h2",[1]OUT_TransportEnergyCons!$C$3:$C$1000))*1,[1]OUT_TransportEnergyCons!M$3:M$1000)+[1]Transport_Aviation_Intl!K$14</f>
        <v>1.4871033241637675E-3</v>
      </c>
      <c r="P1648" s="1" cm="1">
        <f t="array" ref="P1648">SUMPRODUCT(("TPSHPH2OEXT"=[1]OUT_TransportEnergyCons!$A$3:$A$1000)*1,("Var_Fin"=[1]OUT_TransportEnergyCons!$B$3:$B$1000)*1,ISNUMBER(SEARCH("h2",[1]OUT_TransportEnergyCons!$C$3:$C$1000))*1,[1]OUT_TransportEnergyCons!N$3:N$1000)+[1]Transport_Aviation_Intl!L$14</f>
        <v>1.482077081882892E-3</v>
      </c>
      <c r="Q1648" s="1" cm="1">
        <f t="array" ref="Q1648">SUMPRODUCT(("TPSHPH2OEXT"=[1]OUT_TransportEnergyCons!$A$3:$A$1000)*1,("Var_Fin"=[1]OUT_TransportEnergyCons!$B$3:$B$1000)*1,ISNUMBER(SEARCH("h2",[1]OUT_TransportEnergyCons!$C$3:$C$1000))*1,[1]OUT_TransportEnergyCons!O$3:O$1000)+[1]Transport_Aviation_Intl!M$14</f>
        <v>1.4825679350374355E-3</v>
      </c>
      <c r="S1648" s="3"/>
    </row>
    <row r="1649" spans="2:19" x14ac:dyDescent="0.5">
      <c r="B1649" t="str">
        <f t="shared" si="1851"/>
        <v>SPS1</v>
      </c>
      <c r="C1649" t="str">
        <f t="shared" si="185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859">G1654</f>
        <v>0.79632967804148302</v>
      </c>
      <c r="H1649" s="1">
        <f t="shared" si="1859"/>
        <v>1.5965210334380247</v>
      </c>
      <c r="I1649" s="1">
        <f t="shared" si="1859"/>
        <v>2.1025608141584242</v>
      </c>
      <c r="J1649" s="1">
        <f t="shared" si="1859"/>
        <v>2.102580598904912</v>
      </c>
      <c r="K1649" s="1">
        <f t="shared" si="1859"/>
        <v>1.0729221509578877</v>
      </c>
      <c r="L1649" s="1">
        <f t="shared" ref="L1649:O1649" si="1860">L1654</f>
        <v>5.1324894314201813E-3</v>
      </c>
      <c r="M1649" s="1">
        <f t="shared" si="1860"/>
        <v>0</v>
      </c>
      <c r="N1649" s="1">
        <f t="shared" si="1860"/>
        <v>0</v>
      </c>
      <c r="O1649" s="1">
        <f t="shared" si="1860"/>
        <v>0</v>
      </c>
      <c r="P1649" s="1">
        <f>P1654</f>
        <v>0</v>
      </c>
      <c r="Q1649" s="1">
        <f>Q1654</f>
        <v>0</v>
      </c>
      <c r="S1649" s="3"/>
    </row>
    <row r="1650" spans="2:19" x14ac:dyDescent="0.5">
      <c r="B1650" t="str">
        <f t="shared" si="1851"/>
        <v>SPS1</v>
      </c>
      <c r="C1650" t="str">
        <f t="shared" si="1852"/>
        <v>CH</v>
      </c>
      <c r="D1650" t="s">
        <v>1661</v>
      </c>
      <c r="E1650" t="str">
        <f t="shared" ref="E1650:E1662" si="1861">E1649</f>
        <v>PJ/yr.</v>
      </c>
      <c r="F1650" s="1">
        <f>F1649-F1651</f>
        <v>1.6634747148850255</v>
      </c>
      <c r="G1650" s="1">
        <f t="shared" ref="G1650:K1650" si="1862">G1649-G1651</f>
        <v>0.75273822900124099</v>
      </c>
      <c r="H1650" s="1">
        <f t="shared" si="1862"/>
        <v>1.5091265054936154</v>
      </c>
      <c r="I1650" s="1">
        <f t="shared" si="1862"/>
        <v>1.9874049929505981</v>
      </c>
      <c r="J1650" s="1">
        <f t="shared" si="1862"/>
        <v>1.981943883749093</v>
      </c>
      <c r="K1650" s="1">
        <f t="shared" si="1862"/>
        <v>0.98543161641807475</v>
      </c>
      <c r="L1650" s="1">
        <f t="shared" ref="L1650:O1650" si="1863">L1649-L1651</f>
        <v>1.9362065793786295E-3</v>
      </c>
      <c r="M1650" s="1">
        <f t="shared" si="1863"/>
        <v>0</v>
      </c>
      <c r="N1650" s="1">
        <f t="shared" si="1863"/>
        <v>0</v>
      </c>
      <c r="O1650" s="1">
        <f t="shared" si="1863"/>
        <v>0</v>
      </c>
      <c r="P1650" s="1">
        <f>P1649-P1651</f>
        <v>0</v>
      </c>
      <c r="Q1650" s="1">
        <f>Q1649-Q1651</f>
        <v>0</v>
      </c>
      <c r="S1650" s="3"/>
    </row>
    <row r="1651" spans="2:19" x14ac:dyDescent="0.5">
      <c r="B1651" t="str">
        <f t="shared" si="1851"/>
        <v>SPS1</v>
      </c>
      <c r="C1651" t="str">
        <f t="shared" si="1852"/>
        <v>CH</v>
      </c>
      <c r="D1651" t="s">
        <v>1662</v>
      </c>
      <c r="E1651" t="str">
        <f t="shared" si="1861"/>
        <v>PJ/yr.</v>
      </c>
      <c r="F1651" s="1">
        <f>SUM(F1652:F1653)</f>
        <v>9.6333048843332506E-2</v>
      </c>
      <c r="G1651" s="1">
        <f t="shared" ref="G1651:K1651" si="1864">SUM(G1652:G1653)</f>
        <v>4.3591449040242009E-2</v>
      </c>
      <c r="H1651" s="1">
        <f t="shared" si="1864"/>
        <v>8.7394527944409273E-2</v>
      </c>
      <c r="I1651" s="1">
        <f t="shared" si="1864"/>
        <v>0.11515582120782616</v>
      </c>
      <c r="J1651" s="1">
        <f t="shared" si="1864"/>
        <v>0.1206367151558189</v>
      </c>
      <c r="K1651" s="1">
        <f t="shared" si="1864"/>
        <v>8.7490534539812953E-2</v>
      </c>
      <c r="L1651" s="1">
        <f t="shared" ref="L1651:O1651" si="1865">SUM(L1652:L1653)</f>
        <v>3.1962828520415518E-3</v>
      </c>
      <c r="M1651" s="1">
        <f t="shared" si="1865"/>
        <v>0</v>
      </c>
      <c r="N1651" s="1">
        <f t="shared" si="1865"/>
        <v>0</v>
      </c>
      <c r="O1651" s="1">
        <f t="shared" si="1865"/>
        <v>0</v>
      </c>
      <c r="P1651" s="1">
        <f>SUM(P1652:P1653)</f>
        <v>0</v>
      </c>
      <c r="Q1651" s="1">
        <f>SUM(Q1652:Q1653)</f>
        <v>0</v>
      </c>
      <c r="S1651" s="3"/>
    </row>
    <row r="1652" spans="2:19" x14ac:dyDescent="0.5">
      <c r="B1652" t="str">
        <f t="shared" si="1851"/>
        <v>SPS1</v>
      </c>
      <c r="C1652" t="str">
        <f t="shared" si="1852"/>
        <v>CH</v>
      </c>
      <c r="D1652" t="s">
        <v>1663</v>
      </c>
      <c r="E1652" t="str">
        <f t="shared" si="1861"/>
        <v>PJ/yr.</v>
      </c>
      <c r="F1652" s="1">
        <f>[1]Transport!B$25/SUM([1]Transport!B$21,[1]Transport!B$25)*F1649*(F$35+F$600)/(F$35+F$600+F$39)</f>
        <v>9.6333048843332506E-2</v>
      </c>
      <c r="G1652" s="1">
        <f>[1]Transport!C$25/SUM([1]Transport!C$21,[1]Transport!C$25)*G1649*(G$35+G$600)/(G$35+G$600+G$39)</f>
        <v>4.3591449040242009E-2</v>
      </c>
      <c r="H1652" s="1">
        <f>[1]Transport!D$25/SUM([1]Transport!D$21,[1]Transport!D$25)*H1649*(H$35+H$600)/(H$35+H$600+H$39)</f>
        <v>8.7394527944409273E-2</v>
      </c>
      <c r="I1652" s="1">
        <f>[1]Transport!E$25/SUM([1]Transport!E$21,[1]Transport!E$25)*I1649*(I$35+I$600)/(I$35+I$600+I$39)</f>
        <v>0.11515582120782616</v>
      </c>
      <c r="J1652" s="1">
        <f>[1]Transport!F$25/SUM([1]Transport!F$21,[1]Transport!F$25)*J1649*(J$35+J$600)/(J$35+J$600+J$39)</f>
        <v>0.1206367151558189</v>
      </c>
      <c r="K1652" s="1">
        <f>[1]Transport!G$25/SUM([1]Transport!G$21,[1]Transport!G$25)*K1649*(K$35+K$600)/(K$35+K$600+K$39)</f>
        <v>5.883646049214819E-2</v>
      </c>
      <c r="L1652" s="1">
        <f>[1]Transport!H$25/SUM([1]Transport!H$21,[1]Transport!H$25)*L1649*(L$35+L$600)/(L$35+L$600+L$39)</f>
        <v>2.9771995341843342E-3</v>
      </c>
      <c r="M1652" s="1">
        <f>[1]Transport!I$25/SUM([1]Transport!I$21,[1]Transport!I$25)*M1649*(M$35+M$600)/(M$35+M$600+M$39)</f>
        <v>0</v>
      </c>
      <c r="N1652" s="1">
        <f>[1]Transport!J$25/SUM([1]Transport!J$21,[1]Transport!J$25)*N1649*(N$35+N$600)/(N$35+N$600+N$39)</f>
        <v>0</v>
      </c>
      <c r="O1652" s="1">
        <f>[1]Transport!K$25/SUM([1]Transport!K$21,[1]Transport!K$25)*O1649*(O$35+O$600)/(O$35+O$600+O$39)</f>
        <v>0</v>
      </c>
      <c r="P1652" s="1">
        <f>[1]Transport!L$25/SUM([1]Transport!L$21,[1]Transport!L$25)*P1649*(P$35+P$600)/(P$35+P$600+P$39)</f>
        <v>0</v>
      </c>
      <c r="Q1652" s="1">
        <f>[1]Transport!M$25/SUM([1]Transport!M$21,[1]Transport!M$25)*Q1649*(Q$35+Q$600)/(Q$35+Q$600+Q$39)</f>
        <v>0</v>
      </c>
      <c r="S1652" s="3"/>
    </row>
    <row r="1653" spans="2:19" x14ac:dyDescent="0.5">
      <c r="B1653" t="str">
        <f t="shared" si="1851"/>
        <v>SPS1</v>
      </c>
      <c r="C1653" t="str">
        <f t="shared" si="1852"/>
        <v>CH</v>
      </c>
      <c r="D1653" t="s">
        <v>1664</v>
      </c>
      <c r="E1653" t="str">
        <f t="shared" si="186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2.8654074047664766E-2</v>
      </c>
      <c r="L1653" s="1">
        <f>(L$39+L$719)/([1]Transport!H$21+[1]Transport!H$25)*L1649</f>
        <v>2.1908331785721753E-4</v>
      </c>
      <c r="M1653" s="1">
        <f>(M$39+M$719)/([1]Transport!I$21+[1]Transport!I$25)*M1649</f>
        <v>0</v>
      </c>
      <c r="N1653" s="1">
        <f>(N$39+N$719)/([1]Transport!J$21+[1]Transport!J$25)*N1649</f>
        <v>0</v>
      </c>
      <c r="O1653" s="1">
        <f>(O$39+O$719)/([1]Transport!K$21+[1]Transport!K$25)*O1649</f>
        <v>0</v>
      </c>
      <c r="P1653" s="1">
        <f>(P$39+P$719)/([1]Transport!L$21+[1]Transport!L$25)*P1649</f>
        <v>0</v>
      </c>
      <c r="Q1653" s="1">
        <f>(Q$39+Q$719)/([1]Transport!M$21+[1]Transport!M$25)*Q1649</f>
        <v>0</v>
      </c>
      <c r="S1653" s="3"/>
    </row>
    <row r="1654" spans="2:19" x14ac:dyDescent="0.5">
      <c r="B1654" t="str">
        <f t="shared" si="1851"/>
        <v>SPS1</v>
      </c>
      <c r="C1654" t="str">
        <f t="shared" si="1852"/>
        <v>CH</v>
      </c>
      <c r="D1654" t="s">
        <v>1665</v>
      </c>
      <c r="E1654" t="str">
        <f t="shared" si="186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0.79632967804148302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1.5965210334380247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2.1025608141584242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2.102580598904912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1.0729221509578877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5.1324894314201813E-3</v>
      </c>
      <c r="M1654" s="1" cm="1">
        <f t="array" ref="M1654">SUMPRODUCT(("TPSHPGSLEXT"=[1]OUT_TransportEnergyCons!$A$3:$A$1000)*1,("Var_Fin"=[1]OUT_TransportEnergyCons!$B$3:$B$1000)*1,ISNUMBER(SEARCH("GSL",[1]OUT_TransportEnergyCons!$C$3:$C$1000))*1,[1]OUT_TransportEnergyCons!K$3:K$1000)</f>
        <v>0</v>
      </c>
      <c r="N1654" s="1" cm="1">
        <f t="array" ref="N1654">SUMPRODUCT(("TPSHPGSLEXT"=[1]OUT_TransportEnergyCons!$A$3:$A$1000)*1,("Var_Fin"=[1]OUT_TransportEnergyCons!$B$3:$B$1000)*1,ISNUMBER(SEARCH("GSL",[1]OUT_TransportEnergyCons!$C$3:$C$1000))*1,[1]OUT_TransportEnergyCons!L$3:L$1000)</f>
        <v>0</v>
      </c>
      <c r="O1654" s="1" cm="1">
        <f t="array" ref="O1654">SUMPRODUCT(("TPSHPGSLEXT"=[1]OUT_TransportEnergyCons!$A$3:$A$1000)*1,("Var_Fin"=[1]OUT_TransportEnergyCons!$B$3:$B$1000)*1,ISNUMBER(SEARCH("GSL",[1]OUT_TransportEnergyCons!$C$3:$C$1000))*1,[1]OUT_TransportEnergyCons!M$3:M$1000)</f>
        <v>0</v>
      </c>
      <c r="P1654" s="1" cm="1">
        <f t="array" ref="P1654">SUMPRODUCT(("TPSHPGSLEXT"=[1]OUT_TransportEnergyCons!$A$3:$A$1000)*1,("Var_Fin"=[1]OUT_TransportEnergyCons!$B$3:$B$1000)*1,ISNUMBER(SEARCH("GSL",[1]OUT_TransportEnergyCons!$C$3:$C$1000))*1,[1]OUT_TransportEnergyCons!N$3:N$1000)</f>
        <v>0</v>
      </c>
      <c r="Q1654" s="1" cm="1">
        <f t="array" ref="Q1654">SUMPRODUCT(("TPSHPGSLEXT"=[1]OUT_TransportEnergyCons!$A$3:$A$1000)*1,("Var_Fin"=[1]OUT_TransportEnergyCons!$B$3:$B$1000)*1,ISNUMBER(SEARCH("GSL",[1]OUT_TransportEnergyCons!$C$3:$C$1000))*1,[1]OUT_TransportEnergyCons!O$3:O$1000)</f>
        <v>0</v>
      </c>
      <c r="S1654" s="3"/>
    </row>
    <row r="1655" spans="2:19" x14ac:dyDescent="0.5">
      <c r="B1655" t="str">
        <f t="shared" si="1851"/>
        <v>SPS1</v>
      </c>
      <c r="C1655" t="str">
        <f t="shared" si="1852"/>
        <v>CH</v>
      </c>
      <c r="D1655" t="s">
        <v>1666</v>
      </c>
      <c r="E1655" t="str">
        <f t="shared" si="1861"/>
        <v>PJ/yr.</v>
      </c>
      <c r="F1655" s="1">
        <f>[1]TRA_FuelByFleet!F$99</f>
        <v>0</v>
      </c>
      <c r="G1655" s="1">
        <f>[1]TRA_FuelByFleet!G$99</f>
        <v>0</v>
      </c>
      <c r="H1655" s="1">
        <f>[1]TRA_FuelByFleet!H$99</f>
        <v>0</v>
      </c>
      <c r="I1655" s="1">
        <f>[1]TRA_FuelByFleet!I$99</f>
        <v>0</v>
      </c>
      <c r="J1655" s="1">
        <f>[1]TRA_FuelByFleet!J$99</f>
        <v>0</v>
      </c>
      <c r="K1655" s="1">
        <f>[1]TRA_FuelByFleet!K$99</f>
        <v>0</v>
      </c>
      <c r="L1655" s="1">
        <f>[1]TRA_FuelByFleet!L$99</f>
        <v>0</v>
      </c>
      <c r="M1655" s="1">
        <f>[1]TRA_FuelByFleet!M$99</f>
        <v>0</v>
      </c>
      <c r="N1655" s="1">
        <f>[1]TRA_FuelByFleet!N$99</f>
        <v>0</v>
      </c>
      <c r="O1655" s="1">
        <f>[1]TRA_FuelByFleet!O$99</f>
        <v>0</v>
      </c>
      <c r="P1655" s="1">
        <f>[1]TRA_FuelByFleet!P$99</f>
        <v>0</v>
      </c>
      <c r="Q1655" s="1">
        <f>[1]TRA_FuelByFleet!Q$99</f>
        <v>0</v>
      </c>
      <c r="S1655" s="3"/>
    </row>
    <row r="1656" spans="2:19" x14ac:dyDescent="0.5">
      <c r="B1656" t="str">
        <f t="shared" si="1851"/>
        <v>SPS1</v>
      </c>
      <c r="C1656" t="str">
        <f t="shared" si="1852"/>
        <v>CH</v>
      </c>
      <c r="D1656" t="s">
        <v>1667</v>
      </c>
      <c r="E1656" t="str">
        <f t="shared" si="1861"/>
        <v>PJ/yr.</v>
      </c>
      <c r="F1656" s="1">
        <f>F1655-F1657</f>
        <v>0</v>
      </c>
      <c r="G1656" s="1">
        <f t="shared" ref="G1656:K1656" si="1866">G1655-G1657</f>
        <v>0</v>
      </c>
      <c r="H1656" s="1">
        <f t="shared" si="1866"/>
        <v>0</v>
      </c>
      <c r="I1656" s="1">
        <f t="shared" si="1866"/>
        <v>0</v>
      </c>
      <c r="J1656" s="1">
        <f t="shared" si="1866"/>
        <v>0</v>
      </c>
      <c r="K1656" s="1">
        <f t="shared" si="1866"/>
        <v>0</v>
      </c>
      <c r="L1656" s="1">
        <f t="shared" ref="L1656:O1656" si="1867">L1655-L1657</f>
        <v>0</v>
      </c>
      <c r="M1656" s="1">
        <f t="shared" si="1867"/>
        <v>0</v>
      </c>
      <c r="N1656" s="1">
        <f t="shared" si="1867"/>
        <v>0</v>
      </c>
      <c r="O1656" s="1">
        <f t="shared" si="1867"/>
        <v>0</v>
      </c>
      <c r="P1656" s="1">
        <f>P1655-P1657</f>
        <v>0</v>
      </c>
      <c r="Q1656" s="1">
        <f>Q1655-Q1657</f>
        <v>0</v>
      </c>
      <c r="S1656" s="3"/>
    </row>
    <row r="1657" spans="2:19" x14ac:dyDescent="0.5">
      <c r="B1657" t="str">
        <f t="shared" si="1851"/>
        <v>SPS1</v>
      </c>
      <c r="C1657" t="str">
        <f t="shared" si="1852"/>
        <v>CH</v>
      </c>
      <c r="D1657" t="s">
        <v>1668</v>
      </c>
      <c r="E1657" t="str">
        <f t="shared" si="1861"/>
        <v>PJ/yr.</v>
      </c>
      <c r="F1657" s="1">
        <f>SUM(F1658:F1659)</f>
        <v>0</v>
      </c>
      <c r="G1657" s="1">
        <f t="shared" ref="G1657:K1657" si="1868">SUM(G1658:G1659)</f>
        <v>0</v>
      </c>
      <c r="H1657" s="1">
        <f t="shared" si="1868"/>
        <v>0</v>
      </c>
      <c r="I1657" s="1">
        <f t="shared" si="1868"/>
        <v>0</v>
      </c>
      <c r="J1657" s="1">
        <f t="shared" si="1868"/>
        <v>0</v>
      </c>
      <c r="K1657" s="1">
        <f t="shared" si="1868"/>
        <v>0</v>
      </c>
      <c r="L1657" s="1">
        <f t="shared" ref="L1657:O1657" si="1869">SUM(L1658:L1659)</f>
        <v>0</v>
      </c>
      <c r="M1657" s="1">
        <f t="shared" si="1869"/>
        <v>0</v>
      </c>
      <c r="N1657" s="1">
        <f t="shared" si="1869"/>
        <v>0</v>
      </c>
      <c r="O1657" s="1">
        <f t="shared" si="1869"/>
        <v>0</v>
      </c>
      <c r="P1657" s="1">
        <f>SUM(P1658:P1659)</f>
        <v>0</v>
      </c>
      <c r="Q1657" s="1">
        <f>SUM(Q1658:Q1659)</f>
        <v>0</v>
      </c>
      <c r="S1657" s="3"/>
    </row>
    <row r="1658" spans="2:19" x14ac:dyDescent="0.5">
      <c r="B1658" t="str">
        <f t="shared" si="1851"/>
        <v>SPS1</v>
      </c>
      <c r="C1658" t="str">
        <f t="shared" si="1852"/>
        <v>CH</v>
      </c>
      <c r="D1658" t="s">
        <v>1669</v>
      </c>
      <c r="E1658" t="str">
        <f t="shared" si="1861"/>
        <v>PJ/yr.</v>
      </c>
      <c r="F1658" s="1">
        <f>[1]Transport!B$26/SUM([1]Transport!B$22,[1]Transport!B$26)*F1655*(F$34+F$582)/(F$34+F$582+F$38)</f>
        <v>0</v>
      </c>
      <c r="G1658" s="1">
        <f>[1]Transport!C$26/SUM([1]Transport!C$22,[1]Transport!C$26)*G1655*(G$34+G$582)/(G$34+G$582+G$38)</f>
        <v>0</v>
      </c>
      <c r="H1658" s="1">
        <f>[1]Transport!D$26/SUM([1]Transport!D$22,[1]Transport!D$26)*H1655*(H$34+H$582)/(H$34+H$582+H$38)</f>
        <v>0</v>
      </c>
      <c r="I1658" s="1">
        <f>[1]Transport!E$26/SUM([1]Transport!E$22,[1]Transport!E$26)*I1655*(I$34+I$582)/(I$34+I$582+I$38)</f>
        <v>0</v>
      </c>
      <c r="J1658" s="1">
        <f>[1]Transport!F$26/SUM([1]Transport!F$22,[1]Transport!F$26)*J1655*(J$34+J$582)/(J$34+J$582+J$38)</f>
        <v>0</v>
      </c>
      <c r="K1658" s="1">
        <f>[1]Transport!G$26/SUM([1]Transport!G$22,[1]Transport!G$26)*K1655*(K$34+K$582)/(K$34+K$582+K$38)</f>
        <v>0</v>
      </c>
      <c r="L1658" s="1">
        <f>[1]Transport!H$26/SUM([1]Transport!H$22,[1]Transport!H$26)*L1655*(L$34+L$582)/(L$34+L$582+L$38)</f>
        <v>0</v>
      </c>
      <c r="M1658" s="1">
        <f>[1]Transport!I$26/SUM([1]Transport!I$22,[1]Transport!I$26)*M1655*(M$34+M$582)/(M$34+M$582+M$38)</f>
        <v>0</v>
      </c>
      <c r="N1658" s="1">
        <f>[1]Transport!J$26/SUM([1]Transport!J$22,[1]Transport!J$26)*N1655*(N$34+N$582)/(N$34+N$582+N$38)</f>
        <v>0</v>
      </c>
      <c r="O1658" s="1">
        <f>[1]Transport!K$26/SUM([1]Transport!K$22,[1]Transport!K$26)*O1655*(O$34+O$582)/(O$34+O$582+O$38)</f>
        <v>0</v>
      </c>
      <c r="P1658" s="1">
        <f>[1]Transport!L$26/SUM([1]Transport!L$22,[1]Transport!L$26)*P1655*(P$34+P$582)/(P$34+P$582+P$38)</f>
        <v>0</v>
      </c>
      <c r="Q1658" s="1">
        <f>[1]Transport!M$26/SUM([1]Transport!M$22,[1]Transport!M$26)*Q1655*(Q$34+Q$582)/(Q$34+Q$582+Q$38)</f>
        <v>0</v>
      </c>
      <c r="S1658" s="3"/>
    </row>
    <row r="1659" spans="2:19" x14ac:dyDescent="0.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M1659" s="1">
        <f>[1]Transport!I$26/SUM([1]Transport!I$22,[1]Transport!I$26)*M1655-M1658</f>
        <v>0</v>
      </c>
      <c r="N1659" s="1">
        <f>[1]Transport!J$26/SUM([1]Transport!J$22,[1]Transport!J$26)*N1655-N1658</f>
        <v>0</v>
      </c>
      <c r="O1659" s="1">
        <f>[1]Transport!K$26/SUM([1]Transport!K$22,[1]Transport!K$26)*O1655-O1658</f>
        <v>0</v>
      </c>
      <c r="P1659" s="1">
        <f>[1]Transport!L$26/SUM([1]Transport!L$22,[1]Transport!L$26)*P1655-P1658</f>
        <v>0</v>
      </c>
      <c r="Q1659" s="1">
        <f>[1]Transport!M$26/SUM([1]Transport!M$22,[1]Transport!M$26)*Q1655-Q1658</f>
        <v>0</v>
      </c>
      <c r="S1659" s="3"/>
    </row>
    <row r="1660" spans="2:19" x14ac:dyDescent="0.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M1660" s="1" cm="1">
        <f t="array" ref="M1660">SUMPRODUCT(("TPRLPDSLEXT"=[1]OUT_TransportEnergyCons!$A$3:$A$1000)*1,("Var_Fin"=[1]OUT_TransportEnergyCons!$B$3:$B$1000)*1,ISNUMBER(SEARCH("DSL",[1]OUT_TransportEnergyCons!$C$3:$C$1000))*1,[1]OUT_TransportEnergyCons!K$3:K$1000)</f>
        <v>0</v>
      </c>
      <c r="N1660" s="1" cm="1">
        <f t="array" ref="N1660">SUMPRODUCT(("TPRLPDSLEXT"=[1]OUT_TransportEnergyCons!$A$3:$A$1000)*1,("Var_Fin"=[1]OUT_TransportEnergyCons!$B$3:$B$1000)*1,ISNUMBER(SEARCH("DSL",[1]OUT_TransportEnergyCons!$C$3:$C$1000))*1,[1]OUT_TransportEnergyCons!L$3:L$1000)</f>
        <v>0</v>
      </c>
      <c r="O1660" s="1" cm="1">
        <f t="array" ref="O1660">SUMPRODUCT(("TPRLPDSLEXT"=[1]OUT_TransportEnergyCons!$A$3:$A$1000)*1,("Var_Fin"=[1]OUT_TransportEnergyCons!$B$3:$B$1000)*1,ISNUMBER(SEARCH("DSL",[1]OUT_TransportEnergyCons!$C$3:$C$1000))*1,[1]OUT_TransportEnergyCons!M$3:M$1000)</f>
        <v>0</v>
      </c>
      <c r="P1660" s="1" cm="1">
        <f t="array" ref="P1660">SUMPRODUCT(("TPRLPDSLEXT"=[1]OUT_TransportEnergyCons!$A$3:$A$1000)*1,("Var_Fin"=[1]OUT_TransportEnergyCons!$B$3:$B$1000)*1,ISNUMBER(SEARCH("DSL",[1]OUT_TransportEnergyCons!$C$3:$C$1000))*1,[1]OUT_TransportEnergyCons!N$3:N$1000)</f>
        <v>0</v>
      </c>
      <c r="Q1660" s="1" cm="1">
        <f t="array" ref="Q1660">SUMPRODUCT(("TPRLPDSLEXT"=[1]OUT_TransportEnergyCons!$A$3:$A$1000)*1,("Var_Fin"=[1]OUT_TransportEnergyCons!$B$3:$B$1000)*1,ISNUMBER(SEARCH("DSL",[1]OUT_TransportEnergyCons!$C$3:$C$1000))*1,[1]OUT_TransportEnergyCons!O$3:O$1000)</f>
        <v>0</v>
      </c>
      <c r="S1660" s="3"/>
    </row>
    <row r="1661" spans="2:19" x14ac:dyDescent="0.5">
      <c r="B1661" t="str">
        <f t="shared" si="1851"/>
        <v>SPS1</v>
      </c>
      <c r="C1661" t="str">
        <f t="shared" si="1852"/>
        <v>CH</v>
      </c>
      <c r="D1661" t="s">
        <v>1672</v>
      </c>
      <c r="E1661" t="str">
        <f t="shared" si="186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0.39609134403365925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3.0557012284660904E-4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3.303242480227285E-4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3.4455757201123309E-4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3.3530671614139158E-4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3.3516880023965709E-4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3.2039496601422645E-4</v>
      </c>
      <c r="M1661" s="1" cm="1">
        <f t="array" ref="M1661">SUMPRODUCT(("TFRLFDSLEXT"=[1]OUT_TransportEnergyCons!$A$3:$A$1000)*1,("Var_Fin"=[1]OUT_TransportEnergyCons!$B$3:$B$1000)*1,ISNUMBER(SEARCH("DSL",[1]OUT_TransportEnergyCons!$C$3:$C$1000))*1,[1]OUT_TransportEnergyCons!K$3:K$1000)</f>
        <v>4.9365052254592891E-5</v>
      </c>
      <c r="N1661" s="1" cm="1">
        <f t="array" ref="N1661">SUMPRODUCT(("TFRLFDSLEXT"=[1]OUT_TransportEnergyCons!$A$3:$A$1000)*1,("Var_Fin"=[1]OUT_TransportEnergyCons!$B$3:$B$1000)*1,ISNUMBER(SEARCH("DSL",[1]OUT_TransportEnergyCons!$C$3:$C$1000))*1,[1]OUT_TransportEnergyCons!L$3:L$1000)</f>
        <v>0</v>
      </c>
      <c r="O1661" s="1" cm="1">
        <f t="array" ref="O1661">SUMPRODUCT(("TFRLFDSLEXT"=[1]OUT_TransportEnergyCons!$A$3:$A$1000)*1,("Var_Fin"=[1]OUT_TransportEnergyCons!$B$3:$B$1000)*1,ISNUMBER(SEARCH("DSL",[1]OUT_TransportEnergyCons!$C$3:$C$1000))*1,[1]OUT_TransportEnergyCons!M$3:M$1000)</f>
        <v>9.0241758262324368E-5</v>
      </c>
      <c r="P1661" s="1" cm="1">
        <f t="array" ref="P1661">SUMPRODUCT(("TFRLFDSLEXT"=[1]OUT_TransportEnergyCons!$A$3:$A$1000)*1,("Var_Fin"=[1]OUT_TransportEnergyCons!$B$3:$B$1000)*1,ISNUMBER(SEARCH("DSL",[1]OUT_TransportEnergyCons!$C$3:$C$1000))*1,[1]OUT_TransportEnergyCons!N$3:N$1000)</f>
        <v>9.0388156211617551E-5</v>
      </c>
      <c r="Q1661" s="1" cm="1">
        <f t="array" ref="Q1661">SUMPRODUCT(("TFRLFDSLEXT"=[1]OUT_TransportEnergyCons!$A$3:$A$1000)*1,("Var_Fin"=[1]OUT_TransportEnergyCons!$B$3:$B$1000)*1,ISNUMBER(SEARCH("DSL",[1]OUT_TransportEnergyCons!$C$3:$C$1000))*1,[1]OUT_TransportEnergyCons!O$3:O$1000)</f>
        <v>4.6572904519946213E-4</v>
      </c>
      <c r="S1661" s="3"/>
    </row>
    <row r="1662" spans="2:19" x14ac:dyDescent="0.5">
      <c r="B1662" t="str">
        <f t="shared" si="1851"/>
        <v>SPS1</v>
      </c>
      <c r="C1662" t="str">
        <f t="shared" si="1852"/>
        <v>CH</v>
      </c>
      <c r="D1662" t="s">
        <v>1673</v>
      </c>
      <c r="E1662" t="str">
        <f t="shared" si="186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17.380406156591604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15.762755267114379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14.414810091751573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13.875475053502866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10.619448246383676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4.8629114792388171</v>
      </c>
      <c r="M1662" s="1" cm="1">
        <f t="array" ref="M1662">SUMPRODUCT(("TPSHPDSLEXT"=[1]OUT_TransportEnergyCons!$A$3:$A$1000)*1,("Var_Fin"=[1]OUT_TransportEnergyCons!$B$3:$B$1000)*1,ISNUMBER(SEARCH("DSL",[1]OUT_TransportEnergyCons!$C$3:$C$1000))*1,[1]OUT_TransportEnergyCons!K$3:K$1000)</f>
        <v>2.0429221320614008</v>
      </c>
      <c r="N1662" s="1" cm="1">
        <f t="array" ref="N1662">SUMPRODUCT(("TPSHPDSLEXT"=[1]OUT_TransportEnergyCons!$A$3:$A$1000)*1,("Var_Fin"=[1]OUT_TransportEnergyCons!$B$3:$B$1000)*1,ISNUMBER(SEARCH("DSL",[1]OUT_TransportEnergyCons!$C$3:$C$1000))*1,[1]OUT_TransportEnergyCons!L$3:L$1000)</f>
        <v>2.04291937879601</v>
      </c>
      <c r="O1662" s="1" cm="1">
        <f t="array" ref="O1662">SUMPRODUCT(("TPSHPDSLEXT"=[1]OUT_TransportEnergyCons!$A$3:$A$1000)*1,("Var_Fin"=[1]OUT_TransportEnergyCons!$B$3:$B$1000)*1,ISNUMBER(SEARCH("DSL",[1]OUT_TransportEnergyCons!$C$3:$C$1000))*1,[1]OUT_TransportEnergyCons!M$3:M$1000)</f>
        <v>2.0429219604410096</v>
      </c>
      <c r="P1662" s="1" cm="1">
        <f t="array" ref="P1662">SUMPRODUCT(("TPSHPDSLEXT"=[1]OUT_TransportEnergyCons!$A$3:$A$1000)*1,("Var_Fin"=[1]OUT_TransportEnergyCons!$B$3:$B$1000)*1,ISNUMBER(SEARCH("DSL",[1]OUT_TransportEnergyCons!$C$3:$C$1000))*1,[1]OUT_TransportEnergyCons!N$3:N$1000)</f>
        <v>2.0429194730669384</v>
      </c>
      <c r="Q1662" s="1" cm="1">
        <f t="array" ref="Q1662">SUMPRODUCT(("TPSHPDSLEXT"=[1]OUT_TransportEnergyCons!$A$3:$A$1000)*1,("Var_Fin"=[1]OUT_TransportEnergyCons!$B$3:$B$1000)*1,ISNUMBER(SEARCH("DSL",[1]OUT_TransportEnergyCons!$C$3:$C$1000))*1,[1]OUT_TransportEnergyCons!O$3:O$1000)</f>
        <v>2.0429203793653348</v>
      </c>
      <c r="S1662" s="3"/>
    </row>
    <row r="1663" spans="2:19" x14ac:dyDescent="0.5">
      <c r="B1663" t="str">
        <f t="shared" ref="B1663:C1665" si="1870">B1657</f>
        <v>SPS1</v>
      </c>
      <c r="C1663" t="str">
        <f t="shared" si="187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30.629147319021641</v>
      </c>
      <c r="G1663" s="1">
        <f>IF([1]Transport!C$23+[1]Transport_Aviation_Intl!C$11&lt;0,0,[1]Transport!C$23+[1]Transport_Aviation_Intl!C$11)</f>
        <v>59.879984409799789</v>
      </c>
      <c r="H1663" s="1">
        <f>IF([1]Transport!D$23+[1]Transport_Aviation_Intl!D$11&lt;0,0,[1]Transport!D$23+[1]Transport_Aviation_Intl!D$11)</f>
        <v>85.343872723612421</v>
      </c>
      <c r="I1663" s="1">
        <f>IF([1]Transport!E$23+[1]Transport_Aviation_Intl!E$11&lt;0,0,[1]Transport!E$23+[1]Transport_Aviation_Intl!E$11)</f>
        <v>85.55182008247472</v>
      </c>
      <c r="J1663" s="1">
        <f>IF([1]Transport!F$23+[1]Transport_Aviation_Intl!F$11&lt;0,0,[1]Transport!F$23+[1]Transport_Aviation_Intl!F$11)</f>
        <v>76.381009475071153</v>
      </c>
      <c r="K1663" s="1">
        <f>IF([1]Transport!G$23+[1]Transport_Aviation_Intl!G$11&lt;0,0,[1]Transport!G$23+[1]Transport_Aviation_Intl!G$11)</f>
        <v>54.629978324042241</v>
      </c>
      <c r="L1663" s="1">
        <f>IF([1]Transport!H$23+[1]Transport_Aviation_Intl!H$11&lt;0,0,[1]Transport!H$23+[1]Transport_Aviation_Intl!H$11)</f>
        <v>28.152342961832993</v>
      </c>
      <c r="M1663" s="1">
        <f>IF([1]Transport!I$23+[1]Transport_Aviation_Intl!I$11&lt;0,0,[1]Transport!I$23+[1]Transport_Aviation_Intl!I$11)</f>
        <v>0</v>
      </c>
      <c r="N1663" s="1">
        <f>IF([1]Transport!J$23+[1]Transport_Aviation_Intl!J$11&lt;0,0,[1]Transport!J$23+[1]Transport_Aviation_Intl!J$11)</f>
        <v>2.6854985744018123E-4</v>
      </c>
      <c r="O1663" s="1">
        <f>IF([1]Transport!K$23+[1]Transport_Aviation_Intl!K$11&lt;0,0,[1]Transport!K$23+[1]Transport_Aviation_Intl!K$11)</f>
        <v>4.9846380982998539E-4</v>
      </c>
      <c r="P1663" s="1">
        <f>IF([1]Transport!L$23+[1]Transport_Aviation_Intl!L$11&lt;0,0,[1]Transport!L$23+[1]Transport_Aviation_Intl!L$11)</f>
        <v>3.354565342199578E-4</v>
      </c>
      <c r="Q1663" s="1">
        <f>IF([1]Transport!M$23+[1]Transport_Aviation_Intl!M$11&lt;0,0,[1]Transport!M$23+[1]Transport_Aviation_Intl!M$11)</f>
        <v>6.6560863410014548E-4</v>
      </c>
      <c r="S1663" s="3"/>
    </row>
    <row r="1664" spans="2:19" x14ac:dyDescent="0.5">
      <c r="B1664" t="str">
        <f t="shared" si="1870"/>
        <v>SPS1</v>
      </c>
      <c r="C1664" t="str">
        <f t="shared" si="1870"/>
        <v>CH</v>
      </c>
      <c r="D1664" t="s">
        <v>2480</v>
      </c>
      <c r="E1664" t="str">
        <f>E1658</f>
        <v>PJ/yr.</v>
      </c>
      <c r="F1664" s="1">
        <f t="shared" ref="F1664:K1664" si="1871">F36</f>
        <v>8.5270480034799396E-4</v>
      </c>
      <c r="G1664" s="1">
        <f t="shared" si="1871"/>
        <v>1.56066497904678E-5</v>
      </c>
      <c r="H1664" s="1">
        <f t="shared" si="1871"/>
        <v>1.0871238673764399E-3</v>
      </c>
      <c r="I1664" s="1">
        <f t="shared" si="1871"/>
        <v>5.3306678662560181</v>
      </c>
      <c r="J1664" s="1">
        <f t="shared" si="1871"/>
        <v>5.3306678662560181</v>
      </c>
      <c r="K1664" s="1">
        <f t="shared" si="1871"/>
        <v>18.513486643391385</v>
      </c>
      <c r="L1664" s="1">
        <f t="shared" ref="L1664:O1664" si="1872">L36</f>
        <v>38.847445785479252</v>
      </c>
      <c r="M1664" s="1">
        <f t="shared" si="1872"/>
        <v>68.667311140125989</v>
      </c>
      <c r="N1664" s="1">
        <f t="shared" si="1872"/>
        <v>95.362658376664115</v>
      </c>
      <c r="O1664" s="1">
        <f t="shared" si="1872"/>
        <v>95.543984383242602</v>
      </c>
      <c r="P1664" s="1">
        <f>P36</f>
        <v>96.256507534484768</v>
      </c>
      <c r="Q1664" s="1">
        <f>Q36</f>
        <v>97.823735322835617</v>
      </c>
      <c r="S1664" s="3"/>
    </row>
    <row r="1665" spans="2:19" x14ac:dyDescent="0.5">
      <c r="B1665" t="str">
        <f t="shared" si="1870"/>
        <v>SPS1</v>
      </c>
      <c r="C1665" t="str">
        <f t="shared" si="1870"/>
        <v>CH</v>
      </c>
      <c r="D1665" t="s">
        <v>2481</v>
      </c>
      <c r="E1665" t="str">
        <f>E1659</f>
        <v>PJ/yr.</v>
      </c>
      <c r="F1665" s="1">
        <f t="shared" ref="F1665:K1665" si="1873">F40</f>
        <v>0</v>
      </c>
      <c r="G1665" s="1">
        <f t="shared" si="1873"/>
        <v>0</v>
      </c>
      <c r="H1665" s="1">
        <f t="shared" si="1873"/>
        <v>0</v>
      </c>
      <c r="I1665" s="1">
        <f t="shared" si="1873"/>
        <v>0</v>
      </c>
      <c r="J1665" s="1">
        <f t="shared" si="1873"/>
        <v>13.182818777135367</v>
      </c>
      <c r="K1665" s="1">
        <f t="shared" si="1873"/>
        <v>20.333959142087867</v>
      </c>
      <c r="L1665" s="1">
        <f t="shared" ref="L1665:O1665" si="1874">L40</f>
        <v>29.819865354646737</v>
      </c>
      <c r="M1665" s="1">
        <f t="shared" si="1874"/>
        <v>26.876673243116613</v>
      </c>
      <c r="N1665" s="1">
        <f t="shared" si="1874"/>
        <v>0</v>
      </c>
      <c r="O1665" s="1">
        <f t="shared" si="1874"/>
        <v>0.71252315124216636</v>
      </c>
      <c r="P1665" s="1">
        <f>P40</f>
        <v>1.5672277883508485</v>
      </c>
      <c r="Q1665" s="1">
        <f>Q40</f>
        <v>1.5793309038765102</v>
      </c>
      <c r="S1665" s="3"/>
    </row>
    <row r="1666" spans="2:19" x14ac:dyDescent="0.5">
      <c r="B1666" s="2" t="str">
        <f>B1662</f>
        <v>SPS1</v>
      </c>
      <c r="C1666" s="2" t="str">
        <f>C1662</f>
        <v>CH</v>
      </c>
      <c r="D1666" s="2" t="s">
        <v>1674</v>
      </c>
      <c r="E1666" s="19" t="s">
        <v>292</v>
      </c>
      <c r="F1666" s="19" t="s">
        <v>292</v>
      </c>
      <c r="G1666" s="19" t="s">
        <v>292</v>
      </c>
      <c r="H1666" s="19" t="s">
        <v>292</v>
      </c>
      <c r="I1666" s="19" t="s">
        <v>292</v>
      </c>
      <c r="J1666" s="19" t="s">
        <v>292</v>
      </c>
      <c r="K1666" s="19" t="s">
        <v>292</v>
      </c>
      <c r="L1666" s="19" t="s">
        <v>292</v>
      </c>
      <c r="M1666" s="19" t="s">
        <v>292</v>
      </c>
      <c r="N1666" s="19" t="s">
        <v>292</v>
      </c>
      <c r="O1666" s="19" t="s">
        <v>292</v>
      </c>
      <c r="P1666" s="19" t="s">
        <v>292</v>
      </c>
      <c r="Q1666" s="19" t="s">
        <v>292</v>
      </c>
      <c r="S1666" s="3"/>
    </row>
    <row r="1667" spans="2:19" x14ac:dyDescent="0.5">
      <c r="B1667" t="str">
        <f t="shared" ref="B1667:B1687" si="1875">B1666</f>
        <v>SPS1</v>
      </c>
      <c r="C1667" t="str">
        <f t="shared" si="185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0.24501625874207142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0.25420479024173176</v>
      </c>
      <c r="M1667" s="1" cm="1">
        <f t="array" ref="M1667">SUMPRODUCT(("TPRLPELCEXT"=[1]OUT_TransportEnergyCons!$A$3:$A$1000)*1,("var_fout"=[1]OUT_TransportEnergyCons!$B$3:$B$1000)*1,ISNUMBER(SEARCH("TPRLP",[1]OUT_TransportEnergyCons!$C$3:$C$1000))*1,[1]OUT_TransportEnergyCons!K$3:K$1000)</f>
        <v>0.26339335116587126</v>
      </c>
      <c r="N1667" s="1" cm="1">
        <f t="array" ref="N1667">SUMPRODUCT(("TPRLPELCEXT"=[1]OUT_TransportEnergyCons!$A$3:$A$1000)*1,("var_fout"=[1]OUT_TransportEnergyCons!$B$3:$B$1000)*1,ISNUMBER(SEARCH("TPRLP",[1]OUT_TransportEnergyCons!$C$3:$C$1000))*1,[1]OUT_TransportEnergyCons!L$3:L$1000)</f>
        <v>0.27582945286366878</v>
      </c>
      <c r="O1667" s="1" cm="1">
        <f t="array" ref="O1667">SUMPRODUCT(("TPRLPELCEXT"=[1]OUT_TransportEnergyCons!$A$3:$A$1000)*1,("var_fout"=[1]OUT_TransportEnergyCons!$B$3:$B$1000)*1,ISNUMBER(SEARCH("TPRLP",[1]OUT_TransportEnergyCons!$C$3:$C$1000))*1,[1]OUT_TransportEnergyCons!M$3:M$1000)</f>
        <v>0.28823613655991065</v>
      </c>
      <c r="P1667" s="1" cm="1">
        <f t="array" ref="P1667">SUMPRODUCT(("TPRLPELCEXT"=[1]OUT_TransportEnergyCons!$A$3:$A$1000)*1,("var_fout"=[1]OUT_TransportEnergyCons!$B$3:$B$1000)*1,ISNUMBER(SEARCH("TPRLP",[1]OUT_TransportEnergyCons!$C$3:$C$1000))*1,[1]OUT_TransportEnergyCons!N$3:N$1000)</f>
        <v>0.30061291745203017</v>
      </c>
      <c r="Q1667" s="1" cm="1">
        <f t="array" ref="Q1667">SUMPRODUCT(("TPRLPELCEXT"=[1]OUT_TransportEnergyCons!$A$3:$A$1000)*1,("var_fout"=[1]OUT_TransportEnergyCons!$B$3:$B$1000)*1,ISNUMBER(SEARCH("TPRLP",[1]OUT_TransportEnergyCons!$C$3:$C$1000))*1,[1]OUT_TransportEnergyCons!O$3:O$1000)</f>
        <v>0.31295354685680726</v>
      </c>
      <c r="S1667" s="3"/>
    </row>
    <row r="1668" spans="2:19" x14ac:dyDescent="0.5">
      <c r="B1668" t="str">
        <f t="shared" si="1875"/>
        <v>SPS1</v>
      </c>
      <c r="C1668" t="str">
        <f t="shared" si="1852"/>
        <v>CH</v>
      </c>
      <c r="D1668" t="s">
        <v>1676</v>
      </c>
      <c r="E1668" t="str">
        <f t="shared" ref="E1668:E1671" si="187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2.5094612516715405E-2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2.7687215617260969E-2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2.9170761238601687E-2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3.1643448314511012E-2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3.3097452045680084E-2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3.3877902655594476E-2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3.5149085499876866E-2</v>
      </c>
      <c r="M1668" s="1" cm="1">
        <f t="array" ref="M1668">SUMPRODUCT(("TFRLFELCEXT"=[1]OUT_TransportEnergyCons!$A$3:$A$1000)*1,("var_fout"=[1]OUT_TransportEnergyCons!$B$3:$B$1000)*1,ISNUMBER(SEARCH("TfRLf",[1]OUT_TransportEnergyCons!$C$3:$C$1000))*1,[1]OUT_TransportEnergyCons!K$3:K$1000)</f>
        <v>3.6420319966383279E-2</v>
      </c>
      <c r="N1668" s="1" cm="1">
        <f t="array" ref="N1668">SUMPRODUCT(("TFRLFELCEXT"=[1]OUT_TransportEnergyCons!$A$3:$A$1000)*1,("var_fout"=[1]OUT_TransportEnergyCons!$B$3:$B$1000)*1,ISNUMBER(SEARCH("TfRLf",[1]OUT_TransportEnergyCons!$C$3:$C$1000))*1,[1]OUT_TransportEnergyCons!L$3:L$1000)</f>
        <v>3.6998081538062264E-2</v>
      </c>
      <c r="O1668" s="1" cm="1">
        <f t="array" ref="O1668">SUMPRODUCT(("TFRLFELCEXT"=[1]OUT_TransportEnergyCons!$A$3:$A$1000)*1,("var_fout"=[1]OUT_TransportEnergyCons!$B$3:$B$1000)*1,ISNUMBER(SEARCH("TfRLf",[1]OUT_TransportEnergyCons!$C$3:$C$1000))*1,[1]OUT_TransportEnergyCons!M$3:M$1000)</f>
        <v>3.7871553126591781E-2</v>
      </c>
      <c r="P1668" s="1" cm="1">
        <f t="array" ref="P1668">SUMPRODUCT(("TFRLFELCEXT"=[1]OUT_TransportEnergyCons!$A$3:$A$1000)*1,("var_fout"=[1]OUT_TransportEnergyCons!$B$3:$B$1000)*1,ISNUMBER(SEARCH("TfRLf",[1]OUT_TransportEnergyCons!$C$3:$C$1000))*1,[1]OUT_TransportEnergyCons!N$3:N$1000)</f>
        <v>3.8120949739686952E-2</v>
      </c>
      <c r="Q1668" s="1" cm="1">
        <f t="array" ref="Q1668">SUMPRODUCT(("TFRLFELCEXT"=[1]OUT_TransportEnergyCons!$A$3:$A$1000)*1,("var_fout"=[1]OUT_TransportEnergyCons!$B$3:$B$1000)*1,ISNUMBER(SEARCH("TfRLf",[1]OUT_TransportEnergyCons!$C$3:$C$1000))*1,[1]OUT_TransportEnergyCons!O$3:O$1000)</f>
        <v>3.8610984598281231E-2</v>
      </c>
      <c r="S1668" s="3"/>
    </row>
    <row r="1669" spans="2:19" x14ac:dyDescent="0.5">
      <c r="B1669" t="str">
        <f t="shared" si="1875"/>
        <v>SPS1</v>
      </c>
      <c r="C1669" t="str">
        <f t="shared" si="185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1.15986356716121E-5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1.7465493134060499E-5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1.05186633379772E-4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0.53302456895801298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4.6816716704121601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11.338432267010999</v>
      </c>
      <c r="M1669" s="1" cm="1">
        <f t="array" ref="M1669">SUMPRODUCT(("TPSHPELCEXT"=[1]OUT_TransportEnergyCons!$A$3:$A$1000)*1,("var_fout"=[1]OUT_TransportEnergyCons!$B$3:$B$1000)*1,ISNUMBER(SEARCH("TPSHP",[1]OUT_TransportEnergyCons!$C$3:$C$1000))*1,[1]OUT_TransportEnergyCons!K$3:K$1000)</f>
        <v>14.130015479872201</v>
      </c>
      <c r="N1669" s="1" cm="1">
        <f t="array" ref="N1669">SUMPRODUCT(("TPSHPELCEXT"=[1]OUT_TransportEnergyCons!$A$3:$A$1000)*1,("var_fout"=[1]OUT_TransportEnergyCons!$B$3:$B$1000)*1,ISNUMBER(SEARCH("TPSHP",[1]OUT_TransportEnergyCons!$C$3:$C$1000))*1,[1]OUT_TransportEnergyCons!L$3:L$1000)</f>
        <v>14.130029832453101</v>
      </c>
      <c r="O1669" s="1" cm="1">
        <f t="array" ref="O1669">SUMPRODUCT(("TPSHPELCEXT"=[1]OUT_TransportEnergyCons!$A$3:$A$1000)*1,("var_fout"=[1]OUT_TransportEnergyCons!$B$3:$B$1000)*1,ISNUMBER(SEARCH("TPSHP",[1]OUT_TransportEnergyCons!$C$3:$C$1000))*1,[1]OUT_TransportEnergyCons!M$3:M$1000)</f>
        <v>14.1300607263491</v>
      </c>
      <c r="P1669" s="1" cm="1">
        <f t="array" ref="P1669">SUMPRODUCT(("TPSHPELCEXT"=[1]OUT_TransportEnergyCons!$A$3:$A$1000)*1,("var_fout"=[1]OUT_TransportEnergyCons!$B$3:$B$1000)*1,ISNUMBER(SEARCH("TPSHP",[1]OUT_TransportEnergyCons!$C$3:$C$1000))*1,[1]OUT_TransportEnergyCons!N$3:N$1000)</f>
        <v>14.1300470134781</v>
      </c>
      <c r="Q1669" s="1" cm="1">
        <f t="array" ref="Q1669">SUMPRODUCT(("TPSHPELCEXT"=[1]OUT_TransportEnergyCons!$A$3:$A$1000)*1,("var_fout"=[1]OUT_TransportEnergyCons!$B$3:$B$1000)*1,ISNUMBER(SEARCH("TPSHP",[1]OUT_TransportEnergyCons!$C$3:$C$1000))*1,[1]OUT_TransportEnergyCons!O$3:O$1000)</f>
        <v>14.130048390642999</v>
      </c>
      <c r="S1669" s="3"/>
    </row>
    <row r="1670" spans="2:19" x14ac:dyDescent="0.5">
      <c r="B1670" t="str">
        <f t="shared" si="1875"/>
        <v>SPS1</v>
      </c>
      <c r="C1670" t="str">
        <f t="shared" si="185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9.2170816730251714E-6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8.3925812007758444E-6</v>
      </c>
      <c r="M1670" s="1" cm="1">
        <f t="array" ref="M1670">SUMPRODUCT(("TPRLPH2OFCL"=[1]OUT_TransportEnergyCons!$A$3:$A$1000)*1,("var_fout"=[1]OUT_TransportEnergyCons!$B$3:$B$1000)*1,ISNUMBER(SEARCH("TPRLP",[1]OUT_TransportEnergyCons!$C$3:$C$1000))*1,[1]OUT_TransportEnergyCons!K$3:K$1000)</f>
        <v>7.5219687134788714E-6</v>
      </c>
      <c r="N1670" s="1" cm="1">
        <f t="array" ref="N1670">SUMPRODUCT(("TPRLPH2OFCL"=[1]OUT_TransportEnergyCons!$A$3:$A$1000)*1,("var_fout"=[1]OUT_TransportEnergyCons!$B$3:$B$1000)*1,ISNUMBER(SEARCH("TPRLP",[1]OUT_TransportEnergyCons!$C$3:$C$1000))*1,[1]OUT_TransportEnergyCons!L$3:L$1000)</f>
        <v>7.6308459722180671E-6</v>
      </c>
      <c r="O1670" s="1" cm="1">
        <f t="array" ref="O1670">SUMPRODUCT(("TPRLPH2OFCL"=[1]OUT_TransportEnergyCons!$A$3:$A$1000)*1,("var_fout"=[1]OUT_TransportEnergyCons!$B$3:$B$1000)*1,ISNUMBER(SEARCH("TPRLP",[1]OUT_TransportEnergyCons!$C$3:$C$1000))*1,[1]OUT_TransportEnergyCons!M$3:M$1000)</f>
        <v>6.9265584479083959E-6</v>
      </c>
      <c r="P1670" s="1" cm="1">
        <f t="array" ref="P1670">SUMPRODUCT(("TPRLPH2OFCL"=[1]OUT_TransportEnergyCons!$A$3:$A$1000)*1,("var_fout"=[1]OUT_TransportEnergyCons!$B$3:$B$1000)*1,ISNUMBER(SEARCH("TPRLP",[1]OUT_TransportEnergyCons!$C$3:$C$1000))*1,[1]OUT_TransportEnergyCons!N$3:N$1000)</f>
        <v>6.0363049475456853E-6</v>
      </c>
      <c r="Q1670" s="1" cm="1">
        <f t="array" ref="Q1670">SUMPRODUCT(("TPRLPH2OFCL"=[1]OUT_TransportEnergyCons!$A$3:$A$1000)*1,("var_fout"=[1]OUT_TransportEnergyCons!$B$3:$B$1000)*1,ISNUMBER(SEARCH("TPRLP",[1]OUT_TransportEnergyCons!$C$3:$C$1000))*1,[1]OUT_TransportEnergyCons!O$3:O$1000)</f>
        <v>1.1400168361646191E-5</v>
      </c>
      <c r="S1670" s="3"/>
    </row>
    <row r="1671" spans="2:19" x14ac:dyDescent="0.5">
      <c r="B1671" t="str">
        <f t="shared" si="1875"/>
        <v>SPS1</v>
      </c>
      <c r="C1671" t="str">
        <f t="shared" si="1852"/>
        <v>CH</v>
      </c>
      <c r="D1671" t="s">
        <v>1679</v>
      </c>
      <c r="E1671" t="str">
        <f t="shared" si="187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1.2002176092671804E-6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1.2587881001857865E-6</v>
      </c>
      <c r="M1671" s="1" cm="1">
        <f t="array" ref="M1671">SUMPRODUCT(("TFRLFH2OFCL"=[1]OUT_TransportEnergyCons!$A$3:$A$1000)*1,("var_fout"=[1]OUT_TransportEnergyCons!$B$3:$B$1000)*1,ISNUMBER(SEARCH("TfRLf",[1]OUT_TransportEnergyCons!$C$3:$C$1000))*1,[1]OUT_TransportEnergyCons!K$3:K$1000)</f>
        <v>1.6950591420116354E-6</v>
      </c>
      <c r="N1671" s="1" cm="1">
        <f t="array" ref="N1671">SUMPRODUCT(("TFRLFH2OFCL"=[1]OUT_TransportEnergyCons!$A$3:$A$1000)*1,("var_fout"=[1]OUT_TransportEnergyCons!$B$3:$B$1000)*1,ISNUMBER(SEARCH("TfRLf",[1]OUT_TransportEnergyCons!$C$3:$C$1000))*1,[1]OUT_TransportEnergyCons!L$3:L$1000)</f>
        <v>1.7249991494985833E-6</v>
      </c>
      <c r="O1671" s="1" cm="1">
        <f t="array" ref="O1671">SUMPRODUCT(("TFRLFH2OFCL"=[1]OUT_TransportEnergyCons!$A$3:$A$1000)*1,("var_fout"=[1]OUT_TransportEnergyCons!$B$3:$B$1000)*1,ISNUMBER(SEARCH("TfRLf",[1]OUT_TransportEnergyCons!$C$3:$C$1000))*1,[1]OUT_TransportEnergyCons!M$3:M$1000)</f>
        <v>2.2587045908867592E-6</v>
      </c>
      <c r="P1671" s="1" cm="1">
        <f t="array" ref="P1671">SUMPRODUCT(("TFRLFH2OFCL"=[1]OUT_TransportEnergyCons!$A$3:$A$1000)*1,("var_fout"=[1]OUT_TransportEnergyCons!$B$3:$B$1000)*1,ISNUMBER(SEARCH("TfRLf",[1]OUT_TransportEnergyCons!$C$3:$C$1000))*1,[1]OUT_TransportEnergyCons!N$3:N$1000)</f>
        <v>2.1394906013188868E-6</v>
      </c>
      <c r="Q1671" s="1" cm="1">
        <f t="array" ref="Q1671">SUMPRODUCT(("TFRLFH2OFCL"=[1]OUT_TransportEnergyCons!$A$3:$A$1000)*1,("var_fout"=[1]OUT_TransportEnergyCons!$B$3:$B$1000)*1,ISNUMBER(SEARCH("TfRLf",[1]OUT_TransportEnergyCons!$C$3:$C$1000))*1,[1]OUT_TransportEnergyCons!O$3:O$1000)</f>
        <v>6.4589731468632978E-6</v>
      </c>
      <c r="S1671" s="3"/>
    </row>
    <row r="1672" spans="2:19" x14ac:dyDescent="0.5">
      <c r="B1672" t="str">
        <f t="shared" si="1875"/>
        <v>SPS1</v>
      </c>
      <c r="C1672" t="str">
        <f t="shared" si="185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6.5161505045068099E-5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2.6538441079385099E-3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2.7089247365558199E-3</v>
      </c>
      <c r="M1672" s="1" cm="1">
        <f t="array" ref="M1672">SUMPRODUCT(("TPSHPH2OEXT"=[1]OUT_TransportEnergyCons!$A$3:$A$1000)*1,("var_fout"=[1]OUT_TransportEnergyCons!$B$3:$B$1000)*1,ISNUMBER(SEARCH("TPSHP",[1]OUT_TransportEnergyCons!$C$3:$C$1000))*1,[1]OUT_TransportEnergyCons!K$3:K$1000)</f>
        <v>2.7279432698980401E-3</v>
      </c>
      <c r="N1672" s="1" cm="1">
        <f t="array" ref="N1672">SUMPRODUCT(("TPSHPH2OEXT"=[1]OUT_TransportEnergyCons!$A$3:$A$1000)*1,("var_fout"=[1]OUT_TransportEnergyCons!$B$3:$B$1000)*1,ISNUMBER(SEARCH("TPSHP",[1]OUT_TransportEnergyCons!$C$3:$C$1000))*1,[1]OUT_TransportEnergyCons!L$3:L$1000)</f>
        <v>2.6740595043654699E-3</v>
      </c>
      <c r="O1672" s="1" cm="1">
        <f t="array" ref="O1672">SUMPRODUCT(("TPSHPH2OEXT"=[1]OUT_TransportEnergyCons!$A$3:$A$1000)*1,("var_fout"=[1]OUT_TransportEnergyCons!$B$3:$B$1000)*1,ISNUMBER(SEARCH("TPSHP",[1]OUT_TransportEnergyCons!$C$3:$C$1000))*1,[1]OUT_TransportEnergyCons!M$3:M$1000)</f>
        <v>2.6670874835545999E-3</v>
      </c>
      <c r="P1672" s="1" cm="1">
        <f t="array" ref="P1672">SUMPRODUCT(("TPSHPH2OEXT"=[1]OUT_TransportEnergyCons!$A$3:$A$1000)*1,("var_fout"=[1]OUT_TransportEnergyCons!$B$3:$B$1000)*1,ISNUMBER(SEARCH("TPSHP",[1]OUT_TransportEnergyCons!$C$3:$C$1000))*1,[1]OUT_TransportEnergyCons!N$3:N$1000)</f>
        <v>2.6580730272899701E-3</v>
      </c>
      <c r="Q1672" s="1" cm="1">
        <f t="array" ref="Q1672">SUMPRODUCT(("TPSHPH2OEXT"=[1]OUT_TransportEnergyCons!$A$3:$A$1000)*1,("var_fout"=[1]OUT_TransportEnergyCons!$B$3:$B$1000)*1,ISNUMBER(SEARCH("TPSHP",[1]OUT_TransportEnergyCons!$C$3:$C$1000))*1,[1]OUT_TransportEnergyCons!O$3:O$1000)</f>
        <v>2.65895336175194E-3</v>
      </c>
      <c r="S1672" s="3"/>
    </row>
    <row r="1673" spans="2:19" x14ac:dyDescent="0.5">
      <c r="B1673" t="str">
        <f t="shared" si="1875"/>
        <v>SPS1</v>
      </c>
      <c r="C1673" t="str">
        <f t="shared" si="185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0.72180299038741103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1.4471062525085701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1.9057869183821701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1.9058048515191299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0.97250980136640697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4.6521513914214302E-3</v>
      </c>
      <c r="M1673" s="1" cm="1">
        <f t="array" ref="M1673">SUMPRODUCT(("TPSHPGSLEXT"=[1]OUT_TransportEnergyCons!$A$3:$A$1000)*1,("var_fout"=[1]OUT_TransportEnergyCons!$B$3:$B$1000)*1,ISNUMBER(SEARCH("TPSHP",[1]OUT_TransportEnergyCons!$C$3:$C$1000))*1,[1]OUT_TransportEnergyCons!K$3:K$1000)</f>
        <v>0</v>
      </c>
      <c r="N1673" s="1" cm="1">
        <f t="array" ref="N1673">SUMPRODUCT(("TPSHPGSLEXT"=[1]OUT_TransportEnergyCons!$A$3:$A$1000)*1,("var_fout"=[1]OUT_TransportEnergyCons!$B$3:$B$1000)*1,ISNUMBER(SEARCH("TPSHP",[1]OUT_TransportEnergyCons!$C$3:$C$1000))*1,[1]OUT_TransportEnergyCons!L$3:L$1000)</f>
        <v>0</v>
      </c>
      <c r="O1673" s="1" cm="1">
        <f t="array" ref="O1673">SUMPRODUCT(("TPSHPGSLEXT"=[1]OUT_TransportEnergyCons!$A$3:$A$1000)*1,("var_fout"=[1]OUT_TransportEnergyCons!$B$3:$B$1000)*1,ISNUMBER(SEARCH("TPSHP",[1]OUT_TransportEnergyCons!$C$3:$C$1000))*1,[1]OUT_TransportEnergyCons!M$3:M$1000)</f>
        <v>0</v>
      </c>
      <c r="P1673" s="1" cm="1">
        <f t="array" ref="P1673">SUMPRODUCT(("TPSHPGSLEXT"=[1]OUT_TransportEnergyCons!$A$3:$A$1000)*1,("var_fout"=[1]OUT_TransportEnergyCons!$B$3:$B$1000)*1,ISNUMBER(SEARCH("TPSHP",[1]OUT_TransportEnergyCons!$C$3:$C$1000))*1,[1]OUT_TransportEnergyCons!N$3:N$1000)</f>
        <v>0</v>
      </c>
      <c r="Q1673" s="1" cm="1">
        <f t="array" ref="Q1673">SUMPRODUCT(("TPSHPGSLEXT"=[1]OUT_TransportEnergyCons!$A$3:$A$1000)*1,("var_fout"=[1]OUT_TransportEnergyCons!$B$3:$B$1000)*1,ISNUMBER(SEARCH("TPSHP",[1]OUT_TransportEnergyCons!$C$3:$C$1000))*1,[1]OUT_TransportEnergyCons!O$3:O$1000)</f>
        <v>0</v>
      </c>
      <c r="S1673" s="3"/>
    </row>
    <row r="1674" spans="2:19" x14ac:dyDescent="0.5">
      <c r="B1674" t="str">
        <f t="shared" si="1875"/>
        <v>SPS1</v>
      </c>
      <c r="C1674" t="str">
        <f t="shared" si="185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M1674" s="1" cm="1">
        <f t="array" ref="M1674">SUMPRODUCT(("TPRLPDSLEXT"=[1]OUT_TransportEnergyCons!$A$3:$A$1000)*1,("var_fout"=[1]OUT_TransportEnergyCons!$B$3:$B$1000)*1,ISNUMBER(SEARCH("TPRLP",[1]OUT_TransportEnergyCons!$C$3:$C$1000))*1,[1]OUT_TransportEnergyCons!K$3:K$1000)</f>
        <v>0</v>
      </c>
      <c r="N1674" s="1" cm="1">
        <f t="array" ref="N1674">SUMPRODUCT(("TPRLPDSLEXT"=[1]OUT_TransportEnergyCons!$A$3:$A$1000)*1,("var_fout"=[1]OUT_TransportEnergyCons!$B$3:$B$1000)*1,ISNUMBER(SEARCH("TPRLP",[1]OUT_TransportEnergyCons!$C$3:$C$1000))*1,[1]OUT_TransportEnergyCons!L$3:L$1000)</f>
        <v>0</v>
      </c>
      <c r="O1674" s="1" cm="1">
        <f t="array" ref="O1674">SUMPRODUCT(("TPRLPDSLEXT"=[1]OUT_TransportEnergyCons!$A$3:$A$1000)*1,("var_fout"=[1]OUT_TransportEnergyCons!$B$3:$B$1000)*1,ISNUMBER(SEARCH("TPRLP",[1]OUT_TransportEnergyCons!$C$3:$C$1000))*1,[1]OUT_TransportEnergyCons!M$3:M$1000)</f>
        <v>0</v>
      </c>
      <c r="P1674" s="1" cm="1">
        <f t="array" ref="P1674">SUMPRODUCT(("TPRLPDSLEXT"=[1]OUT_TransportEnergyCons!$A$3:$A$1000)*1,("var_fout"=[1]OUT_TransportEnergyCons!$B$3:$B$1000)*1,ISNUMBER(SEARCH("TPRLP",[1]OUT_TransportEnergyCons!$C$3:$C$1000))*1,[1]OUT_TransportEnergyCons!N$3:N$1000)</f>
        <v>0</v>
      </c>
      <c r="Q1674" s="1" cm="1">
        <f t="array" ref="Q1674">SUMPRODUCT(("TPRLPDSLEXT"=[1]OUT_TransportEnergyCons!$A$3:$A$1000)*1,("var_fout"=[1]OUT_TransportEnergyCons!$B$3:$B$1000)*1,ISNUMBER(SEARCH("TPRLP",[1]OUT_TransportEnergyCons!$C$3:$C$1000))*1,[1]OUT_TransportEnergyCons!O$3:O$1000)</f>
        <v>0</v>
      </c>
      <c r="S1674" s="3"/>
    </row>
    <row r="1675" spans="2:19" x14ac:dyDescent="0.5">
      <c r="B1675" t="str">
        <f t="shared" si="1875"/>
        <v>SPS1</v>
      </c>
      <c r="C1675" t="str">
        <f t="shared" si="1852"/>
        <v>CH</v>
      </c>
      <c r="D1675" t="s">
        <v>1683</v>
      </c>
      <c r="E1675" t="str">
        <f t="shared" ref="E1675" si="187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1.6053874832845994E-3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1.2384982854914313E-6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1.3388285838329815E-6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1.396517297612947E-6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1.3590228952564765E-6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1.3584639119165841E-6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1.2985844702097922E-6</v>
      </c>
      <c r="M1675" s="1" cm="1">
        <f t="array" ref="M1675">SUMPRODUCT(("TFRLFDSLEXT"=[1]OUT_TransportEnergyCons!$A$3:$A$1000)*1,("var_fout"=[1]OUT_TransportEnergyCons!$B$3:$B$1000)*1,ISNUMBER(SEARCH("TfRLf",[1]OUT_TransportEnergyCons!$C$3:$C$1000))*1,[1]OUT_TransportEnergyCons!K$3:K$1000)</f>
        <v>2.0008020421289263E-7</v>
      </c>
      <c r="N1675" s="1" cm="1">
        <f t="array" ref="N1675">SUMPRODUCT(("TFRLFDSLEXT"=[1]OUT_TransportEnergyCons!$A$3:$A$1000)*1,("var_fout"=[1]OUT_TransportEnergyCons!$B$3:$B$1000)*1,ISNUMBER(SEARCH("TfRLf",[1]OUT_TransportEnergyCons!$C$3:$C$1000))*1,[1]OUT_TransportEnergyCons!L$3:L$1000)</f>
        <v>0</v>
      </c>
      <c r="O1675" s="1" cm="1">
        <f t="array" ref="O1675">SUMPRODUCT(("TFRLFDSLEXT"=[1]OUT_TransportEnergyCons!$A$3:$A$1000)*1,("var_fout"=[1]OUT_TransportEnergyCons!$B$3:$B$1000)*1,ISNUMBER(SEARCH("TfRLf",[1]OUT_TransportEnergyCons!$C$3:$C$1000))*1,[1]OUT_TransportEnergyCons!M$3:M$1000)</f>
        <v>3.6575651391063773E-7</v>
      </c>
      <c r="P1675" s="1" cm="1">
        <f t="array" ref="P1675">SUMPRODUCT(("TFRLFDSLEXT"=[1]OUT_TransportEnergyCons!$A$3:$A$1000)*1,("var_fout"=[1]OUT_TransportEnergyCons!$B$3:$B$1000)*1,ISNUMBER(SEARCH("TfRLf",[1]OUT_TransportEnergyCons!$C$3:$C$1000))*1,[1]OUT_TransportEnergyCons!N$3:N$1000)</f>
        <v>3.6634987561599642E-7</v>
      </c>
      <c r="Q1675" s="1" cm="1">
        <f t="array" ref="Q1675">SUMPRODUCT(("TFRLFDSLEXT"=[1]OUT_TransportEnergyCons!$A$3:$A$1000)*1,("var_fout"=[1]OUT_TransportEnergyCons!$B$3:$B$1000)*1,ISNUMBER(SEARCH("TfRLf",[1]OUT_TransportEnergyCons!$C$3:$C$1000))*1,[1]OUT_TransportEnergyCons!O$3:O$1000)</f>
        <v>1.8876342314154888E-6</v>
      </c>
      <c r="S1675" s="3"/>
    </row>
    <row r="1676" spans="2:19" x14ac:dyDescent="0.5">
      <c r="B1676" t="str">
        <f t="shared" si="1875"/>
        <v>SPS1</v>
      </c>
      <c r="C1676" t="str">
        <f t="shared" si="185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17.176530171314202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15.577854682409001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14.245721200297201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13.712712680619401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10.494879783781199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4.8058684584823101</v>
      </c>
      <c r="M1676" s="1" cm="1">
        <f t="array" ref="M1676">SUMPRODUCT(("TPSHPDSLEXT"=[1]OUT_TransportEnergyCons!$A$3:$A$1000)*1,("var_fout"=[1]OUT_TransportEnergyCons!$B$3:$B$1000)*1,ISNUMBER(SEARCH("TPSHP",[1]OUT_TransportEnergyCons!$C$3:$C$1000))*1,[1]OUT_TransportEnergyCons!K$3:K$1000)</f>
        <v>2.0189582063184401</v>
      </c>
      <c r="N1676" s="1" cm="1">
        <f t="array" ref="N1676">SUMPRODUCT(("TPSHPDSLEXT"=[1]OUT_TransportEnergyCons!$A$3:$A$1000)*1,("var_fout"=[1]OUT_TransportEnergyCons!$B$3:$B$1000)*1,ISNUMBER(SEARCH("TPSHP",[1]OUT_TransportEnergyCons!$C$3:$C$1000))*1,[1]OUT_TransportEnergyCons!L$3:L$1000)</f>
        <v>2.01895548534945</v>
      </c>
      <c r="O1676" s="1" cm="1">
        <f t="array" ref="O1676">SUMPRODUCT(("TPSHPDSLEXT"=[1]OUT_TransportEnergyCons!$A$3:$A$1000)*1,("var_fout"=[1]OUT_TransportEnergyCons!$B$3:$B$1000)*1,ISNUMBER(SEARCH("TPSHP",[1]OUT_TransportEnergyCons!$C$3:$C$1000))*1,[1]OUT_TransportEnergyCons!M$3:M$1000)</f>
        <v>2.0189580367111999</v>
      </c>
      <c r="P1676" s="1" cm="1">
        <f t="array" ref="P1676">SUMPRODUCT(("TPSHPDSLEXT"=[1]OUT_TransportEnergyCons!$A$3:$A$1000)*1,("var_fout"=[1]OUT_TransportEnergyCons!$B$3:$B$1000)*1,ISNUMBER(SEARCH("TPSHP",[1]OUT_TransportEnergyCons!$C$3:$C$1000))*1,[1]OUT_TransportEnergyCons!N$3:N$1000)</f>
        <v>2.0189555785145701</v>
      </c>
      <c r="Q1676" s="1" cm="1">
        <f t="array" ref="Q1676">SUMPRODUCT(("TPSHPDSLEXT"=[1]OUT_TransportEnergyCons!$A$3:$A$1000)*1,("var_fout"=[1]OUT_TransportEnergyCons!$B$3:$B$1000)*1,ISNUMBER(SEARCH("TPSHP",[1]OUT_TransportEnergyCons!$C$3:$C$1000))*1,[1]OUT_TransportEnergyCons!O$3:O$1000)</f>
        <v>2.0189564741818802</v>
      </c>
      <c r="S1676" s="3"/>
    </row>
    <row r="1677" spans="2:19" x14ac:dyDescent="0.5">
      <c r="B1677" s="2" t="str">
        <f t="shared" si="1875"/>
        <v>SPS1</v>
      </c>
      <c r="C1677" s="2" t="str">
        <f t="shared" si="1852"/>
        <v>CH</v>
      </c>
      <c r="D1677" s="2" t="s">
        <v>1685</v>
      </c>
      <c r="E1677" s="19" t="s">
        <v>292</v>
      </c>
      <c r="F1677" s="19" t="s">
        <v>292</v>
      </c>
      <c r="G1677" s="19" t="s">
        <v>292</v>
      </c>
      <c r="H1677" s="19" t="s">
        <v>292</v>
      </c>
      <c r="I1677" s="19" t="s">
        <v>292</v>
      </c>
      <c r="J1677" s="19" t="s">
        <v>292</v>
      </c>
      <c r="K1677" s="19" t="s">
        <v>292</v>
      </c>
      <c r="L1677" s="19" t="s">
        <v>292</v>
      </c>
      <c r="M1677" s="19" t="s">
        <v>292</v>
      </c>
      <c r="N1677" s="19" t="s">
        <v>292</v>
      </c>
      <c r="O1677" s="19" t="s">
        <v>292</v>
      </c>
      <c r="P1677" s="19" t="s">
        <v>292</v>
      </c>
      <c r="Q1677" s="19" t="s">
        <v>292</v>
      </c>
      <c r="S1677" s="3"/>
    </row>
    <row r="1678" spans="2:19" x14ac:dyDescent="0.5">
      <c r="B1678" t="str">
        <f t="shared" si="1875"/>
        <v>SPS1</v>
      </c>
      <c r="C1678" t="str">
        <f t="shared" si="1852"/>
        <v>CH</v>
      </c>
      <c r="D1678" t="s">
        <v>1686</v>
      </c>
      <c r="E1678" t="s">
        <v>1229</v>
      </c>
      <c r="F1678" s="7">
        <f t="shared" ref="F1678:K1680" si="1878">IFERROR(F1667/F1642,"-")</f>
        <v>2.5309161094553195E-2</v>
      </c>
      <c r="G1678" s="7">
        <f t="shared" si="1878"/>
        <v>2.5301857215832019E-2</v>
      </c>
      <c r="H1678" s="7">
        <f t="shared" si="1878"/>
        <v>2.5290901397750198E-2</v>
      </c>
      <c r="I1678" s="7">
        <f t="shared" si="1878"/>
        <v>2.5272641700947188E-2</v>
      </c>
      <c r="J1678" s="7">
        <f t="shared" si="1878"/>
        <v>2.5254382004144305E-2</v>
      </c>
      <c r="K1678" s="7">
        <f t="shared" si="1878"/>
        <v>2.523612230734127E-2</v>
      </c>
      <c r="L1678" s="7">
        <f t="shared" ref="L1678:O1678" si="1879">IFERROR(L1667/L1642,"-")</f>
        <v>2.521786261053828E-2</v>
      </c>
      <c r="M1678" s="7">
        <f t="shared" si="1879"/>
        <v>2.5199602913735301E-2</v>
      </c>
      <c r="N1678" s="7">
        <f t="shared" si="1879"/>
        <v>2.5199602913735311E-2</v>
      </c>
      <c r="O1678" s="7">
        <f t="shared" si="1879"/>
        <v>2.5199602913735294E-2</v>
      </c>
      <c r="P1678" s="7">
        <f t="shared" ref="P1678:Q1680" si="1880">IFERROR(P1667/P1642,"-")</f>
        <v>2.5199602913735301E-2</v>
      </c>
      <c r="Q1678" s="7">
        <f t="shared" si="1880"/>
        <v>2.5199602913735308E-2</v>
      </c>
      <c r="S1678" s="3"/>
    </row>
    <row r="1679" spans="2:19" x14ac:dyDescent="0.5">
      <c r="B1679" t="str">
        <f t="shared" si="1875"/>
        <v>SPS1</v>
      </c>
      <c r="C1679" t="str">
        <f t="shared" si="1852"/>
        <v>CH</v>
      </c>
      <c r="D1679" t="s">
        <v>1687</v>
      </c>
      <c r="E1679" t="s">
        <v>1229</v>
      </c>
      <c r="F1679" s="7">
        <f t="shared" si="1878"/>
        <v>1.6704032219401296E-2</v>
      </c>
      <c r="G1679" s="7">
        <f t="shared" si="1878"/>
        <v>1.6704032219401303E-2</v>
      </c>
      <c r="H1679" s="7">
        <f t="shared" si="1878"/>
        <v>1.6704032219401296E-2</v>
      </c>
      <c r="I1679" s="7">
        <f t="shared" si="1878"/>
        <v>1.6704032219401286E-2</v>
      </c>
      <c r="J1679" s="7">
        <f t="shared" si="1878"/>
        <v>1.6704032219401307E-2</v>
      </c>
      <c r="K1679" s="7">
        <f t="shared" si="1878"/>
        <v>1.67040322194013E-2</v>
      </c>
      <c r="L1679" s="7">
        <f t="shared" ref="L1679:O1679" si="1881">IFERROR(L1668/L1643,"-")</f>
        <v>1.670403221940131E-2</v>
      </c>
      <c r="M1679" s="7">
        <f t="shared" si="1881"/>
        <v>1.6704032219401307E-2</v>
      </c>
      <c r="N1679" s="7">
        <f t="shared" si="1881"/>
        <v>1.670403221940131E-2</v>
      </c>
      <c r="O1679" s="7">
        <f t="shared" si="1881"/>
        <v>1.6704032219401321E-2</v>
      </c>
      <c r="P1679" s="7">
        <f t="shared" si="1880"/>
        <v>1.67040322194013E-2</v>
      </c>
      <c r="Q1679" s="7">
        <f t="shared" si="1880"/>
        <v>1.6704032219401289E-2</v>
      </c>
      <c r="S1679" s="3"/>
    </row>
    <row r="1680" spans="2:19" x14ac:dyDescent="0.5">
      <c r="B1680" t="str">
        <f t="shared" si="1875"/>
        <v>SPS1</v>
      </c>
      <c r="C1680" t="str">
        <f t="shared" si="1852"/>
        <v>CH</v>
      </c>
      <c r="D1680" t="s">
        <v>1688</v>
      </c>
      <c r="E1680" t="s">
        <v>240</v>
      </c>
      <c r="F1680" t="str">
        <f t="shared" si="1878"/>
        <v>-</v>
      </c>
      <c r="G1680">
        <f t="shared" si="1878"/>
        <v>2.4673913043478337</v>
      </c>
      <c r="H1680">
        <f t="shared" si="1878"/>
        <v>2.4673913043478342</v>
      </c>
      <c r="I1680">
        <f t="shared" si="1878"/>
        <v>2.4673913043478164</v>
      </c>
      <c r="J1680">
        <f t="shared" si="1878"/>
        <v>1.3873556610353475</v>
      </c>
      <c r="K1680">
        <f t="shared" si="1878"/>
        <v>1.8625222217876882</v>
      </c>
      <c r="L1680">
        <f t="shared" ref="L1680:O1680" si="1882">IFERROR(L1669/L1644,"-")</f>
        <v>2.1036133858607609</v>
      </c>
      <c r="M1680">
        <f t="shared" si="1882"/>
        <v>2.1548228699917495</v>
      </c>
      <c r="N1680">
        <f t="shared" si="1882"/>
        <v>2.1461484693969086</v>
      </c>
      <c r="O1680">
        <f t="shared" si="1882"/>
        <v>2.138258226719997</v>
      </c>
      <c r="P1680">
        <f t="shared" si="1880"/>
        <v>2.1381432559390112</v>
      </c>
      <c r="Q1680">
        <f t="shared" si="1880"/>
        <v>2.1430217959098519</v>
      </c>
      <c r="S1680" s="3"/>
    </row>
    <row r="1681" spans="2:19" x14ac:dyDescent="0.5">
      <c r="B1681" t="str">
        <f t="shared" si="1875"/>
        <v>SPS1</v>
      </c>
      <c r="C1681" t="str">
        <f t="shared" si="1852"/>
        <v>CH</v>
      </c>
      <c r="D1681" t="s">
        <v>1689</v>
      </c>
      <c r="E1681" t="s">
        <v>1229</v>
      </c>
      <c r="F1681" t="str">
        <f t="shared" ref="F1681:K1683" si="1883">IFERROR(F1670/F1646,"-")</f>
        <v>-</v>
      </c>
      <c r="G1681" t="str">
        <f t="shared" si="1883"/>
        <v>-</v>
      </c>
      <c r="H1681" t="str">
        <f t="shared" si="1883"/>
        <v>-</v>
      </c>
      <c r="I1681" t="str">
        <f t="shared" si="1883"/>
        <v>-</v>
      </c>
      <c r="J1681" t="str">
        <f t="shared" si="1883"/>
        <v>-</v>
      </c>
      <c r="K1681">
        <f t="shared" si="1883"/>
        <v>1.7941883805152228E-2</v>
      </c>
      <c r="L1681">
        <f t="shared" ref="L1681:O1681" si="1884">IFERROR(L1670/L1646,"-")</f>
        <v>1.8630980592257304E-2</v>
      </c>
      <c r="M1681">
        <f t="shared" si="1884"/>
        <v>1.9320077379362404E-2</v>
      </c>
      <c r="N1681">
        <f t="shared" si="1884"/>
        <v>1.9320077379362404E-2</v>
      </c>
      <c r="O1681">
        <f t="shared" si="1884"/>
        <v>1.9320077379362404E-2</v>
      </c>
      <c r="P1681">
        <f t="shared" ref="P1681:Q1683" si="1885">IFERROR(P1670/P1646,"-")</f>
        <v>1.9320077379362401E-2</v>
      </c>
      <c r="Q1681">
        <f t="shared" si="1885"/>
        <v>1.9320077379362408E-2</v>
      </c>
      <c r="S1681" s="3"/>
    </row>
    <row r="1682" spans="2:19" x14ac:dyDescent="0.5">
      <c r="B1682" t="str">
        <f t="shared" si="1875"/>
        <v>SPS1</v>
      </c>
      <c r="C1682" t="str">
        <f t="shared" si="1852"/>
        <v>CH</v>
      </c>
      <c r="D1682" t="s">
        <v>1690</v>
      </c>
      <c r="E1682" t="s">
        <v>1229</v>
      </c>
      <c r="F1682" t="str">
        <f t="shared" si="1883"/>
        <v>-</v>
      </c>
      <c r="G1682" t="str">
        <f t="shared" si="1883"/>
        <v>-</v>
      </c>
      <c r="H1682" t="str">
        <f t="shared" si="1883"/>
        <v>-</v>
      </c>
      <c r="I1682" t="str">
        <f t="shared" si="1883"/>
        <v>-</v>
      </c>
      <c r="J1682" t="str">
        <f t="shared" si="1883"/>
        <v>-</v>
      </c>
      <c r="K1682">
        <f t="shared" si="1883"/>
        <v>7.2968729943651729E-3</v>
      </c>
      <c r="L1682">
        <f t="shared" ref="L1682:O1682" si="1886">IFERROR(L1671/L1647,"-")</f>
        <v>6.6154864100462655E-3</v>
      </c>
      <c r="M1682">
        <f t="shared" si="1886"/>
        <v>5.9340998257273554E-3</v>
      </c>
      <c r="N1682">
        <f t="shared" si="1886"/>
        <v>5.9340998257273597E-3</v>
      </c>
      <c r="O1682">
        <f t="shared" si="1886"/>
        <v>5.9340998257273623E-3</v>
      </c>
      <c r="P1682">
        <f t="shared" si="1885"/>
        <v>5.9340998257273589E-3</v>
      </c>
      <c r="Q1682">
        <f t="shared" si="1885"/>
        <v>5.934099825727358E-3</v>
      </c>
      <c r="S1682" s="3"/>
    </row>
    <row r="1683" spans="2:19" x14ac:dyDescent="0.5">
      <c r="B1683" t="str">
        <f t="shared" si="1875"/>
        <v>SPS1</v>
      </c>
      <c r="C1683" t="str">
        <f t="shared" si="1852"/>
        <v>CH</v>
      </c>
      <c r="D1683" t="s">
        <v>1691</v>
      </c>
      <c r="E1683" t="s">
        <v>240</v>
      </c>
      <c r="F1683" t="str">
        <f t="shared" si="1883"/>
        <v>-</v>
      </c>
      <c r="G1683" t="str">
        <f t="shared" si="1883"/>
        <v>-</v>
      </c>
      <c r="H1683" t="str">
        <f t="shared" si="1883"/>
        <v>-</v>
      </c>
      <c r="I1683" t="str">
        <f t="shared" si="1883"/>
        <v>-</v>
      </c>
      <c r="J1683">
        <f t="shared" si="1883"/>
        <v>1.7934782608695685</v>
      </c>
      <c r="K1683">
        <f t="shared" si="1883"/>
        <v>1.7934782608695752</v>
      </c>
      <c r="L1683">
        <f t="shared" ref="L1683:O1683" si="1887">IFERROR(L1672/L1648,"-")</f>
        <v>1.7934782608695732</v>
      </c>
      <c r="M1683">
        <f t="shared" si="1887"/>
        <v>1.793478260869579</v>
      </c>
      <c r="N1683">
        <f t="shared" si="1887"/>
        <v>1.7934782608695794</v>
      </c>
      <c r="O1683">
        <f t="shared" si="1887"/>
        <v>1.7934782608695765</v>
      </c>
      <c r="P1683">
        <f t="shared" si="1885"/>
        <v>1.7934782608695659</v>
      </c>
      <c r="Q1683">
        <f t="shared" si="1885"/>
        <v>1.7934782608695772</v>
      </c>
      <c r="S1683" s="3"/>
    </row>
    <row r="1684" spans="2:19" x14ac:dyDescent="0.5">
      <c r="B1684" t="str">
        <f t="shared" si="1875"/>
        <v>SPS1</v>
      </c>
      <c r="C1684" t="str">
        <f t="shared" si="1852"/>
        <v>CH</v>
      </c>
      <c r="D1684" t="s">
        <v>1692</v>
      </c>
      <c r="E1684" t="s">
        <v>240</v>
      </c>
      <c r="F1684" s="4">
        <f t="shared" ref="F1684:K1684" si="1888">IFERROR(F1673/F1654,"-")</f>
        <v>0.90641226905247907</v>
      </c>
      <c r="G1684" s="4">
        <f t="shared" si="1888"/>
        <v>0.9064122690524794</v>
      </c>
      <c r="H1684" s="4">
        <f t="shared" si="1888"/>
        <v>0.90641226905247985</v>
      </c>
      <c r="I1684" s="4">
        <f t="shared" si="1888"/>
        <v>0.9064122690524814</v>
      </c>
      <c r="J1684" s="4">
        <f t="shared" si="1888"/>
        <v>0.90641226905248296</v>
      </c>
      <c r="K1684" s="4">
        <f t="shared" si="1888"/>
        <v>0.90641226905248051</v>
      </c>
      <c r="L1684" s="4">
        <f t="shared" ref="L1684:O1684" si="1889">IFERROR(L1673/L1654,"-")</f>
        <v>0.90641226905247818</v>
      </c>
      <c r="M1684" s="4" t="str">
        <f t="shared" si="1889"/>
        <v>-</v>
      </c>
      <c r="N1684" s="4" t="str">
        <f t="shared" si="1889"/>
        <v>-</v>
      </c>
      <c r="O1684" s="4" t="str">
        <f t="shared" si="1889"/>
        <v>-</v>
      </c>
      <c r="P1684" s="4" t="str">
        <f>IFERROR(P1673/P1654,"-")</f>
        <v>-</v>
      </c>
      <c r="Q1684" s="4" t="str">
        <f>IFERROR(Q1673/Q1654,"-")</f>
        <v>-</v>
      </c>
      <c r="S1684" s="3"/>
    </row>
    <row r="1685" spans="2:19" x14ac:dyDescent="0.5">
      <c r="B1685" t="str">
        <f t="shared" si="1875"/>
        <v>SPS1</v>
      </c>
      <c r="C1685" t="str">
        <f t="shared" si="1852"/>
        <v>CH</v>
      </c>
      <c r="D1685" t="s">
        <v>1693</v>
      </c>
      <c r="E1685" t="s">
        <v>1229</v>
      </c>
      <c r="F1685" t="str">
        <f t="shared" ref="F1685:K1687" si="1890">IFERROR(F1674/F1660,"-")</f>
        <v>-</v>
      </c>
      <c r="G1685" t="str">
        <f t="shared" si="1890"/>
        <v>-</v>
      </c>
      <c r="H1685" t="str">
        <f t="shared" si="1890"/>
        <v>-</v>
      </c>
      <c r="I1685" t="str">
        <f t="shared" si="1890"/>
        <v>-</v>
      </c>
      <c r="J1685" t="str">
        <f t="shared" si="1890"/>
        <v>-</v>
      </c>
      <c r="K1685" t="str">
        <f t="shared" si="1890"/>
        <v>-</v>
      </c>
      <c r="L1685" t="str">
        <f t="shared" ref="L1685:O1685" si="1891">IFERROR(L1674/L1660,"-")</f>
        <v>-</v>
      </c>
      <c r="M1685" t="str">
        <f t="shared" si="1891"/>
        <v>-</v>
      </c>
      <c r="N1685" t="str">
        <f t="shared" si="1891"/>
        <v>-</v>
      </c>
      <c r="O1685" t="str">
        <f t="shared" si="1891"/>
        <v>-</v>
      </c>
      <c r="P1685" t="str">
        <f t="shared" ref="P1685:Q1687" si="1892">IFERROR(P1674/P1660,"-")</f>
        <v>-</v>
      </c>
      <c r="Q1685" t="str">
        <f t="shared" si="1892"/>
        <v>-</v>
      </c>
      <c r="S1685" s="3"/>
    </row>
    <row r="1686" spans="2:19" x14ac:dyDescent="0.5">
      <c r="B1686" t="str">
        <f t="shared" si="1875"/>
        <v>SPS1</v>
      </c>
      <c r="C1686" t="str">
        <f t="shared" si="1852"/>
        <v>CH</v>
      </c>
      <c r="D1686" t="s">
        <v>1694</v>
      </c>
      <c r="E1686" t="s">
        <v>1229</v>
      </c>
      <c r="F1686" s="1">
        <f t="shared" si="1890"/>
        <v>4.0530738867855087E-3</v>
      </c>
      <c r="G1686" s="1">
        <f t="shared" si="1890"/>
        <v>4.0530738867855095E-3</v>
      </c>
      <c r="H1686">
        <f t="shared" si="1890"/>
        <v>4.0530738867855113E-3</v>
      </c>
      <c r="I1686">
        <f t="shared" si="1890"/>
        <v>4.0530738867855104E-3</v>
      </c>
      <c r="J1686">
        <f t="shared" si="1890"/>
        <v>4.0530738867855121E-3</v>
      </c>
      <c r="K1686">
        <f t="shared" si="1890"/>
        <v>4.053073886785513E-3</v>
      </c>
      <c r="L1686">
        <f t="shared" ref="L1686:O1686" si="1893">IFERROR(L1675/L1661,"-")</f>
        <v>4.0530738867855104E-3</v>
      </c>
      <c r="M1686">
        <f t="shared" si="1893"/>
        <v>4.0530738867855104E-3</v>
      </c>
      <c r="N1686" t="str">
        <f t="shared" si="1893"/>
        <v>-</v>
      </c>
      <c r="O1686">
        <f t="shared" si="1893"/>
        <v>4.053073886785513E-3</v>
      </c>
      <c r="P1686">
        <f t="shared" si="1892"/>
        <v>4.0530738867855078E-3</v>
      </c>
      <c r="Q1686">
        <f t="shared" si="1892"/>
        <v>4.0530738867855113E-3</v>
      </c>
      <c r="S1686" s="3"/>
    </row>
    <row r="1687" spans="2:19" x14ac:dyDescent="0.5">
      <c r="B1687" t="str">
        <f t="shared" si="1875"/>
        <v>SPS1</v>
      </c>
      <c r="C1687" t="str">
        <f t="shared" si="1852"/>
        <v>CH</v>
      </c>
      <c r="D1687" t="s">
        <v>1695</v>
      </c>
      <c r="E1687" t="s">
        <v>240</v>
      </c>
      <c r="F1687" s="4">
        <f t="shared" si="1890"/>
        <v>0.98826978015125178</v>
      </c>
      <c r="G1687" s="4">
        <f t="shared" si="1890"/>
        <v>0.98826978015124911</v>
      </c>
      <c r="H1687" s="4">
        <f t="shared" si="1890"/>
        <v>0.98826978015124467</v>
      </c>
      <c r="I1687" s="4">
        <f t="shared" si="1890"/>
        <v>0.9882697801512399</v>
      </c>
      <c r="J1687" s="4">
        <f t="shared" si="1890"/>
        <v>0.98826978015124778</v>
      </c>
      <c r="K1687" s="4">
        <f t="shared" si="1890"/>
        <v>0.98826978015125244</v>
      </c>
      <c r="L1687" s="4">
        <f t="shared" ref="L1687:O1687" si="1894">IFERROR(L1676/L1662,"-")</f>
        <v>0.98826978015124478</v>
      </c>
      <c r="M1687" s="4">
        <f t="shared" si="1894"/>
        <v>0.98826978015124833</v>
      </c>
      <c r="N1687" s="4">
        <f t="shared" si="1894"/>
        <v>0.98826978015124456</v>
      </c>
      <c r="O1687" s="4">
        <f t="shared" si="1894"/>
        <v>0.98826978015125133</v>
      </c>
      <c r="P1687" s="4">
        <f t="shared" si="1892"/>
        <v>0.98826978015124967</v>
      </c>
      <c r="Q1687" s="4">
        <f t="shared" si="1892"/>
        <v>0.98826978015124634</v>
      </c>
      <c r="S1687" s="3"/>
    </row>
    <row r="1688" spans="2:19" x14ac:dyDescent="0.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34.612615684904121</v>
      </c>
      <c r="G1688" s="3">
        <f t="shared" ref="G1688:K1688" si="1895">SUM(G1689:G1691,G1694:G1696,-G1701)</f>
        <v>32.354407533258097</v>
      </c>
      <c r="H1688" s="3">
        <f t="shared" si="1895"/>
        <v>30.881170877108076</v>
      </c>
      <c r="I1688" s="3">
        <f t="shared" si="1895"/>
        <v>24.693975172004265</v>
      </c>
      <c r="J1688" s="3">
        <f t="shared" si="1895"/>
        <v>17.968338889194044</v>
      </c>
      <c r="K1688" s="3">
        <f t="shared" si="1895"/>
        <v>13.104066724891316</v>
      </c>
      <c r="L1688" s="3">
        <f t="shared" ref="L1688:O1688" si="1896">SUM(L1689:L1691,L1694:L1696,-L1701)</f>
        <v>6.5659186273864369</v>
      </c>
      <c r="M1688" s="3">
        <f>SUM(M1689:M1691,M1694:M1696,-M1701)</f>
        <v>-1.1377857118361312E-2</v>
      </c>
      <c r="N1688" s="3">
        <f t="shared" si="1896"/>
        <v>-1.4073946023847654</v>
      </c>
      <c r="O1688" s="3">
        <f t="shared" si="1896"/>
        <v>-2.8034153010687963</v>
      </c>
      <c r="P1688" s="3">
        <f>SUM(P1689:P1691,P1694:P1696,-P1701)</f>
        <v>-3.6366991417424526</v>
      </c>
      <c r="Q1688" s="3">
        <f>SUM(Q1689:Q1691,Q1694:Q1696,-Q1701)</f>
        <v>-4.4699869590786108</v>
      </c>
      <c r="S1688" s="3"/>
    </row>
    <row r="1689" spans="2:19" x14ac:dyDescent="0.5">
      <c r="B1689" t="str">
        <f>B1688</f>
        <v>SPS1</v>
      </c>
      <c r="C1689" t="str">
        <f t="shared" ref="C1689" si="1897">C1688</f>
        <v>CH</v>
      </c>
      <c r="D1689" t="s">
        <v>1702</v>
      </c>
      <c r="E1689" t="str">
        <f>E1688</f>
        <v>Mt/yr.</v>
      </c>
      <c r="F1689" s="1">
        <f>[1]Summary!B53+[1]Summary!B59</f>
        <v>2.6036276029910148</v>
      </c>
      <c r="G1689" s="1">
        <f>[1]Summary!C53+[1]Summary!C59</f>
        <v>2.3569568947084587</v>
      </c>
      <c r="H1689" s="1">
        <f>[1]Summary!D53+[1]Summary!D59</f>
        <v>2.3587439916454112</v>
      </c>
      <c r="I1689" s="1">
        <f>[1]Summary!E53+[1]Summary!E59</f>
        <v>2.2434396437855226</v>
      </c>
      <c r="J1689" s="1">
        <f>[1]Summary!F53+[1]Summary!F59</f>
        <v>2.2406398308962516</v>
      </c>
      <c r="K1689" s="1">
        <f>[1]Summary!G53+[1]Summary!G59</f>
        <v>1.2978880190646187</v>
      </c>
      <c r="L1689" s="1">
        <f>[1]Summary!H53+[1]Summary!H59</f>
        <v>8.9941596450539674E-2</v>
      </c>
      <c r="M1689" s="1">
        <f>[1]Summary!I53+[1]Summary!I59</f>
        <v>-7.9806218263672069E-2</v>
      </c>
      <c r="N1689" s="1">
        <f>[1]Summary!J53+[1]Summary!J59</f>
        <v>-9.7793475607163227E-2</v>
      </c>
      <c r="O1689" s="1">
        <f>[1]Summary!K53+[1]Summary!K59</f>
        <v>-9.8499603251364753E-2</v>
      </c>
      <c r="P1689" s="1">
        <f>[1]Summary!L53+[1]Summary!L59</f>
        <v>-9.8665982363382199E-2</v>
      </c>
      <c r="Q1689" s="1">
        <f>[1]Summary!M53+[1]Summary!M59</f>
        <v>-9.8616648581908883E-2</v>
      </c>
      <c r="S1689" s="3"/>
    </row>
    <row r="1690" spans="2:19" x14ac:dyDescent="0.5">
      <c r="B1690" t="str">
        <f t="shared" ref="B1690:B1701" si="1898">B1689</f>
        <v>SPS1</v>
      </c>
      <c r="C1690" t="str">
        <f t="shared" ref="C1690:C1701" si="1899">C1689</f>
        <v>CH</v>
      </c>
      <c r="D1690" t="s">
        <v>1703</v>
      </c>
      <c r="E1690" t="str">
        <f t="shared" ref="E1690:E1701" si="190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-4.423651897141989E-5</v>
      </c>
      <c r="L1690" s="1">
        <f>[1]Summary!H54+[1]Summary!H61+[1]Summary!H62</f>
        <v>-6.2644405995565162E-5</v>
      </c>
      <c r="M1690" s="1">
        <f>[1]Summary!I54+[1]Summary!I61+[1]Summary!I62</f>
        <v>-1.4430635631303113</v>
      </c>
      <c r="N1690" s="1">
        <f>[1]Summary!J54+[1]Summary!J61+[1]Summary!J62</f>
        <v>-1.5275504944331355</v>
      </c>
      <c r="O1690" s="1">
        <f>[1]Summary!K54+[1]Summary!K61+[1]Summary!K62</f>
        <v>-1.5346622367661495</v>
      </c>
      <c r="P1690" s="1">
        <f>[1]Summary!L54+[1]Summary!L61+[1]Summary!L62</f>
        <v>-1.6215156581315098</v>
      </c>
      <c r="Q1690" s="1">
        <f>[1]Summary!M54+[1]Summary!M61+[1]Summary!M62</f>
        <v>-1.6363677476279315</v>
      </c>
      <c r="S1690" s="3"/>
    </row>
    <row r="1691" spans="2:19" x14ac:dyDescent="0.5">
      <c r="B1691" t="str">
        <f t="shared" si="1898"/>
        <v>SPS1</v>
      </c>
      <c r="C1691" t="str">
        <f t="shared" si="1899"/>
        <v>CH</v>
      </c>
      <c r="D1691" t="s">
        <v>1704</v>
      </c>
      <c r="E1691" t="str">
        <f t="shared" si="1900"/>
        <v>Mt/yr.</v>
      </c>
      <c r="F1691" s="1">
        <f>[1]Summary!B55+[1]Summary!B60</f>
        <v>6.4919474886855184</v>
      </c>
      <c r="G1691" s="1">
        <f>[1]Summary!C55+[1]Summary!C60</f>
        <v>6.1387158095179428</v>
      </c>
      <c r="H1691" s="1">
        <f>[1]Summary!D55+[1]Summary!D60</f>
        <v>5.6006552168554915</v>
      </c>
      <c r="I1691" s="1">
        <f>[1]Summary!E55+[1]Summary!E60</f>
        <v>4.8956239408408164</v>
      </c>
      <c r="J1691" s="1">
        <f>[1]Summary!F55+[1]Summary!F60</f>
        <v>4.0319937258218612</v>
      </c>
      <c r="K1691" s="1">
        <f>[1]Summary!G55+[1]Summary!G60</f>
        <v>3.057806952677931</v>
      </c>
      <c r="L1691" s="1">
        <f>[1]Summary!H55+[1]Summary!H60</f>
        <v>0.71214370259693327</v>
      </c>
      <c r="M1691" s="1">
        <f>[1]Summary!I55+[1]Summary!I60</f>
        <v>0.15972224403184399</v>
      </c>
      <c r="N1691" s="1">
        <f>[1]Summary!J55+[1]Summary!J60</f>
        <v>3.5850651887931573E-2</v>
      </c>
      <c r="O1691" s="1">
        <f>[1]Summary!K55+[1]Summary!K60</f>
        <v>3.1914414914861577E-2</v>
      </c>
      <c r="P1691" s="1">
        <f>[1]Summary!L55+[1]Summary!L60</f>
        <v>2.8485900564129363E-2</v>
      </c>
      <c r="Q1691" s="1">
        <f>[1]Summary!M55+[1]Summary!M60</f>
        <v>2.5404720630326061E-2</v>
      </c>
      <c r="S1691" s="3"/>
    </row>
    <row r="1692" spans="2:19" x14ac:dyDescent="0.5">
      <c r="B1692" t="str">
        <f t="shared" si="1898"/>
        <v>SPS1</v>
      </c>
      <c r="C1692" t="str">
        <f t="shared" si="1899"/>
        <v>CH</v>
      </c>
      <c r="D1692" t="s">
        <v>1714</v>
      </c>
      <c r="E1692" t="str">
        <f t="shared" si="1900"/>
        <v>Mt/yr.</v>
      </c>
      <c r="F1692" s="1">
        <f>F1691-F1693</f>
        <v>4.402600688200879</v>
      </c>
      <c r="G1692" s="1">
        <f t="shared" ref="G1692:K1692" si="1901">G1691-G1693</f>
        <v>4.0277026396438629</v>
      </c>
      <c r="H1692" s="1">
        <f t="shared" si="1901"/>
        <v>3.4983857457942316</v>
      </c>
      <c r="I1692" s="1">
        <f t="shared" si="1901"/>
        <v>2.8019667436076166</v>
      </c>
      <c r="J1692" s="1">
        <f t="shared" si="1901"/>
        <v>1.9464585988373613</v>
      </c>
      <c r="K1692" s="1">
        <f t="shared" si="1901"/>
        <v>0.98045986810549257</v>
      </c>
      <c r="L1692" s="1">
        <f t="shared" ref="L1692:O1692" si="1902">L1691-L1693</f>
        <v>-0.32318643251550649</v>
      </c>
      <c r="M1692" s="1">
        <f t="shared" si="1902"/>
        <v>-0.87214963837467585</v>
      </c>
      <c r="N1692" s="1">
        <f t="shared" si="1902"/>
        <v>-0.99601999264898833</v>
      </c>
      <c r="O1692" s="1">
        <f t="shared" si="1902"/>
        <v>-0.99995465165093855</v>
      </c>
      <c r="P1692" s="1">
        <f>P1691-P1693</f>
        <v>-1.0033828290331808</v>
      </c>
      <c r="Q1692" s="1">
        <f>Q1691-Q1693</f>
        <v>-1.006463495812504</v>
      </c>
      <c r="S1692" s="3"/>
    </row>
    <row r="1693" spans="2:19" x14ac:dyDescent="0.5">
      <c r="B1693" t="str">
        <f t="shared" si="1898"/>
        <v>SPS1</v>
      </c>
      <c r="C1693" t="str">
        <f t="shared" si="1899"/>
        <v>CH</v>
      </c>
      <c r="D1693" t="s">
        <v>1713</v>
      </c>
      <c r="E1693" t="str">
        <f t="shared" si="190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2.0936571972331999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2.0855351269844999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2.0773470845724384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1.0353301351124398</v>
      </c>
      <c r="M1693" s="1" cm="1">
        <f t="array" ref="M1693">SUMPRODUCT(ISNUMBER(SEARCH("processco2",[1]OUT_CO2_emissions!$D$3:$D$1000))*1,("var_fout"=[1]OUT_CO2_emissions!$C$3:$C$1000)*1,("CO2"=[1]OUT_CO2_emissions!$B$3:$B$1000)*1,[1]OUT_CO2_emissions!L$3:L$1000)/1000</f>
        <v>1.0318718824065198</v>
      </c>
      <c r="N1693" s="1" cm="1">
        <f t="array" ref="N1693">SUMPRODUCT(ISNUMBER(SEARCH("processco2",[1]OUT_CO2_emissions!$D$3:$D$1000))*1,("var_fout"=[1]OUT_CO2_emissions!$C$3:$C$1000)*1,("CO2"=[1]OUT_CO2_emissions!$B$3:$B$1000)*1,[1]OUT_CO2_emissions!M$3:M$1000)/1000</f>
        <v>1.0318706445369199</v>
      </c>
      <c r="O1693" s="1" cm="1">
        <f t="array" ref="O1693">SUMPRODUCT(ISNUMBER(SEARCH("processco2",[1]OUT_CO2_emissions!$D$3:$D$1000))*1,("var_fout"=[1]OUT_CO2_emissions!$C$3:$C$1000)*1,("CO2"=[1]OUT_CO2_emissions!$B$3:$B$1000)*1,[1]OUT_CO2_emissions!N$3:N$1000)/1000</f>
        <v>1.0318690665658001</v>
      </c>
      <c r="P1693" s="1" cm="1">
        <f t="array" ref="P1693">SUMPRODUCT(ISNUMBER(SEARCH("processco2",[1]OUT_CO2_emissions!$D$3:$D$1000))*1,("var_fout"=[1]OUT_CO2_emissions!$C$3:$C$1000)*1,("CO2"=[1]OUT_CO2_emissions!$B$3:$B$1000)*1,[1]OUT_CO2_emissions!O$3:O$1000)/1000</f>
        <v>1.0318687295973101</v>
      </c>
      <c r="Q1693" s="1" cm="1">
        <f t="array" ref="Q1693">SUMPRODUCT(ISNUMBER(SEARCH("processco2",[1]OUT_CO2_emissions!$D$3:$D$1000))*1,("var_fout"=[1]OUT_CO2_emissions!$C$3:$C$1000)*1,("CO2"=[1]OUT_CO2_emissions!$B$3:$B$1000)*1,[1]OUT_CO2_emissions!P$3:P$1000)/1000</f>
        <v>1.0318682164428301</v>
      </c>
      <c r="S1693" s="3"/>
    </row>
    <row r="1694" spans="2:19" x14ac:dyDescent="0.5">
      <c r="B1694" t="str">
        <f t="shared" si="1898"/>
        <v>SPS1</v>
      </c>
      <c r="C1694" t="str">
        <f t="shared" si="1899"/>
        <v>CH</v>
      </c>
      <c r="D1694" t="s">
        <v>1705</v>
      </c>
      <c r="E1694" t="str">
        <f t="shared" si="1900"/>
        <v>Mt/yr.</v>
      </c>
      <c r="F1694" s="1">
        <f>[1]Summary!B56</f>
        <v>3.7900337212094999</v>
      </c>
      <c r="G1694" s="1">
        <f>[1]Summary!C56</f>
        <v>3.4123511276698801</v>
      </c>
      <c r="H1694" s="1">
        <f>[1]Summary!D56</f>
        <v>3.52167827085511</v>
      </c>
      <c r="I1694" s="1">
        <f>[1]Summary!E56</f>
        <v>3.0690505399685399</v>
      </c>
      <c r="J1694" s="1">
        <f>[1]Summary!F56</f>
        <v>2.7237511629189304</v>
      </c>
      <c r="K1694" s="1">
        <f>[1]Summary!G56</f>
        <v>2.3521438432800243</v>
      </c>
      <c r="L1694" s="1">
        <f>[1]Summary!H56</f>
        <v>1.7727650775759081</v>
      </c>
      <c r="M1694" s="1">
        <f>[1]Summary!I56</f>
        <v>0.41098344335493997</v>
      </c>
      <c r="N1694" s="1">
        <f>[1]Summary!J56</f>
        <v>0.17950964132361893</v>
      </c>
      <c r="O1694" s="1">
        <f>[1]Summary!K56</f>
        <v>8.8113927757663232E-2</v>
      </c>
      <c r="P1694" s="1">
        <f>[1]Summary!L56</f>
        <v>5.270360134378848E-2</v>
      </c>
      <c r="Q1694" s="1">
        <f>[1]Summary!M56</f>
        <v>2.7403783652199008E-2</v>
      </c>
      <c r="S1694" s="3"/>
    </row>
    <row r="1695" spans="2:19" x14ac:dyDescent="0.5">
      <c r="B1695" t="str">
        <f t="shared" si="1898"/>
        <v>SPS1</v>
      </c>
      <c r="C1695" t="str">
        <f t="shared" si="1899"/>
        <v>CH</v>
      </c>
      <c r="D1695" t="s">
        <v>1706</v>
      </c>
      <c r="E1695" t="str">
        <f t="shared" si="1900"/>
        <v>Mt/yr.</v>
      </c>
      <c r="F1695" s="1">
        <f>[1]Summary!B57</f>
        <v>7.1752745556359185</v>
      </c>
      <c r="G1695" s="1">
        <f>[1]Summary!C57</f>
        <v>6.5875779724276091</v>
      </c>
      <c r="H1695" s="1">
        <f>[1]Summary!D57</f>
        <v>6.4987138176992811</v>
      </c>
      <c r="I1695" s="1">
        <f>[1]Summary!E57</f>
        <v>6.0947209733207881</v>
      </c>
      <c r="J1695" s="1">
        <f>[1]Summary!F57</f>
        <v>4.5059003343916357</v>
      </c>
      <c r="K1695" s="1">
        <f>[1]Summary!G57</f>
        <v>3.7139627710224858</v>
      </c>
      <c r="L1695" s="1">
        <f>[1]Summary!H57</f>
        <v>2.8485667698451071</v>
      </c>
      <c r="M1695" s="1">
        <f>[1]Summary!I57</f>
        <v>1.0204589809635001</v>
      </c>
      <c r="N1695" s="1">
        <f>[1]Summary!J57</f>
        <v>0.31486023862193108</v>
      </c>
      <c r="O1695" s="1">
        <f>[1]Summary!K57</f>
        <v>0.19925944354179984</v>
      </c>
      <c r="P1695" s="1">
        <f>[1]Summary!L57</f>
        <v>0.19914756338795245</v>
      </c>
      <c r="Q1695" s="1">
        <f>[1]Summary!M57</f>
        <v>0.11846443360173671</v>
      </c>
      <c r="S1695" s="3"/>
    </row>
    <row r="1696" spans="2:19" x14ac:dyDescent="0.5">
      <c r="B1696" t="str">
        <f t="shared" si="1898"/>
        <v>SPS1</v>
      </c>
      <c r="C1696" t="str">
        <f t="shared" si="1899"/>
        <v>CH</v>
      </c>
      <c r="D1696" t="s">
        <v>1707</v>
      </c>
      <c r="E1696" t="str">
        <f t="shared" si="1900"/>
        <v>Mt/yr.</v>
      </c>
      <c r="F1696" s="1">
        <f>[1]Summary!B58</f>
        <v>14.551732316382166</v>
      </c>
      <c r="G1696" s="1">
        <f>[1]Summary!C58</f>
        <v>13.858805728934206</v>
      </c>
      <c r="H1696" s="1">
        <f>[1]Summary!D58</f>
        <v>12.901379580052783</v>
      </c>
      <c r="I1696" s="1">
        <f>[1]Summary!E58</f>
        <v>8.3911400740885966</v>
      </c>
      <c r="J1696" s="1">
        <f>[1]Summary!F58</f>
        <v>4.4660538351653649</v>
      </c>
      <c r="K1696" s="1">
        <f>[1]Summary!G58</f>
        <v>2.6823139541418994</v>
      </c>
      <c r="L1696" s="1">
        <f>[1]Summary!H58</f>
        <v>1.1425716732840228</v>
      </c>
      <c r="M1696" s="1">
        <f>[1]Summary!I58</f>
        <v>2.5990873477716808E-2</v>
      </c>
      <c r="N1696" s="1">
        <f>[1]Summary!J58</f>
        <v>1.7063879269071273E-2</v>
      </c>
      <c r="O1696" s="1">
        <f>[1]Summary!K58</f>
        <v>1.5481570054419799E-2</v>
      </c>
      <c r="P1696" s="1">
        <f>[1]Summary!L58</f>
        <v>1.4088647381587665E-2</v>
      </c>
      <c r="Q1696" s="1">
        <f>[1]Summary!M58</f>
        <v>1.2139331841902478E-2</v>
      </c>
      <c r="S1696" s="3"/>
    </row>
    <row r="1697" spans="2:19" x14ac:dyDescent="0.5">
      <c r="B1697" t="str">
        <f t="shared" si="1898"/>
        <v>SPS1</v>
      </c>
      <c r="C1697" t="str">
        <f t="shared" si="1899"/>
        <v>CH</v>
      </c>
      <c r="D1697" t="s">
        <v>1708</v>
      </c>
      <c r="E1697" t="str">
        <f t="shared" si="190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1.028218024040076</v>
      </c>
      <c r="L1697" s="1">
        <f>-[1]Summary!H59</f>
        <v>2.2622011834579561</v>
      </c>
      <c r="M1697" s="1">
        <f>-[1]Summary!I59</f>
        <v>2.4203753089648345</v>
      </c>
      <c r="N1697" s="1">
        <f>-[1]Summary!J59</f>
        <v>2.4155494385825484</v>
      </c>
      <c r="O1697" s="1">
        <f>-[1]Summary!K59</f>
        <v>2.4163511020760629</v>
      </c>
      <c r="P1697" s="1">
        <f>-[1]Summary!L59</f>
        <v>2.4163600374912511</v>
      </c>
      <c r="Q1697" s="1">
        <f>-[1]Summary!M59</f>
        <v>2.4166162180301725</v>
      </c>
      <c r="S1697" s="3"/>
    </row>
    <row r="1698" spans="2:19" x14ac:dyDescent="0.5">
      <c r="B1698" t="str">
        <f t="shared" si="1898"/>
        <v>SPS1</v>
      </c>
      <c r="C1698" t="str">
        <f t="shared" si="1899"/>
        <v>CH</v>
      </c>
      <c r="D1698" t="s">
        <v>1709</v>
      </c>
      <c r="E1698" t="str">
        <f t="shared" si="190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0.81481953584837807</v>
      </c>
      <c r="L1698" s="1">
        <f>-[1]Summary!H60</f>
        <v>2.8967113591758764</v>
      </c>
      <c r="M1698" s="1">
        <f>-[1]Summary!I60</f>
        <v>3.0248897201556786</v>
      </c>
      <c r="N1698" s="1">
        <f>-[1]Summary!J60</f>
        <v>3.0145750130609521</v>
      </c>
      <c r="O1698" s="1">
        <f>-[1]Summary!K60</f>
        <v>3.018540157060067</v>
      </c>
      <c r="P1698" s="1">
        <f>-[1]Summary!L60</f>
        <v>3.0219092439047031</v>
      </c>
      <c r="Q1698" s="1">
        <f>-[1]Summary!M60</f>
        <v>3.0249548893228031</v>
      </c>
      <c r="S1698" s="3"/>
    </row>
    <row r="1699" spans="2:19" x14ac:dyDescent="0.5">
      <c r="B1699" t="str">
        <f t="shared" si="1898"/>
        <v>SPS1</v>
      </c>
      <c r="C1699" t="str">
        <f t="shared" si="1899"/>
        <v>CH</v>
      </c>
      <c r="D1699" t="s">
        <v>1710</v>
      </c>
      <c r="E1699" t="str">
        <f t="shared" si="190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M1699" s="1">
        <f>-[1]Summary!I61</f>
        <v>0.83858614298236023</v>
      </c>
      <c r="N1699" s="1">
        <f>-[1]Summary!J61</f>
        <v>0.83930580618668693</v>
      </c>
      <c r="O1699" s="1">
        <f>-[1]Summary!K61</f>
        <v>0.93019385159179591</v>
      </c>
      <c r="P1699" s="1">
        <f>-[1]Summary!L61</f>
        <v>0.93021520120304735</v>
      </c>
      <c r="Q1699" s="1">
        <f>-[1]Summary!M61</f>
        <v>0.93013330520604764</v>
      </c>
      <c r="S1699" s="3"/>
    </row>
    <row r="1700" spans="2:19" x14ac:dyDescent="0.5">
      <c r="B1700" t="str">
        <f t="shared" si="1898"/>
        <v>SPS1</v>
      </c>
      <c r="C1700" t="str">
        <f t="shared" si="1899"/>
        <v>CH</v>
      </c>
      <c r="D1700" t="s">
        <v>1711</v>
      </c>
      <c r="E1700" t="str">
        <f t="shared" si="190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4.423651897141989E-5</v>
      </c>
      <c r="L1700" s="1">
        <f>-[1]Summary!H62</f>
        <v>6.2644405995565162E-5</v>
      </c>
      <c r="M1700" s="1">
        <f>-[1]Summary!I62</f>
        <v>0.60447742014795114</v>
      </c>
      <c r="N1700" s="1">
        <f>-[1]Summary!J62</f>
        <v>0.68824468824644869</v>
      </c>
      <c r="O1700" s="1">
        <f>-[1]Summary!K62</f>
        <v>0.60446838517435364</v>
      </c>
      <c r="P1700" s="1">
        <f>-[1]Summary!L62</f>
        <v>0.69130045692846231</v>
      </c>
      <c r="Q1700" s="1">
        <f>-[1]Summary!M62</f>
        <v>0.70623444242188371</v>
      </c>
      <c r="S1700" s="3"/>
    </row>
    <row r="1701" spans="2:19" x14ac:dyDescent="0.5">
      <c r="B1701" t="str">
        <f t="shared" si="1898"/>
        <v>SPS1</v>
      </c>
      <c r="C1701" t="str">
        <f t="shared" si="1899"/>
        <v>CH</v>
      </c>
      <c r="D1701" t="s">
        <v>1712</v>
      </c>
      <c r="E1701" t="str">
        <f t="shared" si="190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4.5787766727971581E-6</v>
      </c>
      <c r="L1701" s="1">
        <f>-[1]Summary!H63</f>
        <v>7.5479600779775077E-6</v>
      </c>
      <c r="M1701" s="1">
        <f>-[1]Summary!I63</f>
        <v>0.10566361755237882</v>
      </c>
      <c r="N1701" s="1">
        <f>-[1]Summary!J63</f>
        <v>0.32933504344701969</v>
      </c>
      <c r="O1701" s="1">
        <f>-[1]Summary!K63</f>
        <v>1.5050228173200264</v>
      </c>
      <c r="P1701" s="1">
        <f>-[1]Summary!L63</f>
        <v>2.2109432139250185</v>
      </c>
      <c r="Q1701" s="1">
        <f>-[1]Summary!M63</f>
        <v>2.9184148325949351</v>
      </c>
      <c r="S1701" s="3"/>
    </row>
    <row r="1702" spans="2:19" x14ac:dyDescent="0.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903">SUM(G1703:G1705)</f>
        <v>0</v>
      </c>
      <c r="H1702" s="3">
        <f t="shared" si="1903"/>
        <v>0</v>
      </c>
      <c r="I1702" s="3">
        <f t="shared" si="1903"/>
        <v>0</v>
      </c>
      <c r="J1702" s="3">
        <f t="shared" si="1903"/>
        <v>1.8430754691374156</v>
      </c>
      <c r="K1702" s="3">
        <f t="shared" si="1903"/>
        <v>1.8430754691374156</v>
      </c>
      <c r="L1702" s="3">
        <f t="shared" ref="L1702:O1702" si="1904">SUM(L1703:L1705)</f>
        <v>5.158970069499337</v>
      </c>
      <c r="M1702" s="3">
        <f t="shared" si="1904"/>
        <v>0</v>
      </c>
      <c r="N1702" s="3">
        <f t="shared" si="1904"/>
        <v>0</v>
      </c>
      <c r="O1702" s="3">
        <f t="shared" si="1904"/>
        <v>0</v>
      </c>
      <c r="P1702" s="3">
        <f>SUM(P1703:P1705)</f>
        <v>0</v>
      </c>
      <c r="Q1702" s="3">
        <f>SUM(Q1703:Q1705)</f>
        <v>0</v>
      </c>
      <c r="S1702" s="3"/>
    </row>
    <row r="1703" spans="2:19" x14ac:dyDescent="0.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0.83333183175048764</v>
      </c>
      <c r="K1703" s="1">
        <f>[1]Summary!B$77</f>
        <v>0.83333183175048764</v>
      </c>
      <c r="L1703" s="1">
        <f>[1]Summary!C$77</f>
        <v>0.34349629826234362</v>
      </c>
      <c r="M1703" s="1">
        <f>[1]Summary!D$77</f>
        <v>0</v>
      </c>
      <c r="N1703" s="1">
        <f>[1]Summary!E$77</f>
        <v>0</v>
      </c>
      <c r="O1703" s="1">
        <f>[1]Summary!F$77</f>
        <v>0</v>
      </c>
      <c r="P1703" s="1">
        <f>[1]Summary!G$77</f>
        <v>0</v>
      </c>
      <c r="Q1703" s="1">
        <f>[1]Summary!H$77</f>
        <v>0</v>
      </c>
      <c r="S1703" s="3"/>
    </row>
    <row r="1704" spans="2:19" x14ac:dyDescent="0.5">
      <c r="B1704" t="str">
        <f t="shared" ref="B1704:B1705" si="1905">B1703</f>
        <v>SPS1</v>
      </c>
      <c r="C1704" t="str">
        <f t="shared" ref="C1704:C1705" si="190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2.0996011201929891E-2</v>
      </c>
      <c r="K1704" s="1">
        <f>[1]Summary!B$78</f>
        <v>2.0996011201929891E-2</v>
      </c>
      <c r="L1704" s="1">
        <f>[1]Summary!C$78</f>
        <v>1.2092487539588139E-2</v>
      </c>
      <c r="M1704" s="1">
        <f>[1]Summary!D$78</f>
        <v>0</v>
      </c>
      <c r="N1704" s="1">
        <f>[1]Summary!E$78</f>
        <v>0</v>
      </c>
      <c r="O1704" s="1">
        <f>[1]Summary!F$78</f>
        <v>0</v>
      </c>
      <c r="P1704" s="1">
        <f>[1]Summary!G$78</f>
        <v>0</v>
      </c>
      <c r="Q1704" s="1">
        <f>[1]Summary!H$78</f>
        <v>0</v>
      </c>
      <c r="S1704" s="3"/>
    </row>
    <row r="1705" spans="2:19" x14ac:dyDescent="0.5">
      <c r="B1705" t="str">
        <f t="shared" si="1905"/>
        <v>SPS1</v>
      </c>
      <c r="C1705" t="str">
        <f t="shared" si="190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0.98874762618499812</v>
      </c>
      <c r="K1705" s="1">
        <f>[1]Summary!B$79</f>
        <v>0.98874762618499812</v>
      </c>
      <c r="L1705" s="1">
        <f>[1]Summary!C$79</f>
        <v>4.803381283697405</v>
      </c>
      <c r="M1705" s="1">
        <f>[1]Summary!D$79</f>
        <v>0</v>
      </c>
      <c r="N1705" s="1">
        <f>[1]Summary!E$79</f>
        <v>0</v>
      </c>
      <c r="O1705" s="1">
        <f>[1]Summary!F$79</f>
        <v>0</v>
      </c>
      <c r="P1705" s="1">
        <f>[1]Summary!G$79</f>
        <v>0</v>
      </c>
      <c r="Q1705" s="1">
        <f>[1]Summary!H$79</f>
        <v>0</v>
      </c>
      <c r="S1705" s="3"/>
    </row>
    <row r="1706" spans="2:19" x14ac:dyDescent="0.5">
      <c r="B1706" s="2" t="str">
        <f t="shared" ref="B1706:C1711" si="1907">B1705</f>
        <v>SPS1</v>
      </c>
      <c r="C1706" s="2" t="str">
        <f t="shared" si="1907"/>
        <v>CH</v>
      </c>
      <c r="D1706" s="2" t="s">
        <v>1720</v>
      </c>
      <c r="E1706" s="19" t="s">
        <v>292</v>
      </c>
      <c r="F1706" s="19" t="s">
        <v>292</v>
      </c>
      <c r="G1706" s="19" t="s">
        <v>292</v>
      </c>
      <c r="H1706" s="19" t="s">
        <v>292</v>
      </c>
      <c r="I1706" s="19" t="s">
        <v>292</v>
      </c>
      <c r="J1706" s="19" t="s">
        <v>292</v>
      </c>
      <c r="K1706" s="19" t="s">
        <v>292</v>
      </c>
      <c r="L1706" s="19" t="s">
        <v>292</v>
      </c>
      <c r="M1706" s="19" t="s">
        <v>292</v>
      </c>
      <c r="N1706" s="19" t="s">
        <v>292</v>
      </c>
      <c r="O1706" s="19" t="s">
        <v>292</v>
      </c>
      <c r="P1706" s="19" t="s">
        <v>292</v>
      </c>
      <c r="Q1706" s="19" t="s">
        <v>292</v>
      </c>
      <c r="S1706" s="3"/>
    </row>
    <row r="1707" spans="2:19" x14ac:dyDescent="0.5">
      <c r="B1707" t="str">
        <f t="shared" si="1907"/>
        <v>SPS1</v>
      </c>
      <c r="C1707" t="str">
        <f t="shared" si="190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908">SUM(G1708:G1709)</f>
        <v>0</v>
      </c>
      <c r="H1707" s="1">
        <f t="shared" si="1908"/>
        <v>0</v>
      </c>
      <c r="I1707" s="1">
        <f t="shared" si="1908"/>
        <v>0</v>
      </c>
      <c r="J1707" s="1">
        <f t="shared" si="1908"/>
        <v>0</v>
      </c>
      <c r="K1707" s="1">
        <f t="shared" si="1908"/>
        <v>3.6794348764746372E-5</v>
      </c>
      <c r="L1707" s="1">
        <f t="shared" ref="L1707:O1707" si="1909">SUM(L1708:L1709)</f>
        <v>5.7815930598385631E-5</v>
      </c>
      <c r="M1707" s="1">
        <f t="shared" si="1909"/>
        <v>0.76962953958520397</v>
      </c>
      <c r="N1707" s="1">
        <f t="shared" si="1909"/>
        <v>2.3988008713761579</v>
      </c>
      <c r="O1707" s="1">
        <f t="shared" si="1909"/>
        <v>10.962240786286255</v>
      </c>
      <c r="P1707" s="1">
        <f>SUM(P1708:P1709)</f>
        <v>16.104002940639759</v>
      </c>
      <c r="Q1707" s="1">
        <f>SUM(Q1708:Q1709)</f>
        <v>21.257063840495999</v>
      </c>
      <c r="S1707" s="3"/>
    </row>
    <row r="1708" spans="2:19" x14ac:dyDescent="0.5">
      <c r="B1708" t="str">
        <f t="shared" si="1907"/>
        <v>SPS1</v>
      </c>
      <c r="C1708" t="str">
        <f t="shared" si="190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6.3492369862787249E-6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8.6675741562108262E-6</v>
      </c>
      <c r="M1708" s="1" cm="1">
        <f t="array" ref="M1708">SUMPRODUCT(("SUP_DAC"=[1]OUT_SyntheticFuels!$C$1:$C$1000)*1,("Var_Fin"=[1]OUT_SyntheticFuels!$B$1:$B$1000)*1,ISNUMBER(SEARCH("ELC",[1]OUT_SyntheticFuels!$A$1:$A$1000))*1,[1]OUT_SyntheticFuels!L$1:L$1000)</f>
        <v>9.6153891972664607E-2</v>
      </c>
      <c r="N1708" s="1" cm="1">
        <f t="array" ref="N1708">SUMPRODUCT(("SUP_DAC"=[1]OUT_SyntheticFuels!$C$1:$C$1000)*1,("Var_Fin"=[1]OUT_SyntheticFuels!$B$1:$B$1000)*1,ISNUMBER(SEARCH("ELC",[1]OUT_SyntheticFuels!$A$1:$A$1000))*1,[1]OUT_SyntheticFuels!M$1:M$1000)</f>
        <v>0.29969488953678847</v>
      </c>
      <c r="O1708" s="1" cm="1">
        <f t="array" ref="O1708">SUMPRODUCT(("SUP_DAC"=[1]OUT_SyntheticFuels!$C$1:$C$1000)*1,("Var_Fin"=[1]OUT_SyntheticFuels!$B$1:$B$1000)*1,ISNUMBER(SEARCH("ELC",[1]OUT_SyntheticFuels!$A$1:$A$1000))*1,[1]OUT_SyntheticFuels!N$1:N$1000)</f>
        <v>1.3695707637612238</v>
      </c>
      <c r="P1708" s="1" cm="1">
        <f t="array" ref="P1708">SUMPRODUCT(("SUP_DAC"=[1]OUT_SyntheticFuels!$C$1:$C$1000)*1,("Var_Fin"=[1]OUT_SyntheticFuels!$B$1:$B$1000)*1,ISNUMBER(SEARCH("ELC",[1]OUT_SyntheticFuels!$A$1:$A$1000))*1,[1]OUT_SyntheticFuels!O$1:O$1000)</f>
        <v>2.0119583246717676</v>
      </c>
      <c r="Q1708" s="1" cm="1">
        <f t="array" ref="Q1708">SUMPRODUCT(("SUP_DAC"=[1]OUT_SyntheticFuels!$C$1:$C$1000)*1,("Var_Fin"=[1]OUT_SyntheticFuels!$B$1:$B$1000)*1,ISNUMBER(SEARCH("ELC",[1]OUT_SyntheticFuels!$A$1:$A$1000))*1,[1]OUT_SyntheticFuels!P$1:P$1000)</f>
        <v>2.6557574976613885</v>
      </c>
      <c r="S1708" s="3"/>
    </row>
    <row r="1709" spans="2:19" x14ac:dyDescent="0.5">
      <c r="B1709" t="str">
        <f t="shared" si="1907"/>
        <v>SPS1</v>
      </c>
      <c r="C1709" t="str">
        <f t="shared" si="190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3.0445111778467644E-5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4.9148356442174805E-5</v>
      </c>
      <c r="M1709" s="1" cm="1">
        <f t="array" ref="M1709">SUMPRODUCT(("SUP_DAC"=[1]OUT_SyntheticFuels!$C$1:$C$1000)*1,("Var_Fin"=[1]OUT_SyntheticFuels!$B$1:$B$1000)*1,ISNUMBER(SEARCH("HEAT",[1]OUT_SyntheticFuels!$A$1:$A$1000))*1,[1]OUT_SyntheticFuels!L$1:L$1000)</f>
        <v>0.67347564761253931</v>
      </c>
      <c r="N1709" s="1" cm="1">
        <f t="array" ref="N1709">SUMPRODUCT(("SUP_DAC"=[1]OUT_SyntheticFuels!$C$1:$C$1000)*1,("Var_Fin"=[1]OUT_SyntheticFuels!$B$1:$B$1000)*1,ISNUMBER(SEARCH("HEAT",[1]OUT_SyntheticFuels!$A$1:$A$1000))*1,[1]OUT_SyntheticFuels!M$1:M$1000)</f>
        <v>2.0991059818393696</v>
      </c>
      <c r="O1709" s="1" cm="1">
        <f t="array" ref="O1709">SUMPRODUCT(("SUP_DAC"=[1]OUT_SyntheticFuels!$C$1:$C$1000)*1,("Var_Fin"=[1]OUT_SyntheticFuels!$B$1:$B$1000)*1,ISNUMBER(SEARCH("HEAT",[1]OUT_SyntheticFuels!$A$1:$A$1000))*1,[1]OUT_SyntheticFuels!N$1:N$1000)</f>
        <v>9.5926700225250308</v>
      </c>
      <c r="P1709" s="1" cm="1">
        <f t="array" ref="P1709">SUMPRODUCT(("SUP_DAC"=[1]OUT_SyntheticFuels!$C$1:$C$1000)*1,("Var_Fin"=[1]OUT_SyntheticFuels!$B$1:$B$1000)*1,ISNUMBER(SEARCH("HEAT",[1]OUT_SyntheticFuels!$A$1:$A$1000))*1,[1]OUT_SyntheticFuels!O$1:O$1000)</f>
        <v>14.092044615967991</v>
      </c>
      <c r="Q1709" s="1" cm="1">
        <f t="array" ref="Q1709">SUMPRODUCT(("SUP_DAC"=[1]OUT_SyntheticFuels!$C$1:$C$1000)*1,("Var_Fin"=[1]OUT_SyntheticFuels!$B$1:$B$1000)*1,ISNUMBER(SEARCH("HEAT",[1]OUT_SyntheticFuels!$A$1:$A$1000))*1,[1]OUT_SyntheticFuels!P$1:P$1000)</f>
        <v>18.601306342834611</v>
      </c>
      <c r="S1709" s="3"/>
    </row>
    <row r="1710" spans="2:19" x14ac:dyDescent="0.5">
      <c r="B1710" t="str">
        <f t="shared" si="1907"/>
        <v>SPS1</v>
      </c>
      <c r="C1710" t="str">
        <f t="shared" si="190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910">G1701</f>
        <v>0</v>
      </c>
      <c r="H1710" s="1">
        <f t="shared" si="1910"/>
        <v>0</v>
      </c>
      <c r="I1710" s="1">
        <f t="shared" si="1910"/>
        <v>0</v>
      </c>
      <c r="J1710" s="1">
        <f t="shared" si="1910"/>
        <v>0</v>
      </c>
      <c r="K1710" s="1">
        <f t="shared" si="1910"/>
        <v>4.5787766727971581E-6</v>
      </c>
      <c r="L1710" s="1">
        <f t="shared" ref="L1710:O1710" si="1911">L1701</f>
        <v>7.5479600779775077E-6</v>
      </c>
      <c r="M1710" s="1">
        <f t="shared" si="1911"/>
        <v>0.10566361755237882</v>
      </c>
      <c r="N1710" s="1">
        <f t="shared" si="1911"/>
        <v>0.32933504344701969</v>
      </c>
      <c r="O1710" s="1">
        <f t="shared" si="1911"/>
        <v>1.5050228173200264</v>
      </c>
      <c r="P1710" s="1">
        <f>P1701</f>
        <v>2.2109432139250185</v>
      </c>
      <c r="Q1710" s="1">
        <f>Q1701</f>
        <v>2.9184148325949351</v>
      </c>
      <c r="S1710" s="3"/>
    </row>
    <row r="1711" spans="2:19" x14ac:dyDescent="0.5">
      <c r="B1711" s="2" t="str">
        <f t="shared" si="1907"/>
        <v>SPS1</v>
      </c>
      <c r="C1711" s="2" t="str">
        <f t="shared" si="190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962.44427273554038</v>
      </c>
      <c r="G1711" s="3">
        <f t="shared" ref="G1711:K1711" si="1912">SUM(G1712:G1713,G1730,G1739:G1740,G1741,G1742,G1747,G1750,,G1755:G1758,G1751)</f>
        <v>960.34447326199904</v>
      </c>
      <c r="H1711" s="3">
        <f t="shared" si="1912"/>
        <v>925.03415634071519</v>
      </c>
      <c r="I1711" s="3">
        <f t="shared" si="1912"/>
        <v>879.28614249926386</v>
      </c>
      <c r="J1711" s="3">
        <f t="shared" si="1912"/>
        <v>828.40924804396332</v>
      </c>
      <c r="K1711" s="3">
        <f t="shared" si="1912"/>
        <v>763.36546061389049</v>
      </c>
      <c r="L1711" s="3">
        <f t="shared" ref="L1711:O1711" si="1913">SUM(L1712:L1713,L1730,L1739:L1740,L1741,L1742,L1747,L1750,,L1755:L1758,L1751)</f>
        <v>712.29077538458898</v>
      </c>
      <c r="M1711" s="3">
        <f t="shared" si="1913"/>
        <v>731.45640990124241</v>
      </c>
      <c r="N1711" s="3">
        <f t="shared" si="1913"/>
        <v>754.96311004497954</v>
      </c>
      <c r="O1711" s="3">
        <f t="shared" si="1913"/>
        <v>799.0491136672606</v>
      </c>
      <c r="P1711" s="3">
        <f>SUM(P1712:P1713,P1730,P1739:P1740,P1741,P1742,P1747,P1750,,P1755:P1758,P1751)</f>
        <v>805.52270650971445</v>
      </c>
      <c r="Q1711" s="3">
        <f>SUM(Q1712:Q1713,Q1730,Q1739:Q1740,Q1741,Q1742,Q1747,Q1750,,Q1755:Q1758,Q1751)</f>
        <v>805.73087891145883</v>
      </c>
      <c r="S1711" s="3"/>
    </row>
    <row r="1712" spans="2:19" x14ac:dyDescent="0.5">
      <c r="B1712" t="str">
        <f>B1711</f>
        <v>SPS1</v>
      </c>
      <c r="C1712" t="str">
        <f t="shared" ref="C1712" si="1914">C1711</f>
        <v>CH</v>
      </c>
      <c r="D1712" t="s">
        <v>1738</v>
      </c>
      <c r="E1712" t="str">
        <f>E1711</f>
        <v>PJ/yr.</v>
      </c>
      <c r="F1712" s="1">
        <f t="shared" ref="F1712:K1722" si="1915">F21</f>
        <v>3.6600033878802685</v>
      </c>
      <c r="G1712" s="1">
        <f t="shared" si="1915"/>
        <v>3.5647172168169501</v>
      </c>
      <c r="H1712" s="1">
        <f t="shared" si="1915"/>
        <v>0.54152635032022467</v>
      </c>
      <c r="I1712" s="1">
        <f t="shared" si="1915"/>
        <v>1.1974174969418469E-3</v>
      </c>
      <c r="J1712" s="1">
        <f t="shared" si="1915"/>
        <v>5.2709137972134924E-4</v>
      </c>
      <c r="K1712" s="1">
        <f t="shared" si="1915"/>
        <v>1.0140654488555371E-3</v>
      </c>
      <c r="L1712" s="1">
        <f t="shared" ref="L1712:O1712" si="1916">L21</f>
        <v>6.2856077447267849E-4</v>
      </c>
      <c r="M1712" s="1">
        <f t="shared" si="1916"/>
        <v>3.7613076015022593E-4</v>
      </c>
      <c r="N1712" s="1">
        <f t="shared" si="1916"/>
        <v>2.8935843068367116E-4</v>
      </c>
      <c r="O1712" s="1">
        <f t="shared" si="1916"/>
        <v>6.2114297043794483E-4</v>
      </c>
      <c r="P1712" s="1">
        <f t="shared" ref="P1712:Q1722" si="1917">P21</f>
        <v>3.275712252769094E-4</v>
      </c>
      <c r="Q1712" s="1">
        <f t="shared" si="1917"/>
        <v>1.3090628940185694E-4</v>
      </c>
      <c r="S1712" s="3"/>
    </row>
    <row r="1713" spans="2:19" x14ac:dyDescent="0.5">
      <c r="B1713" t="str">
        <f t="shared" ref="B1713:B1765" si="1918">B1712</f>
        <v>SPS1</v>
      </c>
      <c r="C1713" t="str">
        <f t="shared" ref="C1713:C1765" si="1919">C1712</f>
        <v>CH</v>
      </c>
      <c r="D1713" t="s">
        <v>1739</v>
      </c>
      <c r="E1713" t="str">
        <f t="shared" ref="E1713:E1741" si="1920">E1712</f>
        <v>PJ/yr.</v>
      </c>
      <c r="F1713" s="1">
        <f t="shared" si="1915"/>
        <v>310.6379755305461</v>
      </c>
      <c r="G1713" s="1">
        <f t="shared" si="1915"/>
        <v>286.93179458221056</v>
      </c>
      <c r="H1713" s="1">
        <f t="shared" si="1915"/>
        <v>269.68763629313821</v>
      </c>
      <c r="I1713" s="1">
        <f t="shared" si="1915"/>
        <v>194.66572480001395</v>
      </c>
      <c r="J1713" s="1">
        <f t="shared" si="1915"/>
        <v>125.59556638287037</v>
      </c>
      <c r="K1713" s="1">
        <f t="shared" si="1915"/>
        <v>104.08326935616796</v>
      </c>
      <c r="L1713" s="1">
        <f t="shared" ref="L1713:O1713" si="1921">L22</f>
        <v>107.89366181450953</v>
      </c>
      <c r="M1713" s="1">
        <f t="shared" si="1921"/>
        <v>111.42351158543167</v>
      </c>
      <c r="N1713" s="1">
        <f t="shared" si="1921"/>
        <v>104.30664297048932</v>
      </c>
      <c r="O1713" s="1">
        <f t="shared" si="1921"/>
        <v>102.9300428380989</v>
      </c>
      <c r="P1713" s="1">
        <f t="shared" si="1917"/>
        <v>103.81245967168617</v>
      </c>
      <c r="Q1713" s="1">
        <f t="shared" si="1917"/>
        <v>102.29847707614242</v>
      </c>
      <c r="S1713" s="3"/>
    </row>
    <row r="1714" spans="2:19" x14ac:dyDescent="0.5">
      <c r="B1714" t="str">
        <f t="shared" si="1918"/>
        <v>SPS1</v>
      </c>
      <c r="C1714" t="str">
        <f t="shared" si="1919"/>
        <v>CH</v>
      </c>
      <c r="D1714" t="s">
        <v>1740</v>
      </c>
      <c r="E1714" t="str">
        <f t="shared" si="1920"/>
        <v>PJ/yr.</v>
      </c>
      <c r="F1714" s="1">
        <f t="shared" si="1915"/>
        <v>303.9175233810891</v>
      </c>
      <c r="G1714" s="1">
        <f t="shared" si="1915"/>
        <v>280.15516690820698</v>
      </c>
      <c r="H1714" s="1">
        <f t="shared" si="1915"/>
        <v>261.26706043981312</v>
      </c>
      <c r="I1714" s="1">
        <f t="shared" si="1915"/>
        <v>182.00950086080121</v>
      </c>
      <c r="J1714" s="1">
        <f t="shared" si="1915"/>
        <v>101.29123721107632</v>
      </c>
      <c r="K1714" s="1">
        <f t="shared" si="1915"/>
        <v>60.188939991764435</v>
      </c>
      <c r="L1714" s="1">
        <f t="shared" ref="L1714:O1714" si="1922">L23</f>
        <v>29.295343518351451</v>
      </c>
      <c r="M1714" s="1">
        <f t="shared" si="1922"/>
        <v>0</v>
      </c>
      <c r="N1714" s="1">
        <f t="shared" si="1922"/>
        <v>0.17175874036439462</v>
      </c>
      <c r="O1714" s="1">
        <f t="shared" si="1922"/>
        <v>0.11070847485877559</v>
      </c>
      <c r="P1714" s="1">
        <f t="shared" si="1917"/>
        <v>9.7602507590059104E-2</v>
      </c>
      <c r="Q1714" s="1">
        <f t="shared" si="1917"/>
        <v>9.1271253446520081E-2</v>
      </c>
      <c r="S1714" s="3"/>
    </row>
    <row r="1715" spans="2:19" x14ac:dyDescent="0.5">
      <c r="B1715" t="str">
        <f t="shared" si="1918"/>
        <v>SPS1</v>
      </c>
      <c r="C1715" t="str">
        <f t="shared" si="1919"/>
        <v>CH</v>
      </c>
      <c r="D1715" t="s">
        <v>1741</v>
      </c>
      <c r="E1715" t="str">
        <f t="shared" si="1920"/>
        <v>PJ/yr.</v>
      </c>
      <c r="F1715" s="1">
        <f t="shared" si="1915"/>
        <v>101.73655244227777</v>
      </c>
      <c r="G1715" s="1">
        <f t="shared" si="1915"/>
        <v>88.455417199977688</v>
      </c>
      <c r="H1715" s="1">
        <f t="shared" si="1915"/>
        <v>84.508406872127878</v>
      </c>
      <c r="I1715" s="1">
        <f t="shared" si="1915"/>
        <v>67.849966955814452</v>
      </c>
      <c r="J1715" s="1">
        <f t="shared" si="1915"/>
        <v>40.497032310428899</v>
      </c>
      <c r="K1715" s="1">
        <f t="shared" si="1915"/>
        <v>23.932082317681289</v>
      </c>
      <c r="L1715" s="1">
        <f t="shared" ref="L1715:O1715" si="1923">L24</f>
        <v>13.880652516504817</v>
      </c>
      <c r="M1715" s="1">
        <f t="shared" si="1923"/>
        <v>0</v>
      </c>
      <c r="N1715" s="1">
        <f t="shared" si="1923"/>
        <v>7.7704923714973662E-3</v>
      </c>
      <c r="O1715" s="1">
        <f t="shared" si="1923"/>
        <v>1.0988240493283501E-2</v>
      </c>
      <c r="P1715" s="1">
        <f t="shared" si="1917"/>
        <v>7.0692674962051644E-3</v>
      </c>
      <c r="Q1715" s="1">
        <f t="shared" si="1917"/>
        <v>1.3892112820182293E-2</v>
      </c>
      <c r="S1715" s="3"/>
    </row>
    <row r="1716" spans="2:19" x14ac:dyDescent="0.5">
      <c r="B1716" t="str">
        <f t="shared" si="1918"/>
        <v>SPS1</v>
      </c>
      <c r="C1716" t="str">
        <f t="shared" si="1919"/>
        <v>CH</v>
      </c>
      <c r="D1716" t="s">
        <v>1742</v>
      </c>
      <c r="E1716" t="str">
        <f t="shared" si="1920"/>
        <v>PJ/yr.</v>
      </c>
      <c r="F1716" s="1">
        <f t="shared" si="1915"/>
        <v>2.7763699946423981</v>
      </c>
      <c r="G1716" s="1">
        <f t="shared" si="1915"/>
        <v>2.522527871134792</v>
      </c>
      <c r="H1716" s="1">
        <f t="shared" si="1915"/>
        <v>2.4169855818180091E-3</v>
      </c>
      <c r="I1716" s="1">
        <f t="shared" si="1915"/>
        <v>3.4695751623979018E-4</v>
      </c>
      <c r="J1716" s="1">
        <f t="shared" si="1915"/>
        <v>2.3015924845910766E-4</v>
      </c>
      <c r="K1716" s="1">
        <f t="shared" si="1915"/>
        <v>1.2394428300672551E-3</v>
      </c>
      <c r="L1716" s="1">
        <f t="shared" ref="L1716:O1716" si="1924">L25</f>
        <v>8.6837864979455134E-4</v>
      </c>
      <c r="M1716" s="1">
        <f t="shared" si="1924"/>
        <v>0</v>
      </c>
      <c r="N1716" s="1">
        <f t="shared" si="1924"/>
        <v>0</v>
      </c>
      <c r="O1716" s="1">
        <f t="shared" si="1924"/>
        <v>0</v>
      </c>
      <c r="P1716" s="1">
        <f t="shared" si="1917"/>
        <v>0</v>
      </c>
      <c r="Q1716" s="1">
        <f t="shared" si="1917"/>
        <v>0</v>
      </c>
      <c r="S1716" s="3"/>
    </row>
    <row r="1717" spans="2:19" x14ac:dyDescent="0.5">
      <c r="B1717" t="str">
        <f t="shared" si="1918"/>
        <v>SPS1</v>
      </c>
      <c r="C1717" t="str">
        <f t="shared" si="1919"/>
        <v>CH</v>
      </c>
      <c r="D1717" t="s">
        <v>1743</v>
      </c>
      <c r="E1717" t="str">
        <f t="shared" si="1920"/>
        <v>PJ/yr.</v>
      </c>
      <c r="F1717" s="1">
        <f t="shared" si="1915"/>
        <v>118.53390760086451</v>
      </c>
      <c r="G1717" s="1">
        <f t="shared" si="1915"/>
        <v>111.81587508608686</v>
      </c>
      <c r="H1717" s="1">
        <f t="shared" si="1915"/>
        <v>95.73980481423574</v>
      </c>
      <c r="I1717" s="1">
        <f t="shared" si="1915"/>
        <v>63.245509274896143</v>
      </c>
      <c r="J1717" s="1">
        <f t="shared" si="1915"/>
        <v>36.636936839181963</v>
      </c>
      <c r="K1717" s="1">
        <f t="shared" si="1915"/>
        <v>24.316064026972345</v>
      </c>
      <c r="L1717" s="1">
        <f t="shared" ref="L1717:O1717" si="1925">L26</f>
        <v>10.621971587694455</v>
      </c>
      <c r="M1717" s="1">
        <f t="shared" si="1925"/>
        <v>0</v>
      </c>
      <c r="N1717" s="1">
        <f t="shared" si="1925"/>
        <v>2.332142752202416E-4</v>
      </c>
      <c r="O1717" s="1">
        <f t="shared" si="1925"/>
        <v>3.9788845819311181E-4</v>
      </c>
      <c r="P1717" s="1">
        <f t="shared" si="1917"/>
        <v>2.5573949183386037E-4</v>
      </c>
      <c r="Q1717" s="1">
        <f t="shared" si="1917"/>
        <v>4.7551146308547266E-4</v>
      </c>
      <c r="S1717" s="3"/>
    </row>
    <row r="1718" spans="2:19" x14ac:dyDescent="0.5">
      <c r="B1718" t="str">
        <f t="shared" si="1918"/>
        <v>SPS1</v>
      </c>
      <c r="C1718" t="str">
        <f t="shared" si="1919"/>
        <v>CH</v>
      </c>
      <c r="D1718" t="s">
        <v>1744</v>
      </c>
      <c r="E1718" t="str">
        <f t="shared" si="1920"/>
        <v>PJ/yr.</v>
      </c>
      <c r="F1718" s="1">
        <f t="shared" si="1915"/>
        <v>79.762172764830567</v>
      </c>
      <c r="G1718" s="1">
        <f t="shared" si="1915"/>
        <v>75.956147389792022</v>
      </c>
      <c r="H1718" s="1">
        <f t="shared" si="1915"/>
        <v>79.168575635032596</v>
      </c>
      <c r="I1718" s="1">
        <f t="shared" si="1915"/>
        <v>48.356349849880637</v>
      </c>
      <c r="J1718" s="1">
        <f t="shared" si="1915"/>
        <v>21.788365177934992</v>
      </c>
      <c r="K1718" s="1">
        <f t="shared" si="1915"/>
        <v>9.787963946469274</v>
      </c>
      <c r="L1718" s="1">
        <f t="shared" ref="L1718:O1718" si="1926">L27</f>
        <v>2.8662214057505868</v>
      </c>
      <c r="M1718" s="1">
        <f t="shared" si="1926"/>
        <v>0</v>
      </c>
      <c r="N1718" s="1">
        <f t="shared" si="1926"/>
        <v>0.16355277730256582</v>
      </c>
      <c r="O1718" s="1">
        <f t="shared" si="1926"/>
        <v>9.8966937191031307E-2</v>
      </c>
      <c r="P1718" s="1">
        <f t="shared" si="1917"/>
        <v>9.0045123906408606E-2</v>
      </c>
      <c r="Q1718" s="1">
        <f t="shared" si="1917"/>
        <v>7.6459051173442247E-2</v>
      </c>
      <c r="S1718" s="3"/>
    </row>
    <row r="1719" spans="2:19" x14ac:dyDescent="0.5">
      <c r="B1719" t="str">
        <f t="shared" si="1918"/>
        <v>SPS1</v>
      </c>
      <c r="C1719" t="str">
        <f t="shared" si="1919"/>
        <v>CH</v>
      </c>
      <c r="D1719" t="s">
        <v>1745</v>
      </c>
      <c r="E1719" t="str">
        <f t="shared" si="1920"/>
        <v>PJ/yr.</v>
      </c>
      <c r="F1719" s="1">
        <f t="shared" si="1915"/>
        <v>1.1085205784738776</v>
      </c>
      <c r="G1719" s="1">
        <f t="shared" si="1915"/>
        <v>1.4051993612156162</v>
      </c>
      <c r="H1719" s="1">
        <f t="shared" si="1915"/>
        <v>1.8478561328350978</v>
      </c>
      <c r="I1719" s="1">
        <f t="shared" si="1915"/>
        <v>2.5573278226937446</v>
      </c>
      <c r="J1719" s="1">
        <f t="shared" si="1915"/>
        <v>2.3686727242820136</v>
      </c>
      <c r="K1719" s="1">
        <f t="shared" si="1915"/>
        <v>2.1515902578114594</v>
      </c>
      <c r="L1719" s="1">
        <f t="shared" ref="L1719:O1719" si="1927">L28</f>
        <v>1.9256296297517981</v>
      </c>
      <c r="M1719" s="1">
        <f t="shared" si="1927"/>
        <v>0</v>
      </c>
      <c r="N1719" s="1">
        <f t="shared" si="1927"/>
        <v>2.0225641511119932E-4</v>
      </c>
      <c r="O1719" s="1">
        <f t="shared" si="1927"/>
        <v>3.5540871626767406E-4</v>
      </c>
      <c r="P1719" s="1">
        <f t="shared" si="1917"/>
        <v>2.3237669561147986E-4</v>
      </c>
      <c r="Q1719" s="1">
        <f t="shared" si="1917"/>
        <v>4.4457798981007302E-4</v>
      </c>
      <c r="S1719" s="3"/>
    </row>
    <row r="1720" spans="2:19" x14ac:dyDescent="0.5">
      <c r="B1720" t="str">
        <f t="shared" si="1918"/>
        <v>SPS1</v>
      </c>
      <c r="C1720" t="str">
        <f t="shared" si="1919"/>
        <v>CH</v>
      </c>
      <c r="D1720" t="s">
        <v>1746</v>
      </c>
      <c r="E1720" t="str">
        <f t="shared" si="1920"/>
        <v>PJ/yr.</v>
      </c>
      <c r="F1720" s="1">
        <f t="shared" si="1915"/>
        <v>6.7204521494570209</v>
      </c>
      <c r="G1720" s="1">
        <f t="shared" si="1915"/>
        <v>6.7766276740035902</v>
      </c>
      <c r="H1720" s="1">
        <f t="shared" si="1915"/>
        <v>8.420575853325083</v>
      </c>
      <c r="I1720" s="1">
        <f t="shared" si="1915"/>
        <v>12.656223939212728</v>
      </c>
      <c r="J1720" s="1">
        <f t="shared" si="1915"/>
        <v>24.304329171794052</v>
      </c>
      <c r="K1720" s="1">
        <f t="shared" si="1915"/>
        <v>43.894329364403518</v>
      </c>
      <c r="L1720" s="1">
        <f t="shared" ref="L1720:O1720" si="1928">L29</f>
        <v>78.598318296158084</v>
      </c>
      <c r="M1720" s="1">
        <f t="shared" si="1928"/>
        <v>111.42351158543167</v>
      </c>
      <c r="N1720" s="1">
        <f t="shared" si="1928"/>
        <v>104.13488423012492</v>
      </c>
      <c r="O1720" s="1">
        <f t="shared" si="1928"/>
        <v>102.81933436324012</v>
      </c>
      <c r="P1720" s="1">
        <f t="shared" si="1917"/>
        <v>103.71485716409612</v>
      </c>
      <c r="Q1720" s="1">
        <f t="shared" si="1917"/>
        <v>102.2072058226959</v>
      </c>
      <c r="S1720" s="3"/>
    </row>
    <row r="1721" spans="2:19" x14ac:dyDescent="0.5">
      <c r="B1721" t="str">
        <f t="shared" si="1918"/>
        <v>SPS1</v>
      </c>
      <c r="C1721" t="str">
        <f t="shared" si="1919"/>
        <v>CH</v>
      </c>
      <c r="D1721" t="s">
        <v>1747</v>
      </c>
      <c r="E1721" t="str">
        <f t="shared" si="1920"/>
        <v>PJ/yr.</v>
      </c>
      <c r="F1721" s="1">
        <f t="shared" si="1915"/>
        <v>2.2854493520167836</v>
      </c>
      <c r="G1721" s="1">
        <f t="shared" si="1915"/>
        <v>2.377997087322659</v>
      </c>
      <c r="H1721" s="1">
        <f t="shared" si="1915"/>
        <v>4.0197003615604494</v>
      </c>
      <c r="I1721" s="1">
        <f t="shared" si="1915"/>
        <v>4.5237174316840054</v>
      </c>
      <c r="J1721" s="1">
        <f t="shared" si="1915"/>
        <v>4.464722100174189</v>
      </c>
      <c r="K1721" s="1">
        <f t="shared" si="1915"/>
        <v>4.4628728846980934</v>
      </c>
      <c r="L1721" s="1">
        <f t="shared" ref="L1721:O1721" si="1929">L30</f>
        <v>5.3739273452021479</v>
      </c>
      <c r="M1721" s="1">
        <f t="shared" si="1929"/>
        <v>13.893038440778781</v>
      </c>
      <c r="N1721" s="1">
        <f t="shared" si="1929"/>
        <v>7.4694575182480492</v>
      </c>
      <c r="O1721" s="1">
        <f t="shared" si="1929"/>
        <v>5.3888503633581877</v>
      </c>
      <c r="P1721" s="1">
        <f t="shared" si="1917"/>
        <v>4.8191387508062746</v>
      </c>
      <c r="Q1721" s="1">
        <f t="shared" si="1917"/>
        <v>1.8931155065920677</v>
      </c>
      <c r="S1721" s="3"/>
    </row>
    <row r="1722" spans="2:19" x14ac:dyDescent="0.5">
      <c r="B1722" t="str">
        <f t="shared" si="1918"/>
        <v>SPS1</v>
      </c>
      <c r="C1722" t="str">
        <f t="shared" si="1919"/>
        <v>CH</v>
      </c>
      <c r="D1722" t="s">
        <v>1748</v>
      </c>
      <c r="E1722" t="str">
        <f t="shared" si="1920"/>
        <v>PJ/yr.</v>
      </c>
      <c r="F1722" s="1">
        <f t="shared" si="1915"/>
        <v>4.4341500926398894</v>
      </c>
      <c r="G1722" s="1">
        <f t="shared" si="1915"/>
        <v>4.3986149800311409</v>
      </c>
      <c r="H1722" s="1">
        <f t="shared" si="1915"/>
        <v>4.3997883678972567</v>
      </c>
      <c r="I1722" s="1">
        <f t="shared" si="1915"/>
        <v>2.8018386412727039</v>
      </c>
      <c r="J1722" s="1">
        <f t="shared" si="1915"/>
        <v>1.3261204282284802</v>
      </c>
      <c r="K1722" s="1">
        <f t="shared" si="1915"/>
        <v>0.58401069422617224</v>
      </c>
      <c r="L1722" s="1">
        <f t="shared" ref="L1722:O1722" si="1930">L31</f>
        <v>4.5570798108299488</v>
      </c>
      <c r="M1722" s="1">
        <f t="shared" si="1930"/>
        <v>1.9864887614102926</v>
      </c>
      <c r="N1722" s="1">
        <f t="shared" si="1930"/>
        <v>1.3027683352127579</v>
      </c>
      <c r="O1722" s="1">
        <f t="shared" si="1930"/>
        <v>1.1739764653971603</v>
      </c>
      <c r="P1722" s="1">
        <f t="shared" si="1917"/>
        <v>1.0719830904542269</v>
      </c>
      <c r="Q1722" s="1">
        <f t="shared" si="1917"/>
        <v>0.91102408939170598</v>
      </c>
      <c r="S1722" s="3"/>
    </row>
    <row r="1723" spans="2:19" x14ac:dyDescent="0.5">
      <c r="B1723" t="str">
        <f t="shared" si="1918"/>
        <v>SPS1</v>
      </c>
      <c r="C1723" t="str">
        <f t="shared" si="1919"/>
        <v>CH</v>
      </c>
      <c r="D1723" t="s">
        <v>1749</v>
      </c>
      <c r="E1723" t="str">
        <f t="shared" si="1920"/>
        <v>PJ/yr.</v>
      </c>
      <c r="F1723" s="1">
        <f t="shared" ref="F1723:K1725" si="1931">F33</f>
        <v>6.7204521494570209</v>
      </c>
      <c r="G1723" s="1">
        <f t="shared" si="1931"/>
        <v>6.7766276740035902</v>
      </c>
      <c r="H1723" s="1">
        <f t="shared" si="1931"/>
        <v>8.420575853325083</v>
      </c>
      <c r="I1723" s="1">
        <f t="shared" si="1931"/>
        <v>12.656223939212728</v>
      </c>
      <c r="J1723" s="1">
        <f t="shared" si="1931"/>
        <v>11.121510394658687</v>
      </c>
      <c r="K1723" s="1">
        <f t="shared" si="1931"/>
        <v>23.560370222315651</v>
      </c>
      <c r="L1723" s="1">
        <f t="shared" ref="L1723:O1723" si="1932">L33</f>
        <v>47.770951585060516</v>
      </c>
      <c r="M1723" s="1">
        <f t="shared" si="1932"/>
        <v>76.027727246738436</v>
      </c>
      <c r="N1723" s="1">
        <f t="shared" si="1932"/>
        <v>104.13488423012492</v>
      </c>
      <c r="O1723" s="1">
        <f t="shared" si="1932"/>
        <v>102.10681121199795</v>
      </c>
      <c r="P1723" s="1">
        <f t="shared" ref="P1723:Q1725" si="1933">P33</f>
        <v>102.14762937574527</v>
      </c>
      <c r="Q1723" s="1">
        <f t="shared" si="1933"/>
        <v>100.62787491881939</v>
      </c>
      <c r="S1723" s="3"/>
    </row>
    <row r="1724" spans="2:19" x14ac:dyDescent="0.5">
      <c r="B1724" t="str">
        <f t="shared" si="1918"/>
        <v>SPS1</v>
      </c>
      <c r="C1724" t="str">
        <f t="shared" si="1919"/>
        <v>CH</v>
      </c>
      <c r="D1724" t="s">
        <v>1750</v>
      </c>
      <c r="E1724" t="str">
        <f t="shared" si="1920"/>
        <v>PJ/yr.</v>
      </c>
      <c r="F1724" s="1">
        <f t="shared" si="1931"/>
        <v>2.2854493520167836</v>
      </c>
      <c r="G1724" s="1">
        <f t="shared" si="1931"/>
        <v>2.377997087322659</v>
      </c>
      <c r="H1724" s="1">
        <f t="shared" si="1931"/>
        <v>4.0197003615604494</v>
      </c>
      <c r="I1724" s="1">
        <f t="shared" si="1931"/>
        <v>4.5237174316840054</v>
      </c>
      <c r="J1724" s="1">
        <f t="shared" si="1931"/>
        <v>4.464722100174189</v>
      </c>
      <c r="K1724" s="1">
        <f t="shared" si="1931"/>
        <v>4.4628728846980934</v>
      </c>
      <c r="L1724" s="1">
        <f t="shared" ref="L1724:O1724" si="1934">L34</f>
        <v>4.5237174316840054</v>
      </c>
      <c r="M1724" s="1">
        <f t="shared" si="1934"/>
        <v>5.3739273452021479</v>
      </c>
      <c r="N1724" s="1">
        <f t="shared" si="1934"/>
        <v>7.4694575182480492</v>
      </c>
      <c r="O1724" s="1">
        <f t="shared" si="1934"/>
        <v>5.3888503633581877</v>
      </c>
      <c r="P1724" s="1">
        <f t="shared" si="1933"/>
        <v>4.8191387508062746</v>
      </c>
      <c r="Q1724" s="1">
        <f t="shared" si="1933"/>
        <v>1.8931155065920677</v>
      </c>
      <c r="S1724" s="3"/>
    </row>
    <row r="1725" spans="2:19" x14ac:dyDescent="0.5">
      <c r="B1725" t="str">
        <f t="shared" si="1918"/>
        <v>SPS1</v>
      </c>
      <c r="C1725" t="str">
        <f t="shared" si="1919"/>
        <v>CH</v>
      </c>
      <c r="D1725" t="s">
        <v>1751</v>
      </c>
      <c r="E1725" t="str">
        <f t="shared" si="1920"/>
        <v>PJ/yr.</v>
      </c>
      <c r="F1725" s="1">
        <f t="shared" si="1931"/>
        <v>4.4341500926398894</v>
      </c>
      <c r="G1725" s="1">
        <f t="shared" si="1931"/>
        <v>4.3986149800311409</v>
      </c>
      <c r="H1725" s="1">
        <f t="shared" si="1931"/>
        <v>4.3997883678972567</v>
      </c>
      <c r="I1725" s="1">
        <f t="shared" si="1931"/>
        <v>2.8018386412727039</v>
      </c>
      <c r="J1725" s="1">
        <f t="shared" si="1931"/>
        <v>1.3261204282284802</v>
      </c>
      <c r="K1725" s="1">
        <f t="shared" si="1931"/>
        <v>0.58401069422617224</v>
      </c>
      <c r="L1725" s="1">
        <f t="shared" ref="L1725:O1725" si="1935">L35</f>
        <v>4.3997883678972567</v>
      </c>
      <c r="M1725" s="1">
        <f t="shared" si="1935"/>
        <v>1.9864887614102926</v>
      </c>
      <c r="N1725" s="1">
        <f t="shared" si="1935"/>
        <v>1.3027683352127579</v>
      </c>
      <c r="O1725" s="1">
        <f t="shared" si="1935"/>
        <v>1.1739764653971603</v>
      </c>
      <c r="P1725" s="1">
        <f t="shared" si="1933"/>
        <v>1.0719830904542269</v>
      </c>
      <c r="Q1725" s="1">
        <f t="shared" si="1933"/>
        <v>0.91102408939170598</v>
      </c>
      <c r="S1725" s="3"/>
    </row>
    <row r="1726" spans="2:19" x14ac:dyDescent="0.5">
      <c r="B1726" t="str">
        <f t="shared" si="1918"/>
        <v>SPS1</v>
      </c>
      <c r="C1726" t="str">
        <f t="shared" si="1919"/>
        <v>CH</v>
      </c>
      <c r="D1726" t="s">
        <v>1752</v>
      </c>
      <c r="E1726" t="str">
        <f t="shared" si="1920"/>
        <v>PJ/yr.</v>
      </c>
      <c r="F1726" s="1">
        <f t="shared" ref="F1726:K1739" si="1936">F37</f>
        <v>0</v>
      </c>
      <c r="G1726" s="1">
        <f t="shared" si="1936"/>
        <v>0</v>
      </c>
      <c r="H1726" s="1">
        <f t="shared" si="1936"/>
        <v>0</v>
      </c>
      <c r="I1726" s="1">
        <f t="shared" si="1936"/>
        <v>0</v>
      </c>
      <c r="J1726" s="1">
        <f t="shared" si="1936"/>
        <v>13.182818777135367</v>
      </c>
      <c r="K1726" s="1">
        <f t="shared" si="1936"/>
        <v>20.333959142087867</v>
      </c>
      <c r="L1726" s="1">
        <f t="shared" ref="L1726:O1726" si="1937">L37</f>
        <v>30.827366711097572</v>
      </c>
      <c r="M1726" s="1">
        <f t="shared" si="1937"/>
        <v>35.395784338693247</v>
      </c>
      <c r="N1726" s="1">
        <f t="shared" si="1937"/>
        <v>0</v>
      </c>
      <c r="O1726" s="1">
        <f t="shared" si="1937"/>
        <v>0.71252315124216636</v>
      </c>
      <c r="P1726" s="1">
        <f t="shared" ref="P1726:Q1739" si="1938">P37</f>
        <v>1.5672277883508485</v>
      </c>
      <c r="Q1726" s="1">
        <f t="shared" si="1938"/>
        <v>1.5793309038765102</v>
      </c>
      <c r="S1726" s="3"/>
    </row>
    <row r="1727" spans="2:19" x14ac:dyDescent="0.5">
      <c r="B1727" t="str">
        <f t="shared" si="1918"/>
        <v>SPS1</v>
      </c>
      <c r="C1727" t="str">
        <f t="shared" si="1919"/>
        <v>CH</v>
      </c>
      <c r="D1727" t="s">
        <v>1753</v>
      </c>
      <c r="E1727" t="str">
        <f t="shared" si="1920"/>
        <v>PJ/yr.</v>
      </c>
      <c r="F1727" s="1">
        <f t="shared" si="1936"/>
        <v>0</v>
      </c>
      <c r="G1727" s="1">
        <f t="shared" si="1936"/>
        <v>0</v>
      </c>
      <c r="H1727" s="1">
        <f t="shared" si="1936"/>
        <v>0</v>
      </c>
      <c r="I1727" s="1">
        <f t="shared" si="1936"/>
        <v>0</v>
      </c>
      <c r="J1727" s="1">
        <f t="shared" si="1936"/>
        <v>0</v>
      </c>
      <c r="K1727" s="1">
        <f t="shared" si="1936"/>
        <v>0</v>
      </c>
      <c r="L1727" s="1">
        <f t="shared" ref="L1727:O1727" si="1939">L38</f>
        <v>0.85020991351814246</v>
      </c>
      <c r="M1727" s="1">
        <f t="shared" si="1939"/>
        <v>8.5191110955766334</v>
      </c>
      <c r="N1727" s="1">
        <f t="shared" si="1939"/>
        <v>0</v>
      </c>
      <c r="O1727" s="1">
        <f t="shared" si="1939"/>
        <v>0</v>
      </c>
      <c r="P1727" s="1">
        <f t="shared" si="1938"/>
        <v>0</v>
      </c>
      <c r="Q1727" s="1">
        <f t="shared" si="1938"/>
        <v>0</v>
      </c>
      <c r="S1727" s="3"/>
    </row>
    <row r="1728" spans="2:19" x14ac:dyDescent="0.5">
      <c r="B1728" t="str">
        <f t="shared" si="1918"/>
        <v>SPS1</v>
      </c>
      <c r="C1728" t="str">
        <f t="shared" si="1919"/>
        <v>CH</v>
      </c>
      <c r="D1728" t="s">
        <v>1754</v>
      </c>
      <c r="E1728" t="str">
        <f t="shared" si="1920"/>
        <v>PJ/yr.</v>
      </c>
      <c r="F1728" s="1">
        <f t="shared" si="1936"/>
        <v>0</v>
      </c>
      <c r="G1728" s="1">
        <f t="shared" si="1936"/>
        <v>0</v>
      </c>
      <c r="H1728" s="1">
        <f t="shared" si="1936"/>
        <v>0</v>
      </c>
      <c r="I1728" s="1">
        <f t="shared" si="1936"/>
        <v>0</v>
      </c>
      <c r="J1728" s="1">
        <f t="shared" si="1936"/>
        <v>0</v>
      </c>
      <c r="K1728" s="1">
        <f t="shared" si="1936"/>
        <v>0</v>
      </c>
      <c r="L1728" s="1">
        <f t="shared" ref="L1728:O1728" si="1940">L39</f>
        <v>0.15729144293269215</v>
      </c>
      <c r="M1728" s="1">
        <f t="shared" si="1940"/>
        <v>0</v>
      </c>
      <c r="N1728" s="1">
        <f t="shared" si="1940"/>
        <v>0</v>
      </c>
      <c r="O1728" s="1">
        <f t="shared" si="1940"/>
        <v>0</v>
      </c>
      <c r="P1728" s="1">
        <f t="shared" si="1938"/>
        <v>0</v>
      </c>
      <c r="Q1728" s="1">
        <f t="shared" si="1938"/>
        <v>0</v>
      </c>
      <c r="S1728" s="3"/>
    </row>
    <row r="1729" spans="2:19" x14ac:dyDescent="0.5">
      <c r="B1729" t="str">
        <f t="shared" si="1918"/>
        <v>SPS1</v>
      </c>
      <c r="C1729" t="str">
        <f t="shared" si="1919"/>
        <v>CH</v>
      </c>
      <c r="D1729" t="s">
        <v>1755</v>
      </c>
      <c r="E1729" t="str">
        <f t="shared" si="1920"/>
        <v>PJ/yr.</v>
      </c>
      <c r="F1729" s="1">
        <f t="shared" si="1936"/>
        <v>0</v>
      </c>
      <c r="G1729" s="1">
        <f t="shared" si="1936"/>
        <v>0</v>
      </c>
      <c r="H1729" s="1">
        <f t="shared" si="1936"/>
        <v>0</v>
      </c>
      <c r="I1729" s="1">
        <f t="shared" si="1936"/>
        <v>0</v>
      </c>
      <c r="J1729" s="1">
        <f t="shared" si="1936"/>
        <v>13.182818777135367</v>
      </c>
      <c r="K1729" s="1">
        <f t="shared" si="1936"/>
        <v>20.333959142087867</v>
      </c>
      <c r="L1729" s="1">
        <f t="shared" ref="L1729:O1729" si="1941">L40</f>
        <v>29.819865354646737</v>
      </c>
      <c r="M1729" s="1">
        <f t="shared" si="1941"/>
        <v>26.876673243116613</v>
      </c>
      <c r="N1729" s="1">
        <f t="shared" si="1941"/>
        <v>0</v>
      </c>
      <c r="O1729" s="1">
        <f t="shared" si="1941"/>
        <v>0.71252315124216636</v>
      </c>
      <c r="P1729" s="1">
        <f t="shared" si="1938"/>
        <v>1.5672277883508485</v>
      </c>
      <c r="Q1729" s="1">
        <f t="shared" si="1938"/>
        <v>1.5793309038765102</v>
      </c>
      <c r="S1729" s="3"/>
    </row>
    <row r="1730" spans="2:19" x14ac:dyDescent="0.5">
      <c r="B1730" t="str">
        <f t="shared" si="1918"/>
        <v>SPS1</v>
      </c>
      <c r="C1730" t="str">
        <f t="shared" si="1919"/>
        <v>CH</v>
      </c>
      <c r="D1730" t="s">
        <v>1756</v>
      </c>
      <c r="E1730" t="str">
        <f t="shared" si="1920"/>
        <v>PJ/yr.</v>
      </c>
      <c r="F1730" s="1">
        <f t="shared" si="1936"/>
        <v>117.02214309978052</v>
      </c>
      <c r="G1730" s="1">
        <f t="shared" si="1936"/>
        <v>107.23650060008885</v>
      </c>
      <c r="H1730" s="1">
        <f t="shared" si="1936"/>
        <v>113.20269652541485</v>
      </c>
      <c r="I1730" s="1">
        <f t="shared" si="1936"/>
        <v>109.99426752549738</v>
      </c>
      <c r="J1730" s="1">
        <f t="shared" si="1936"/>
        <v>97.971280990002811</v>
      </c>
      <c r="K1730" s="1">
        <f t="shared" si="1936"/>
        <v>99.347276935313204</v>
      </c>
      <c r="L1730" s="1">
        <f t="shared" ref="L1730:O1730" si="1942">L41</f>
        <v>85.811461303943219</v>
      </c>
      <c r="M1730" s="1">
        <f t="shared" si="1942"/>
        <v>44.340545440620019</v>
      </c>
      <c r="N1730" s="1">
        <f t="shared" si="1942"/>
        <v>31.420282054672462</v>
      </c>
      <c r="O1730" s="1">
        <f t="shared" si="1942"/>
        <v>35.21679644603072</v>
      </c>
      <c r="P1730" s="1">
        <f t="shared" si="1938"/>
        <v>39.355143593728457</v>
      </c>
      <c r="Q1730" s="1">
        <f t="shared" si="1938"/>
        <v>41.173956096959976</v>
      </c>
      <c r="S1730" s="3"/>
    </row>
    <row r="1731" spans="2:19" x14ac:dyDescent="0.5">
      <c r="B1731" t="str">
        <f t="shared" si="1918"/>
        <v>SPS1</v>
      </c>
      <c r="C1731" t="str">
        <f t="shared" si="1919"/>
        <v>CH</v>
      </c>
      <c r="D1731" t="s">
        <v>1757</v>
      </c>
      <c r="E1731" t="str">
        <f t="shared" si="1920"/>
        <v>PJ/yr.</v>
      </c>
      <c r="F1731" s="1">
        <f t="shared" si="1936"/>
        <v>117.02214309978052</v>
      </c>
      <c r="G1731" s="1">
        <f t="shared" si="1936"/>
        <v>106.72000036986759</v>
      </c>
      <c r="H1731" s="1">
        <f t="shared" si="1936"/>
        <v>112.03555507471447</v>
      </c>
      <c r="I1731" s="1">
        <f t="shared" si="1936"/>
        <v>105.62750955198365</v>
      </c>
      <c r="J1731" s="1">
        <f t="shared" si="1936"/>
        <v>92.041779859627297</v>
      </c>
      <c r="K1731" s="1">
        <f t="shared" si="1936"/>
        <v>91.119583199691647</v>
      </c>
      <c r="L1731" s="1">
        <f t="shared" ref="L1731:O1731" si="1943">L42</f>
        <v>74.207450914652782</v>
      </c>
      <c r="M1731" s="1">
        <f t="shared" si="1943"/>
        <v>27.775893973264321</v>
      </c>
      <c r="N1731" s="1">
        <f t="shared" si="1943"/>
        <v>7.5671826911839801</v>
      </c>
      <c r="O1731" s="1">
        <f t="shared" si="1943"/>
        <v>2.8309847025674197</v>
      </c>
      <c r="P1731" s="1">
        <f t="shared" si="1938"/>
        <v>1.7987827623304833</v>
      </c>
      <c r="Q1731" s="1">
        <f t="shared" si="1938"/>
        <v>6.6456295767210643E-3</v>
      </c>
      <c r="S1731" s="3"/>
    </row>
    <row r="1732" spans="2:19" x14ac:dyDescent="0.5">
      <c r="B1732" t="str">
        <f t="shared" si="1918"/>
        <v>SPS1</v>
      </c>
      <c r="C1732" t="str">
        <f t="shared" si="1919"/>
        <v>CH</v>
      </c>
      <c r="D1732" t="s">
        <v>1758</v>
      </c>
      <c r="E1732" t="str">
        <f t="shared" si="1920"/>
        <v>PJ/yr.</v>
      </c>
      <c r="F1732" s="1">
        <f t="shared" si="1936"/>
        <v>117.02214309978052</v>
      </c>
      <c r="G1732" s="1">
        <f t="shared" si="1936"/>
        <v>106.72000036986759</v>
      </c>
      <c r="H1732" s="1">
        <f t="shared" si="1936"/>
        <v>112.03555507471447</v>
      </c>
      <c r="I1732" s="1">
        <f t="shared" si="1936"/>
        <v>105.62715434040136</v>
      </c>
      <c r="J1732" s="1">
        <f t="shared" si="1936"/>
        <v>92.040410439736192</v>
      </c>
      <c r="K1732" s="1">
        <f t="shared" si="1936"/>
        <v>91.118716356175369</v>
      </c>
      <c r="L1732" s="1">
        <f t="shared" ref="L1732:O1732" si="1944">L43</f>
        <v>74.206848820937779</v>
      </c>
      <c r="M1732" s="1">
        <f t="shared" si="1944"/>
        <v>27.775405035098963</v>
      </c>
      <c r="N1732" s="1">
        <f t="shared" si="1944"/>
        <v>7.5665043891983572</v>
      </c>
      <c r="O1732" s="1">
        <f t="shared" si="1944"/>
        <v>2.8274550878010878</v>
      </c>
      <c r="P1732" s="1">
        <f t="shared" si="1938"/>
        <v>1.7961803982808688</v>
      </c>
      <c r="Q1732" s="1">
        <f t="shared" si="1938"/>
        <v>3.1654035029804154E-3</v>
      </c>
      <c r="S1732" s="3"/>
    </row>
    <row r="1733" spans="2:19" x14ac:dyDescent="0.5">
      <c r="B1733" t="str">
        <f t="shared" si="1918"/>
        <v>SPS1</v>
      </c>
      <c r="C1733" t="str">
        <f t="shared" si="1919"/>
        <v>CH</v>
      </c>
      <c r="D1733" t="s">
        <v>1759</v>
      </c>
      <c r="E1733" t="str">
        <f t="shared" si="1920"/>
        <v>PJ/yr.</v>
      </c>
      <c r="F1733" s="1">
        <f t="shared" si="1936"/>
        <v>0</v>
      </c>
      <c r="G1733" s="1">
        <f t="shared" si="1936"/>
        <v>0</v>
      </c>
      <c r="H1733" s="1">
        <f t="shared" si="1936"/>
        <v>0</v>
      </c>
      <c r="I1733" s="1">
        <f t="shared" si="1936"/>
        <v>3.5521158228773514E-4</v>
      </c>
      <c r="J1733" s="1">
        <f t="shared" si="1936"/>
        <v>1.3694198911072901E-3</v>
      </c>
      <c r="K1733" s="1">
        <f t="shared" si="1936"/>
        <v>8.6684351627615741E-4</v>
      </c>
      <c r="L1733" s="1">
        <f t="shared" ref="L1733:O1733" si="1945">L44</f>
        <v>6.0209371500042643E-4</v>
      </c>
      <c r="M1733" s="1">
        <f t="shared" si="1945"/>
        <v>4.8893816535909216E-4</v>
      </c>
      <c r="N1733" s="1">
        <f t="shared" si="1945"/>
        <v>6.7830198562312746E-4</v>
      </c>
      <c r="O1733" s="1">
        <f t="shared" si="1945"/>
        <v>3.5296147663317909E-3</v>
      </c>
      <c r="P1733" s="1">
        <f t="shared" si="1938"/>
        <v>2.6023640496144894E-3</v>
      </c>
      <c r="Q1733" s="1">
        <f t="shared" si="1938"/>
        <v>3.4802260737406489E-3</v>
      </c>
      <c r="S1733" s="3"/>
    </row>
    <row r="1734" spans="2:19" x14ac:dyDescent="0.5">
      <c r="B1734" t="str">
        <f t="shared" si="1918"/>
        <v>SPS1</v>
      </c>
      <c r="C1734" t="str">
        <f t="shared" si="1919"/>
        <v>CH</v>
      </c>
      <c r="D1734" t="s">
        <v>1760</v>
      </c>
      <c r="E1734" t="str">
        <f t="shared" si="1920"/>
        <v>PJ/yr.</v>
      </c>
      <c r="F1734" s="1">
        <f t="shared" si="1936"/>
        <v>0</v>
      </c>
      <c r="G1734" s="1">
        <f t="shared" si="1936"/>
        <v>0.51650023022125924</v>
      </c>
      <c r="H1734" s="1">
        <f t="shared" si="1936"/>
        <v>1.1671414507003803</v>
      </c>
      <c r="I1734" s="1">
        <f t="shared" si="1936"/>
        <v>4.3667579735137281</v>
      </c>
      <c r="J1734" s="1">
        <f t="shared" si="1936"/>
        <v>5.9295011303755096</v>
      </c>
      <c r="K1734" s="1">
        <f t="shared" si="1936"/>
        <v>8.2276937356215587</v>
      </c>
      <c r="L1734" s="1">
        <f t="shared" ref="L1734:O1734" si="1946">L45</f>
        <v>11.604010389290444</v>
      </c>
      <c r="M1734" s="1">
        <f t="shared" si="1946"/>
        <v>16.564651467355699</v>
      </c>
      <c r="N1734" s="1">
        <f t="shared" si="1946"/>
        <v>23.853099363488482</v>
      </c>
      <c r="O1734" s="1">
        <f t="shared" si="1946"/>
        <v>32.3858117434633</v>
      </c>
      <c r="P1734" s="1">
        <f t="shared" si="1938"/>
        <v>37.556360831397974</v>
      </c>
      <c r="Q1734" s="1">
        <f t="shared" si="1938"/>
        <v>41.167310467383253</v>
      </c>
      <c r="S1734" s="3"/>
    </row>
    <row r="1735" spans="2:19" x14ac:dyDescent="0.5">
      <c r="B1735" t="str">
        <f t="shared" si="1918"/>
        <v>SPS1</v>
      </c>
      <c r="C1735" t="str">
        <f t="shared" si="1919"/>
        <v>CH</v>
      </c>
      <c r="D1735" t="s">
        <v>1761</v>
      </c>
      <c r="E1735" t="str">
        <f t="shared" si="1920"/>
        <v>PJ/yr.</v>
      </c>
      <c r="F1735" s="1">
        <f t="shared" si="1936"/>
        <v>0</v>
      </c>
      <c r="G1735" s="1">
        <f t="shared" si="1936"/>
        <v>0.51650023022125924</v>
      </c>
      <c r="H1735" s="1">
        <f t="shared" si="1936"/>
        <v>1.1671414507003803</v>
      </c>
      <c r="I1735" s="1">
        <f t="shared" si="1936"/>
        <v>4.3667579735137281</v>
      </c>
      <c r="J1735" s="1">
        <f t="shared" si="1936"/>
        <v>4.3667579735137281</v>
      </c>
      <c r="K1735" s="1">
        <f t="shared" si="1936"/>
        <v>5.9295011303755096</v>
      </c>
      <c r="L1735" s="1">
        <f t="shared" ref="L1735:O1735" si="1947">L46</f>
        <v>8.2276937356215587</v>
      </c>
      <c r="M1735" s="1">
        <f t="shared" si="1947"/>
        <v>11.604010389290444</v>
      </c>
      <c r="N1735" s="1">
        <f t="shared" si="1947"/>
        <v>16.564651467355699</v>
      </c>
      <c r="O1735" s="1">
        <f t="shared" si="1947"/>
        <v>23.853099363488482</v>
      </c>
      <c r="P1735" s="1">
        <f t="shared" si="1938"/>
        <v>32.3858117434633</v>
      </c>
      <c r="Q1735" s="1">
        <f t="shared" si="1938"/>
        <v>37.556360831397974</v>
      </c>
      <c r="S1735" s="3"/>
    </row>
    <row r="1736" spans="2:19" x14ac:dyDescent="0.5">
      <c r="B1736" t="str">
        <f t="shared" si="1918"/>
        <v>SPS1</v>
      </c>
      <c r="C1736" t="str">
        <f t="shared" si="1919"/>
        <v>CH</v>
      </c>
      <c r="D1736" t="s">
        <v>1762</v>
      </c>
      <c r="E1736" t="str">
        <f t="shared" si="1920"/>
        <v>PJ/yr.</v>
      </c>
      <c r="F1736" s="1">
        <f t="shared" si="1936"/>
        <v>0</v>
      </c>
      <c r="G1736" s="1">
        <f t="shared" si="1936"/>
        <v>0.51650023022125924</v>
      </c>
      <c r="H1736" s="1">
        <f t="shared" si="1936"/>
        <v>1.1671414507003803</v>
      </c>
      <c r="I1736" s="1">
        <f t="shared" si="1936"/>
        <v>4.3667579735137281</v>
      </c>
      <c r="J1736" s="1">
        <f t="shared" si="1936"/>
        <v>4.3667579735137281</v>
      </c>
      <c r="K1736" s="1">
        <f t="shared" si="1936"/>
        <v>5.9295011303755096</v>
      </c>
      <c r="L1736" s="1">
        <f t="shared" ref="L1736:O1736" si="1948">L47</f>
        <v>8.2276937356215587</v>
      </c>
      <c r="M1736" s="1">
        <f t="shared" si="1948"/>
        <v>11.604010389290444</v>
      </c>
      <c r="N1736" s="1">
        <f t="shared" si="1948"/>
        <v>16.564651467355699</v>
      </c>
      <c r="O1736" s="1">
        <f t="shared" si="1948"/>
        <v>23.853099363488482</v>
      </c>
      <c r="P1736" s="1">
        <f t="shared" si="1938"/>
        <v>32.3858117434633</v>
      </c>
      <c r="Q1736" s="1">
        <f t="shared" si="1938"/>
        <v>37.556360831397974</v>
      </c>
      <c r="S1736" s="3"/>
    </row>
    <row r="1737" spans="2:19" x14ac:dyDescent="0.5">
      <c r="B1737" t="str">
        <f t="shared" si="1918"/>
        <v>SPS1</v>
      </c>
      <c r="C1737" t="str">
        <f t="shared" si="1919"/>
        <v>CH</v>
      </c>
      <c r="D1737" t="s">
        <v>1763</v>
      </c>
      <c r="E1737" t="str">
        <f t="shared" si="1920"/>
        <v>PJ/yr.</v>
      </c>
      <c r="F1737" s="1">
        <f t="shared" si="1936"/>
        <v>0</v>
      </c>
      <c r="G1737" s="1">
        <f t="shared" si="1936"/>
        <v>0</v>
      </c>
      <c r="H1737" s="1">
        <f t="shared" si="1936"/>
        <v>0</v>
      </c>
      <c r="I1737" s="1">
        <f t="shared" si="1936"/>
        <v>0</v>
      </c>
      <c r="J1737" s="1">
        <f t="shared" si="1936"/>
        <v>1.5627431568617816</v>
      </c>
      <c r="K1737" s="1">
        <f t="shared" si="1936"/>
        <v>2.2981926052460491</v>
      </c>
      <c r="L1737" s="1">
        <f t="shared" ref="L1737:O1737" si="1949">L48</f>
        <v>3.3763166536688853</v>
      </c>
      <c r="M1737" s="1">
        <f t="shared" si="1949"/>
        <v>4.9606410780652546</v>
      </c>
      <c r="N1737" s="1">
        <f t="shared" si="1949"/>
        <v>7.2884478961327837</v>
      </c>
      <c r="O1737" s="1">
        <f t="shared" si="1949"/>
        <v>8.5327123799748179</v>
      </c>
      <c r="P1737" s="1">
        <f t="shared" si="1938"/>
        <v>5.170549087934674</v>
      </c>
      <c r="Q1737" s="1">
        <f t="shared" si="1938"/>
        <v>3.6109496359852784</v>
      </c>
      <c r="S1737" s="3"/>
    </row>
    <row r="1738" spans="2:19" x14ac:dyDescent="0.5">
      <c r="B1738" t="str">
        <f t="shared" si="1918"/>
        <v>SPS1</v>
      </c>
      <c r="C1738" t="str">
        <f t="shared" si="1919"/>
        <v>CH</v>
      </c>
      <c r="D1738" t="s">
        <v>1764</v>
      </c>
      <c r="E1738" t="str">
        <f t="shared" si="1920"/>
        <v>PJ/yr.</v>
      </c>
      <c r="F1738" s="1">
        <f t="shared" si="1936"/>
        <v>0</v>
      </c>
      <c r="G1738" s="1">
        <f t="shared" si="1936"/>
        <v>0</v>
      </c>
      <c r="H1738" s="1">
        <f t="shared" si="1936"/>
        <v>0</v>
      </c>
      <c r="I1738" s="1">
        <f t="shared" si="1936"/>
        <v>0</v>
      </c>
      <c r="J1738" s="1">
        <f t="shared" si="1936"/>
        <v>1.5627431568617816</v>
      </c>
      <c r="K1738" s="1">
        <f t="shared" si="1936"/>
        <v>2.2981926052460491</v>
      </c>
      <c r="L1738" s="1">
        <f t="shared" ref="L1738:O1738" si="1950">L49</f>
        <v>3.3763166536688853</v>
      </c>
      <c r="M1738" s="1">
        <f t="shared" si="1950"/>
        <v>4.9606410780652546</v>
      </c>
      <c r="N1738" s="1">
        <f t="shared" si="1950"/>
        <v>7.2884478961327837</v>
      </c>
      <c r="O1738" s="1">
        <f t="shared" si="1950"/>
        <v>8.5327123799748179</v>
      </c>
      <c r="P1738" s="1">
        <f t="shared" si="1938"/>
        <v>5.170549087934674</v>
      </c>
      <c r="Q1738" s="1">
        <f t="shared" si="1938"/>
        <v>3.6109496359852784</v>
      </c>
      <c r="S1738" s="3"/>
    </row>
    <row r="1739" spans="2:19" x14ac:dyDescent="0.5">
      <c r="B1739" t="str">
        <f t="shared" si="1918"/>
        <v>SPS1</v>
      </c>
      <c r="C1739" t="str">
        <f t="shared" si="1919"/>
        <v>CH</v>
      </c>
      <c r="D1739" t="s">
        <v>1765</v>
      </c>
      <c r="E1739" t="str">
        <f t="shared" si="1920"/>
        <v>PJ/yr.</v>
      </c>
      <c r="F1739" s="1">
        <f t="shared" si="1936"/>
        <v>250.94818047858206</v>
      </c>
      <c r="G1739" s="1">
        <f t="shared" si="1936"/>
        <v>254.39245084282283</v>
      </c>
      <c r="H1739" s="1">
        <f t="shared" si="1936"/>
        <v>224.18651727165297</v>
      </c>
      <c r="I1739" s="1">
        <f t="shared" si="1936"/>
        <v>221.53741709702854</v>
      </c>
      <c r="J1739" s="1">
        <f t="shared" si="1936"/>
        <v>190.48232501039533</v>
      </c>
      <c r="K1739" s="1">
        <f t="shared" si="1936"/>
        <v>100.03205193756989</v>
      </c>
      <c r="L1739" s="1">
        <f t="shared" ref="L1739:O1739" si="1951">L50</f>
        <v>0</v>
      </c>
      <c r="M1739" s="1">
        <f t="shared" si="1951"/>
        <v>0</v>
      </c>
      <c r="N1739" s="1">
        <f t="shared" si="1951"/>
        <v>50.720508217805836</v>
      </c>
      <c r="O1739" s="1">
        <f t="shared" si="1951"/>
        <v>111.87545287452093</v>
      </c>
      <c r="P1739" s="1">
        <f t="shared" si="1938"/>
        <v>112.12350870515093</v>
      </c>
      <c r="Q1739" s="1">
        <f t="shared" si="1938"/>
        <v>112.18734343512277</v>
      </c>
      <c r="S1739" s="3"/>
    </row>
    <row r="1740" spans="2:19" x14ac:dyDescent="0.5">
      <c r="B1740" t="str">
        <f t="shared" si="1918"/>
        <v>SPS1</v>
      </c>
      <c r="C1740" t="str">
        <f t="shared" si="1919"/>
        <v>CH</v>
      </c>
      <c r="D1740" t="s">
        <v>1766</v>
      </c>
      <c r="E1740" t="str">
        <f t="shared" si="1920"/>
        <v>PJ/yr.</v>
      </c>
      <c r="F1740" s="1">
        <f>-F58+F51</f>
        <v>-20.01000085893341</v>
      </c>
      <c r="G1740" s="1">
        <f t="shared" ref="G1740:K1740" si="1952">-G58+G51</f>
        <v>14.641154851446963</v>
      </c>
      <c r="H1740" s="1">
        <f t="shared" si="1952"/>
        <v>-13.978768144866635</v>
      </c>
      <c r="I1740" s="1">
        <f t="shared" si="1952"/>
        <v>-23.86631943004479</v>
      </c>
      <c r="J1740" s="1">
        <f t="shared" si="1952"/>
        <v>-8.4323317125006767</v>
      </c>
      <c r="K1740" s="1">
        <f t="shared" si="1952"/>
        <v>19.474144229420681</v>
      </c>
      <c r="L1740" s="1">
        <f t="shared" ref="L1740:O1740" si="1953">-L58+L51</f>
        <v>46.490884155390205</v>
      </c>
      <c r="M1740" s="1">
        <f t="shared" si="1953"/>
        <v>55.199650786214683</v>
      </c>
      <c r="N1740" s="1">
        <f t="shared" si="1953"/>
        <v>45.50208616203679</v>
      </c>
      <c r="O1740" s="1">
        <f t="shared" si="1953"/>
        <v>22.281133446754446</v>
      </c>
      <c r="P1740" s="1">
        <f>-P58+P51</f>
        <v>20.112277162418046</v>
      </c>
      <c r="Q1740" s="1">
        <f>-Q58+Q51</f>
        <v>17.303252403154296</v>
      </c>
      <c r="S1740" s="3"/>
    </row>
    <row r="1741" spans="2:19" x14ac:dyDescent="0.5">
      <c r="B1741" t="str">
        <f t="shared" si="1918"/>
        <v>SPS1</v>
      </c>
      <c r="C1741" t="str">
        <f t="shared" si="1919"/>
        <v>CH</v>
      </c>
      <c r="D1741" t="s">
        <v>1767</v>
      </c>
      <c r="E1741" t="str">
        <f t="shared" si="1920"/>
        <v>PJ/yr.</v>
      </c>
      <c r="F1741" s="1">
        <f t="shared" ref="F1741:K1741" si="1954">F56</f>
        <v>0</v>
      </c>
      <c r="G1741" s="1">
        <f t="shared" si="1954"/>
        <v>0</v>
      </c>
      <c r="H1741" s="1">
        <f t="shared" si="1954"/>
        <v>0</v>
      </c>
      <c r="I1741" s="1">
        <f t="shared" si="1954"/>
        <v>0</v>
      </c>
      <c r="J1741" s="1">
        <f t="shared" si="1954"/>
        <v>0</v>
      </c>
      <c r="K1741" s="1">
        <f t="shared" si="1954"/>
        <v>5.4832120619479729</v>
      </c>
      <c r="L1741" s="1">
        <f t="shared" ref="L1741:O1741" si="1955">L56</f>
        <v>9.2130894171516964</v>
      </c>
      <c r="M1741" s="1">
        <f t="shared" si="1955"/>
        <v>9.983166329304618</v>
      </c>
      <c r="N1741" s="1">
        <f t="shared" si="1955"/>
        <v>6.7781602497908251</v>
      </c>
      <c r="O1741" s="1">
        <f t="shared" si="1955"/>
        <v>5.0933526685761707</v>
      </c>
      <c r="P1741" s="1">
        <f>P56</f>
        <v>5.1804148504070104</v>
      </c>
      <c r="Q1741" s="1">
        <f>Q56</f>
        <v>5.0701936112871593</v>
      </c>
      <c r="S1741" s="3"/>
    </row>
    <row r="1742" spans="2:19" x14ac:dyDescent="0.5">
      <c r="B1742" t="str">
        <f t="shared" si="1918"/>
        <v>SPS1</v>
      </c>
      <c r="C1742" t="str">
        <f t="shared" si="1919"/>
        <v>CH</v>
      </c>
      <c r="D1742" t="s">
        <v>1769</v>
      </c>
      <c r="E1742" t="str">
        <f t="shared" ref="E1742:K1751" si="1956">E3</f>
        <v>PJ/yr.</v>
      </c>
      <c r="F1742" s="1">
        <f t="shared" si="1956"/>
        <v>44.9724286347072</v>
      </c>
      <c r="G1742" s="1">
        <f t="shared" si="1956"/>
        <v>48.190467520930497</v>
      </c>
      <c r="H1742" s="1">
        <f t="shared" si="1956"/>
        <v>48.190468987438884</v>
      </c>
      <c r="I1742" s="1">
        <f t="shared" si="1956"/>
        <v>48.190469215360935</v>
      </c>
      <c r="J1742" s="1">
        <f t="shared" si="1956"/>
        <v>48.190488661714433</v>
      </c>
      <c r="K1742" s="1">
        <f t="shared" si="1956"/>
        <v>48.190491717685092</v>
      </c>
      <c r="L1742" s="1">
        <f t="shared" ref="L1742:O1742" si="1957">L3</f>
        <v>48.956806193652611</v>
      </c>
      <c r="M1742" s="1">
        <f t="shared" si="1957"/>
        <v>62.702714889465298</v>
      </c>
      <c r="N1742" s="1">
        <f t="shared" si="1957"/>
        <v>62.761474925378032</v>
      </c>
      <c r="O1742" s="1">
        <f t="shared" si="1957"/>
        <v>62.761485136061239</v>
      </c>
      <c r="P1742" s="1">
        <f t="shared" ref="P1742:Q1758" si="1958">P3</f>
        <v>62.87901253139033</v>
      </c>
      <c r="Q1742" s="1">
        <f t="shared" si="1958"/>
        <v>62.879037077944218</v>
      </c>
      <c r="S1742" s="3"/>
    </row>
    <row r="1743" spans="2:19" x14ac:dyDescent="0.5">
      <c r="B1743" t="str">
        <f t="shared" si="1918"/>
        <v>SPS1</v>
      </c>
      <c r="C1743" t="str">
        <f t="shared" si="1919"/>
        <v>CH</v>
      </c>
      <c r="D1743" t="s">
        <v>1770</v>
      </c>
      <c r="E1743" t="str">
        <f t="shared" si="1956"/>
        <v>PJ/yr.</v>
      </c>
      <c r="F1743" s="1">
        <f t="shared" si="1956"/>
        <v>11.111876918233083</v>
      </c>
      <c r="G1743" s="1">
        <f t="shared" si="1956"/>
        <v>11.95288331854082</v>
      </c>
      <c r="H1743" s="1">
        <f t="shared" si="1956"/>
        <v>13.21439310009206</v>
      </c>
      <c r="I1743" s="1">
        <f t="shared" si="1956"/>
        <v>15.316910298980533</v>
      </c>
      <c r="J1743" s="1">
        <f t="shared" si="1956"/>
        <v>15.849139453469814</v>
      </c>
      <c r="K1743" s="1">
        <f t="shared" si="1956"/>
        <v>16.266396780148984</v>
      </c>
      <c r="L1743" s="1">
        <f t="shared" ref="L1743:O1743" si="1959">L4</f>
        <v>16.611696291498475</v>
      </c>
      <c r="M1743" s="1">
        <f t="shared" si="1959"/>
        <v>16.956995230791847</v>
      </c>
      <c r="N1743" s="1">
        <f t="shared" si="1959"/>
        <v>17.015762226591296</v>
      </c>
      <c r="O1743" s="1">
        <f t="shared" si="1959"/>
        <v>17.074528723796391</v>
      </c>
      <c r="P1743" s="1">
        <f t="shared" si="1958"/>
        <v>17.133296885001741</v>
      </c>
      <c r="Q1743" s="1">
        <f t="shared" si="1958"/>
        <v>17.192063460627846</v>
      </c>
      <c r="S1743" s="3"/>
    </row>
    <row r="1744" spans="2:19" x14ac:dyDescent="0.5">
      <c r="B1744" t="str">
        <f t="shared" si="1918"/>
        <v>SPS1</v>
      </c>
      <c r="C1744" t="str">
        <f t="shared" si="1919"/>
        <v>CH</v>
      </c>
      <c r="D1744" t="s">
        <v>1771</v>
      </c>
      <c r="E1744" t="str">
        <f t="shared" si="1956"/>
        <v>PJ/yr.</v>
      </c>
      <c r="F1744" s="1">
        <f t="shared" si="1956"/>
        <v>7.5116699479985565</v>
      </c>
      <c r="G1744" s="1">
        <f t="shared" si="1956"/>
        <v>7.5431410656438675</v>
      </c>
      <c r="H1744" s="1">
        <f t="shared" si="1956"/>
        <v>7.5903479099885791</v>
      </c>
      <c r="I1744" s="1">
        <f t="shared" si="1956"/>
        <v>7.6690268999086397</v>
      </c>
      <c r="J1744" s="1">
        <f t="shared" si="1956"/>
        <v>7.6690264885684378</v>
      </c>
      <c r="K1744" s="1">
        <f t="shared" si="1956"/>
        <v>7.6690268988915795</v>
      </c>
      <c r="L1744" s="1">
        <f t="shared" ref="L1744:O1744" si="1960">L5</f>
        <v>7.6690266591637117</v>
      </c>
      <c r="M1744" s="1">
        <f t="shared" si="1960"/>
        <v>7.6690278864046384</v>
      </c>
      <c r="N1744" s="1">
        <f t="shared" si="1960"/>
        <v>7.6690273318066291</v>
      </c>
      <c r="O1744" s="1">
        <f t="shared" si="1960"/>
        <v>7.6690264943643873</v>
      </c>
      <c r="P1744" s="1">
        <f t="shared" si="1958"/>
        <v>7.6690272388553646</v>
      </c>
      <c r="Q1744" s="1">
        <f t="shared" si="1958"/>
        <v>7.6690263582655973</v>
      </c>
      <c r="S1744" s="3"/>
    </row>
    <row r="1745" spans="2:19" x14ac:dyDescent="0.5">
      <c r="B1745" t="str">
        <f t="shared" si="1918"/>
        <v>SPS1</v>
      </c>
      <c r="C1745" t="str">
        <f t="shared" si="1919"/>
        <v>CH</v>
      </c>
      <c r="D1745" t="s">
        <v>1772</v>
      </c>
      <c r="E1745" t="str">
        <f t="shared" si="1956"/>
        <v>PJ/yr.</v>
      </c>
      <c r="F1745" s="1">
        <f t="shared" si="1956"/>
        <v>3.1682437064137372</v>
      </c>
      <c r="G1745" s="1">
        <f t="shared" si="1956"/>
        <v>3.4956714609878996</v>
      </c>
      <c r="H1745" s="1">
        <f t="shared" si="1956"/>
        <v>3.9868138229494146</v>
      </c>
      <c r="I1745" s="1">
        <f t="shared" si="1956"/>
        <v>4.8053858884244045</v>
      </c>
      <c r="J1745" s="1">
        <f t="shared" si="1956"/>
        <v>4.8053848756073005</v>
      </c>
      <c r="K1745" s="1">
        <f t="shared" si="1956"/>
        <v>4.8053853100090391</v>
      </c>
      <c r="L1745" s="1">
        <f t="shared" ref="L1745:O1745" si="1961">L6</f>
        <v>4.8053857899805399</v>
      </c>
      <c r="M1745" s="1">
        <f t="shared" si="1961"/>
        <v>4.8053872373697644</v>
      </c>
      <c r="N1745" s="1">
        <f t="shared" si="1961"/>
        <v>4.8053860925152279</v>
      </c>
      <c r="O1745" s="1">
        <f t="shared" si="1961"/>
        <v>4.8053855310420728</v>
      </c>
      <c r="P1745" s="1">
        <f t="shared" si="1958"/>
        <v>4.8053859402587902</v>
      </c>
      <c r="Q1745" s="1">
        <f t="shared" si="1958"/>
        <v>4.8053851663702405</v>
      </c>
      <c r="S1745" s="3"/>
    </row>
    <row r="1746" spans="2:19" x14ac:dyDescent="0.5">
      <c r="B1746" t="str">
        <f t="shared" si="1918"/>
        <v>SPS1</v>
      </c>
      <c r="C1746" t="str">
        <f t="shared" si="1919"/>
        <v>CH</v>
      </c>
      <c r="D1746" t="s">
        <v>1773</v>
      </c>
      <c r="E1746" t="str">
        <f t="shared" si="1956"/>
        <v>PJ/yr.</v>
      </c>
      <c r="F1746" s="1">
        <f t="shared" si="1956"/>
        <v>23.180638062061821</v>
      </c>
      <c r="G1746" s="1">
        <f t="shared" si="1956"/>
        <v>25.198771675757911</v>
      </c>
      <c r="H1746" s="1">
        <f t="shared" si="1956"/>
        <v>23.398914154408828</v>
      </c>
      <c r="I1746" s="1">
        <f t="shared" si="1956"/>
        <v>20.399146128047363</v>
      </c>
      <c r="J1746" s="1">
        <f t="shared" si="1956"/>
        <v>19.866937844068879</v>
      </c>
      <c r="K1746" s="1">
        <f t="shared" si="1956"/>
        <v>19.449682728635484</v>
      </c>
      <c r="L1746" s="1">
        <f t="shared" ref="L1746:O1746" si="1962">L7</f>
        <v>19.870697453009885</v>
      </c>
      <c r="M1746" s="1">
        <f t="shared" si="1962"/>
        <v>33.271304534899052</v>
      </c>
      <c r="N1746" s="1">
        <f t="shared" si="1962"/>
        <v>33.27129927446488</v>
      </c>
      <c r="O1746" s="1">
        <f t="shared" si="1962"/>
        <v>33.21254438685839</v>
      </c>
      <c r="P1746" s="1">
        <f t="shared" si="1958"/>
        <v>33.271302467274431</v>
      </c>
      <c r="Q1746" s="1">
        <f t="shared" si="1958"/>
        <v>33.212562092680535</v>
      </c>
      <c r="S1746" s="3"/>
    </row>
    <row r="1747" spans="2:19" x14ac:dyDescent="0.5">
      <c r="B1747" t="str">
        <f t="shared" si="1918"/>
        <v>SPS1</v>
      </c>
      <c r="C1747" t="str">
        <f t="shared" si="1919"/>
        <v>CH</v>
      </c>
      <c r="D1747" t="s">
        <v>1774</v>
      </c>
      <c r="E1747" t="str">
        <f t="shared" si="1956"/>
        <v>PJ/yr.</v>
      </c>
      <c r="F1747" s="1">
        <f t="shared" si="1956"/>
        <v>70.031498084180072</v>
      </c>
      <c r="G1747" s="1">
        <f t="shared" si="1956"/>
        <v>70.575274281251211</v>
      </c>
      <c r="H1747" s="1">
        <f t="shared" si="1956"/>
        <v>70.182345284610378</v>
      </c>
      <c r="I1747" s="1">
        <f t="shared" si="1956"/>
        <v>69.732865373229885</v>
      </c>
      <c r="J1747" s="1">
        <f t="shared" si="1956"/>
        <v>69.630492226842975</v>
      </c>
      <c r="K1747" s="1">
        <f t="shared" si="1956"/>
        <v>70.09654588831765</v>
      </c>
      <c r="L1747" s="1">
        <f t="shared" ref="L1747:O1747" si="1963">L8</f>
        <v>76.419720400020822</v>
      </c>
      <c r="M1747" s="1">
        <f t="shared" si="1963"/>
        <v>78.006601673912314</v>
      </c>
      <c r="N1747" s="1">
        <f t="shared" si="1963"/>
        <v>78.298947946241768</v>
      </c>
      <c r="O1747" s="1">
        <f t="shared" si="1963"/>
        <v>78.299262313405961</v>
      </c>
      <c r="P1747" s="1">
        <f t="shared" si="1958"/>
        <v>78.299963477105791</v>
      </c>
      <c r="Q1747" s="1">
        <f t="shared" si="1958"/>
        <v>78.301055256231038</v>
      </c>
      <c r="S1747" s="3"/>
    </row>
    <row r="1748" spans="2:19" x14ac:dyDescent="0.5">
      <c r="B1748" t="str">
        <f t="shared" si="1918"/>
        <v>SPS1</v>
      </c>
      <c r="C1748" t="str">
        <f t="shared" si="1919"/>
        <v>CH</v>
      </c>
      <c r="D1748" t="s">
        <v>1775</v>
      </c>
      <c r="E1748" t="str">
        <f t="shared" si="1956"/>
        <v>PJ/yr.</v>
      </c>
      <c r="F1748" s="1">
        <f t="shared" si="1956"/>
        <v>35.931064846854035</v>
      </c>
      <c r="G1748" s="1">
        <f t="shared" si="1956"/>
        <v>35.882383624060537</v>
      </c>
      <c r="H1748" s="1">
        <f t="shared" si="1956"/>
        <v>35.489451563379681</v>
      </c>
      <c r="I1748" s="1">
        <f t="shared" si="1956"/>
        <v>35.039964616419226</v>
      </c>
      <c r="J1748" s="1">
        <f t="shared" si="1956"/>
        <v>34.937584156791537</v>
      </c>
      <c r="K1748" s="1">
        <f t="shared" si="1956"/>
        <v>35.403624679143952</v>
      </c>
      <c r="L1748" s="1">
        <f t="shared" ref="L1748:O1748" si="1964">L9</f>
        <v>35.628235504643129</v>
      </c>
      <c r="M1748" s="1">
        <f t="shared" si="1964"/>
        <v>35.852894550171989</v>
      </c>
      <c r="N1748" s="1">
        <f t="shared" si="1964"/>
        <v>35.603177260832958</v>
      </c>
      <c r="O1748" s="1">
        <f t="shared" si="1964"/>
        <v>35.603179340189634</v>
      </c>
      <c r="P1748" s="1">
        <f t="shared" si="1958"/>
        <v>35.603177835720018</v>
      </c>
      <c r="Q1748" s="1">
        <f t="shared" si="1958"/>
        <v>35.603180934919195</v>
      </c>
      <c r="S1748" s="3"/>
    </row>
    <row r="1749" spans="2:19" x14ac:dyDescent="0.5">
      <c r="B1749" t="str">
        <f t="shared" si="1918"/>
        <v>SPS1</v>
      </c>
      <c r="C1749" t="str">
        <f t="shared" si="1919"/>
        <v>CH</v>
      </c>
      <c r="D1749" t="s">
        <v>1776</v>
      </c>
      <c r="E1749" t="str">
        <f t="shared" si="1956"/>
        <v>PJ/yr.</v>
      </c>
      <c r="F1749" s="1">
        <f t="shared" si="1956"/>
        <v>34.100433237326037</v>
      </c>
      <c r="G1749" s="1">
        <f t="shared" si="1956"/>
        <v>34.692890657190667</v>
      </c>
      <c r="H1749" s="1">
        <f t="shared" si="1956"/>
        <v>34.692893721230696</v>
      </c>
      <c r="I1749" s="1">
        <f t="shared" si="1956"/>
        <v>34.692900756810658</v>
      </c>
      <c r="J1749" s="1">
        <f t="shared" si="1956"/>
        <v>34.692908070051438</v>
      </c>
      <c r="K1749" s="1">
        <f t="shared" si="1956"/>
        <v>34.692921209173697</v>
      </c>
      <c r="L1749" s="1">
        <f t="shared" ref="L1749:O1749" si="1965">L10</f>
        <v>40.791484895377685</v>
      </c>
      <c r="M1749" s="1">
        <f t="shared" si="1965"/>
        <v>42.153707123740318</v>
      </c>
      <c r="N1749" s="1">
        <f t="shared" si="1965"/>
        <v>42.69577068540881</v>
      </c>
      <c r="O1749" s="1">
        <f t="shared" si="1965"/>
        <v>42.696082973216335</v>
      </c>
      <c r="P1749" s="1">
        <f t="shared" si="1958"/>
        <v>42.696785641385773</v>
      </c>
      <c r="Q1749" s="1">
        <f t="shared" si="1958"/>
        <v>42.697874321311843</v>
      </c>
      <c r="S1749" s="3"/>
    </row>
    <row r="1750" spans="2:19" x14ac:dyDescent="0.5">
      <c r="B1750" t="str">
        <f t="shared" si="1918"/>
        <v>SPS1</v>
      </c>
      <c r="C1750" t="str">
        <f t="shared" si="1919"/>
        <v>CH</v>
      </c>
      <c r="D1750" t="s">
        <v>1777</v>
      </c>
      <c r="E1750" t="str">
        <f t="shared" si="1956"/>
        <v>PJ/yr.</v>
      </c>
      <c r="F1750" s="1">
        <f t="shared" si="1956"/>
        <v>3.7980817084229987</v>
      </c>
      <c r="G1750" s="1">
        <f t="shared" si="1956"/>
        <v>9.9241542890025212</v>
      </c>
      <c r="H1750" s="1">
        <f t="shared" si="1956"/>
        <v>12.539522667193761</v>
      </c>
      <c r="I1750" s="1">
        <f t="shared" si="1956"/>
        <v>12.540425683308156</v>
      </c>
      <c r="J1750" s="1">
        <f t="shared" si="1956"/>
        <v>12.540427059556002</v>
      </c>
      <c r="K1750" s="1">
        <f t="shared" si="1956"/>
        <v>12.542987058341691</v>
      </c>
      <c r="L1750" s="1">
        <f t="shared" ref="L1750:O1750" si="1966">L11</f>
        <v>12.599408174616816</v>
      </c>
      <c r="M1750" s="1">
        <f t="shared" si="1966"/>
        <v>18.812918296654189</v>
      </c>
      <c r="N1750" s="1">
        <f t="shared" si="1966"/>
        <v>18.812919016345059</v>
      </c>
      <c r="O1750" s="1">
        <f t="shared" si="1966"/>
        <v>18.812934344302001</v>
      </c>
      <c r="P1750" s="1">
        <f t="shared" si="1958"/>
        <v>18.812944837978549</v>
      </c>
      <c r="Q1750" s="1">
        <f t="shared" si="1958"/>
        <v>18.814402497595573</v>
      </c>
      <c r="S1750" s="3"/>
    </row>
    <row r="1751" spans="2:19" x14ac:dyDescent="0.5">
      <c r="B1751" t="str">
        <f t="shared" si="1918"/>
        <v>SPS1</v>
      </c>
      <c r="C1751" t="str">
        <f t="shared" si="1919"/>
        <v>CH</v>
      </c>
      <c r="D1751" t="s">
        <v>1778</v>
      </c>
      <c r="E1751" t="str">
        <f t="shared" si="1956"/>
        <v>PJ/yr.</v>
      </c>
      <c r="F1751" s="1">
        <f t="shared" si="1956"/>
        <v>149.43048270694527</v>
      </c>
      <c r="G1751" s="1">
        <f t="shared" si="1956"/>
        <v>125.60567770774072</v>
      </c>
      <c r="H1751" s="1">
        <f t="shared" si="1956"/>
        <v>141.1520556829862</v>
      </c>
      <c r="I1751" s="1">
        <f t="shared" si="1956"/>
        <v>151.12853071354942</v>
      </c>
      <c r="J1751" s="1">
        <f t="shared" si="1956"/>
        <v>151.49296164108551</v>
      </c>
      <c r="K1751" s="1">
        <f t="shared" si="1956"/>
        <v>151.56125846819117</v>
      </c>
      <c r="L1751" s="1">
        <f t="shared" ref="L1751:O1751" si="1967">L12</f>
        <v>151.83797388649475</v>
      </c>
      <c r="M1751" s="1">
        <f t="shared" si="1967"/>
        <v>151.9388809743806</v>
      </c>
      <c r="N1751" s="1">
        <f t="shared" si="1967"/>
        <v>151.98940678802151</v>
      </c>
      <c r="O1751" s="1">
        <f t="shared" si="1967"/>
        <v>153.45502538250255</v>
      </c>
      <c r="P1751" s="1">
        <f t="shared" si="1958"/>
        <v>153.90670794716786</v>
      </c>
      <c r="Q1751" s="1">
        <f t="shared" si="1958"/>
        <v>153.83803090277098</v>
      </c>
      <c r="S1751" s="3"/>
    </row>
    <row r="1752" spans="2:19" x14ac:dyDescent="0.5">
      <c r="B1752" t="str">
        <f t="shared" si="1918"/>
        <v>SPS1</v>
      </c>
      <c r="C1752" t="str">
        <f t="shared" si="1919"/>
        <v>CH</v>
      </c>
      <c r="D1752" t="s">
        <v>1779</v>
      </c>
      <c r="E1752" t="str">
        <f t="shared" ref="E1752:K1758" si="1968">E13</f>
        <v>PJ/yr.</v>
      </c>
      <c r="F1752" s="1">
        <f t="shared" si="1968"/>
        <v>66.745680087465431</v>
      </c>
      <c r="G1752" s="1">
        <f t="shared" si="1968"/>
        <v>49.798799106154775</v>
      </c>
      <c r="H1752" s="1">
        <f t="shared" si="1968"/>
        <v>68.756548342148591</v>
      </c>
      <c r="I1752" s="1">
        <f t="shared" si="1968"/>
        <v>70.431431991876849</v>
      </c>
      <c r="J1752" s="1">
        <f t="shared" si="1968"/>
        <v>71.413370097589095</v>
      </c>
      <c r="K1752" s="1">
        <f t="shared" si="1968"/>
        <v>72.497374580585273</v>
      </c>
      <c r="L1752" s="1">
        <f t="shared" ref="L1752:O1752" si="1969">L13</f>
        <v>73.751646859582706</v>
      </c>
      <c r="M1752" s="1">
        <f t="shared" si="1969"/>
        <v>74.835796597747816</v>
      </c>
      <c r="N1752" s="1">
        <f t="shared" si="1969"/>
        <v>74.835824674890546</v>
      </c>
      <c r="O1752" s="1">
        <f t="shared" si="1969"/>
        <v>74.835633381732961</v>
      </c>
      <c r="P1752" s="1">
        <f t="shared" si="1958"/>
        <v>74.835599397676688</v>
      </c>
      <c r="Q1752" s="1">
        <f t="shared" si="1958"/>
        <v>74.836042706184401</v>
      </c>
      <c r="S1752" s="3"/>
    </row>
    <row r="1753" spans="2:19" x14ac:dyDescent="0.5">
      <c r="B1753" t="str">
        <f t="shared" si="1918"/>
        <v>SPS1</v>
      </c>
      <c r="C1753" t="str">
        <f t="shared" si="1919"/>
        <v>CH</v>
      </c>
      <c r="D1753" t="s">
        <v>1780</v>
      </c>
      <c r="E1753" t="str">
        <f t="shared" si="1968"/>
        <v>PJ/yr.</v>
      </c>
      <c r="F1753" s="1">
        <f t="shared" si="1968"/>
        <v>66.632400805689144</v>
      </c>
      <c r="G1753" s="1">
        <f t="shared" si="1968"/>
        <v>55.763999647395103</v>
      </c>
      <c r="H1753" s="1">
        <f t="shared" si="1968"/>
        <v>65.553185207249157</v>
      </c>
      <c r="I1753" s="1">
        <f t="shared" si="1968"/>
        <v>64.716636921875647</v>
      </c>
      <c r="J1753" s="1">
        <f t="shared" si="1968"/>
        <v>63.735226441582611</v>
      </c>
      <c r="K1753" s="1">
        <f t="shared" si="1968"/>
        <v>62.651228130576513</v>
      </c>
      <c r="L1753" s="1">
        <f t="shared" ref="L1753:O1753" si="1970">L14</f>
        <v>61.5655219472916</v>
      </c>
      <c r="M1753" s="1">
        <f t="shared" si="1970"/>
        <v>60.481377772266136</v>
      </c>
      <c r="N1753" s="1">
        <f t="shared" si="1970"/>
        <v>60.481350320315187</v>
      </c>
      <c r="O1753" s="1">
        <f t="shared" si="1970"/>
        <v>60.4815432061556</v>
      </c>
      <c r="P1753" s="1">
        <f t="shared" si="1958"/>
        <v>60.481578029869766</v>
      </c>
      <c r="Q1753" s="1">
        <f t="shared" si="1958"/>
        <v>60.481139186772893</v>
      </c>
      <c r="S1753" s="3"/>
    </row>
    <row r="1754" spans="2:19" x14ac:dyDescent="0.5">
      <c r="B1754" t="str">
        <f t="shared" si="1918"/>
        <v>SPS1</v>
      </c>
      <c r="C1754" t="str">
        <f t="shared" si="1919"/>
        <v>CH</v>
      </c>
      <c r="D1754" t="s">
        <v>1781</v>
      </c>
      <c r="E1754" t="str">
        <f t="shared" si="1968"/>
        <v>PJ/yr.</v>
      </c>
      <c r="F1754" s="1">
        <f t="shared" si="1968"/>
        <v>16.052401813790713</v>
      </c>
      <c r="G1754" s="1">
        <f t="shared" si="1968"/>
        <v>20.042878954190837</v>
      </c>
      <c r="H1754" s="1">
        <f t="shared" si="1968"/>
        <v>6.842322133588441</v>
      </c>
      <c r="I1754" s="1">
        <f t="shared" si="1968"/>
        <v>15.980461799796934</v>
      </c>
      <c r="J1754" s="1">
        <f t="shared" si="1968"/>
        <v>16.344365101913795</v>
      </c>
      <c r="K1754" s="1">
        <f t="shared" si="1968"/>
        <v>16.412655757029377</v>
      </c>
      <c r="L1754" s="1">
        <f t="shared" ref="L1754:O1754" si="1971">L15</f>
        <v>16.520805079620462</v>
      </c>
      <c r="M1754" s="1">
        <f t="shared" si="1971"/>
        <v>16.621706604366633</v>
      </c>
      <c r="N1754" s="1">
        <f t="shared" si="1971"/>
        <v>16.672231792815776</v>
      </c>
      <c r="O1754" s="1">
        <f t="shared" si="1971"/>
        <v>18.137848794613991</v>
      </c>
      <c r="P1754" s="1">
        <f t="shared" si="1958"/>
        <v>18.589530519621402</v>
      </c>
      <c r="Q1754" s="1">
        <f t="shared" si="1958"/>
        <v>18.520849009813684</v>
      </c>
      <c r="S1754" s="3"/>
    </row>
    <row r="1755" spans="2:19" x14ac:dyDescent="0.5">
      <c r="B1755" t="str">
        <f t="shared" si="1918"/>
        <v>SPS1</v>
      </c>
      <c r="C1755" t="str">
        <f t="shared" si="1919"/>
        <v>CH</v>
      </c>
      <c r="D1755" t="s">
        <v>1782</v>
      </c>
      <c r="E1755" t="str">
        <f t="shared" si="1968"/>
        <v>PJ/yr.</v>
      </c>
      <c r="F1755" s="1">
        <f t="shared" si="1968"/>
        <v>12.556451522001414</v>
      </c>
      <c r="G1755" s="1">
        <f t="shared" si="1968"/>
        <v>16.522160308467942</v>
      </c>
      <c r="H1755" s="1">
        <f t="shared" si="1968"/>
        <v>32.459497614153612</v>
      </c>
      <c r="I1755" s="1">
        <f t="shared" si="1968"/>
        <v>58.008282994598936</v>
      </c>
      <c r="J1755" s="1">
        <f t="shared" si="1968"/>
        <v>84.476863635955326</v>
      </c>
      <c r="K1755" s="1">
        <f t="shared" si="1968"/>
        <v>91.163749627728635</v>
      </c>
      <c r="L1755" s="1">
        <f t="shared" ref="L1755:O1755" si="1972">L16</f>
        <v>98.898120747358988</v>
      </c>
      <c r="M1755" s="1">
        <f t="shared" si="1972"/>
        <v>109.6687142863663</v>
      </c>
      <c r="N1755" s="1">
        <f t="shared" si="1972"/>
        <v>113.29179774449683</v>
      </c>
      <c r="O1755" s="1">
        <f t="shared" si="1972"/>
        <v>116.16314580312928</v>
      </c>
      <c r="P1755" s="1">
        <f t="shared" si="1958"/>
        <v>118.388819018733</v>
      </c>
      <c r="Q1755" s="1">
        <f t="shared" si="1958"/>
        <v>119.09762403275175</v>
      </c>
      <c r="S1755" s="3"/>
    </row>
    <row r="1756" spans="2:19" x14ac:dyDescent="0.5">
      <c r="B1756" t="str">
        <f t="shared" si="1918"/>
        <v>SPS1</v>
      </c>
      <c r="C1756" t="str">
        <f t="shared" si="1919"/>
        <v>CH</v>
      </c>
      <c r="D1756" t="s">
        <v>1783</v>
      </c>
      <c r="E1756" t="str">
        <f t="shared" si="1968"/>
        <v>PJ/yr.</v>
      </c>
      <c r="F1756" s="1">
        <f t="shared" si="1968"/>
        <v>0.52400627947703804</v>
      </c>
      <c r="G1756" s="1">
        <f t="shared" si="1968"/>
        <v>0.54529269807011849</v>
      </c>
      <c r="H1756" s="1">
        <f t="shared" si="1968"/>
        <v>0.50316532419483184</v>
      </c>
      <c r="I1756" s="1">
        <f t="shared" si="1968"/>
        <v>0.98984755947811942</v>
      </c>
      <c r="J1756" s="1">
        <f t="shared" si="1968"/>
        <v>1.0861968395499944</v>
      </c>
      <c r="K1756" s="1">
        <f t="shared" si="1968"/>
        <v>1.0863182541309102</v>
      </c>
      <c r="L1756" s="1">
        <f t="shared" ref="L1756:O1756" si="1973">L17</f>
        <v>1.2212493128811439</v>
      </c>
      <c r="M1756" s="1">
        <f t="shared" si="1973"/>
        <v>1.221270371567021</v>
      </c>
      <c r="N1756" s="1">
        <f t="shared" si="1973"/>
        <v>1.2213855118999162</v>
      </c>
      <c r="O1756" s="1">
        <f t="shared" si="1973"/>
        <v>1.22154606960607</v>
      </c>
      <c r="P1756" s="1">
        <f t="shared" si="1958"/>
        <v>1.2215494057734078</v>
      </c>
      <c r="Q1756" s="1">
        <f t="shared" si="1958"/>
        <v>1.2215645563703379</v>
      </c>
      <c r="S1756" s="3"/>
    </row>
    <row r="1757" spans="2:19" x14ac:dyDescent="0.5">
      <c r="B1757" t="str">
        <f t="shared" si="1918"/>
        <v>SPS1</v>
      </c>
      <c r="C1757" t="str">
        <f t="shared" si="1919"/>
        <v>CH</v>
      </c>
      <c r="D1757" t="s">
        <v>1784</v>
      </c>
      <c r="E1757" t="str">
        <f t="shared" si="1968"/>
        <v>PJ/yr.</v>
      </c>
      <c r="F1757" s="1">
        <f t="shared" si="1968"/>
        <v>18.873022161950885</v>
      </c>
      <c r="G1757" s="1">
        <f t="shared" si="1968"/>
        <v>22.214828363149731</v>
      </c>
      <c r="H1757" s="1">
        <f t="shared" si="1968"/>
        <v>26.367492484477861</v>
      </c>
      <c r="I1757" s="1">
        <f t="shared" si="1968"/>
        <v>36.363433549746311</v>
      </c>
      <c r="J1757" s="1">
        <f t="shared" si="1968"/>
        <v>55.374450217111509</v>
      </c>
      <c r="K1757" s="1">
        <f t="shared" si="1968"/>
        <v>60.302774881556076</v>
      </c>
      <c r="L1757" s="1">
        <f t="shared" ref="L1757:O1757" si="1974">L18</f>
        <v>72.826426782713128</v>
      </c>
      <c r="M1757" s="1">
        <f t="shared" si="1974"/>
        <v>88.045705608041857</v>
      </c>
      <c r="N1757" s="1">
        <f t="shared" si="1974"/>
        <v>89.859209099370602</v>
      </c>
      <c r="O1757" s="1">
        <f t="shared" si="1974"/>
        <v>90.938315201301791</v>
      </c>
      <c r="P1757" s="1">
        <f t="shared" si="1958"/>
        <v>91.42957773694954</v>
      </c>
      <c r="Q1757" s="1">
        <f t="shared" si="1958"/>
        <v>93.545811058838993</v>
      </c>
      <c r="S1757" s="3"/>
    </row>
    <row r="1758" spans="2:19" x14ac:dyDescent="0.5">
      <c r="B1758" t="str">
        <f t="shared" si="1918"/>
        <v>SPS1</v>
      </c>
      <c r="C1758" t="str">
        <f t="shared" si="1919"/>
        <v>CH</v>
      </c>
      <c r="D1758" t="s">
        <v>1785</v>
      </c>
      <c r="E1758" t="str">
        <f t="shared" si="1968"/>
        <v>PJ/yr.</v>
      </c>
      <c r="F1758" s="1">
        <f t="shared" si="1968"/>
        <v>0</v>
      </c>
      <c r="G1758" s="1">
        <f t="shared" si="1968"/>
        <v>0</v>
      </c>
      <c r="H1758" s="1">
        <f t="shared" si="1968"/>
        <v>0</v>
      </c>
      <c r="I1758" s="1">
        <f t="shared" si="1968"/>
        <v>0</v>
      </c>
      <c r="J1758" s="1">
        <f t="shared" si="1968"/>
        <v>0</v>
      </c>
      <c r="K1758" s="1">
        <f t="shared" si="1968"/>
        <v>3.6613207049875286E-4</v>
      </c>
      <c r="L1758" s="1">
        <f t="shared" ref="L1758:O1758" si="1975">L19</f>
        <v>0.12134463508162154</v>
      </c>
      <c r="M1758" s="1">
        <f t="shared" si="1975"/>
        <v>0.11235352852374796</v>
      </c>
      <c r="N1758" s="1">
        <f t="shared" si="1975"/>
        <v>0</v>
      </c>
      <c r="O1758" s="1">
        <f t="shared" si="1975"/>
        <v>0</v>
      </c>
      <c r="P1758" s="1">
        <f t="shared" si="1958"/>
        <v>0</v>
      </c>
      <c r="Q1758" s="1">
        <f t="shared" si="1958"/>
        <v>0</v>
      </c>
      <c r="S1758" s="3"/>
    </row>
    <row r="1759" spans="2:19" x14ac:dyDescent="0.5">
      <c r="B1759" s="9" t="str">
        <f t="shared" si="1918"/>
        <v>SPS1</v>
      </c>
      <c r="C1759" s="2" t="str">
        <f t="shared" si="1919"/>
        <v>CH</v>
      </c>
      <c r="D1759" s="2" t="s">
        <v>1788</v>
      </c>
      <c r="E1759" s="2" t="s">
        <v>1857</v>
      </c>
      <c r="F1759" s="3">
        <f t="shared" ref="F1759:K1759" si="1976">SUM(F1760,F1762,F1766,F1770,F1786,F1793,F1801,F1803,F1811,F1815,F1809)</f>
        <v>22.330023146778984</v>
      </c>
      <c r="G1759" s="3">
        <f t="shared" si="1976"/>
        <v>24.406663918687958</v>
      </c>
      <c r="H1759" s="3">
        <f t="shared" si="1976"/>
        <v>28.830218052076077</v>
      </c>
      <c r="I1759" s="3">
        <f t="shared" si="1976"/>
        <v>34.064622029015254</v>
      </c>
      <c r="J1759" s="3">
        <f t="shared" si="1976"/>
        <v>40.575908969912405</v>
      </c>
      <c r="K1759" s="3">
        <f t="shared" si="1976"/>
        <v>41.32565166275856</v>
      </c>
      <c r="L1759" s="3">
        <f t="shared" ref="L1759:O1759" si="1977">SUM(L1760,L1762,L1766,L1770,L1786,L1793,L1801,L1803,L1811,L1815,L1809)</f>
        <v>42.697166172792144</v>
      </c>
      <c r="M1759" s="3">
        <f t="shared" si="1977"/>
        <v>44.714329026371693</v>
      </c>
      <c r="N1759" s="3">
        <f t="shared" si="1977"/>
        <v>46.508491165122308</v>
      </c>
      <c r="O1759" s="3">
        <f t="shared" si="1977"/>
        <v>48.195455233954263</v>
      </c>
      <c r="P1759" s="3">
        <f>SUM(P1760,P1762,P1766,P1770,P1786,P1793,P1801,P1803,P1811,P1815,P1809)</f>
        <v>48.831143810029722</v>
      </c>
      <c r="Q1759" s="3">
        <f>SUM(Q1760,Q1762,Q1766,Q1770,Q1786,Q1793,Q1801,Q1803,Q1811,Q1815,Q1809)</f>
        <v>49.498449949060898</v>
      </c>
      <c r="S1759" s="3"/>
    </row>
    <row r="1760" spans="2:19" x14ac:dyDescent="0.5">
      <c r="B1760" s="5" t="str">
        <f t="shared" si="1918"/>
        <v>SPS1</v>
      </c>
      <c r="C1760" s="5" t="str">
        <f t="shared" si="1919"/>
        <v>CH</v>
      </c>
      <c r="D1760" t="s">
        <v>1790</v>
      </c>
      <c r="E1760" t="str">
        <f>E1759</f>
        <v>GWe/yr.</v>
      </c>
      <c r="F1760" s="1">
        <f>+F1761</f>
        <v>3.0935587096182062</v>
      </c>
      <c r="G1760" s="1">
        <f t="shared" ref="G1760:O1760" si="1978">+G1761</f>
        <v>3.0935584447569151</v>
      </c>
      <c r="H1760" s="1">
        <f t="shared" si="1978"/>
        <v>2.8348956648613637</v>
      </c>
      <c r="I1760" s="1">
        <f t="shared" si="1978"/>
        <v>2.757751698272735</v>
      </c>
      <c r="J1760" s="1">
        <f t="shared" si="1978"/>
        <v>2.3632543932806547</v>
      </c>
      <c r="K1760" s="1">
        <f t="shared" si="1978"/>
        <v>1.3534855482640165</v>
      </c>
      <c r="L1760" s="1">
        <f t="shared" si="1978"/>
        <v>0.120558721922211</v>
      </c>
      <c r="M1760" s="1">
        <f t="shared" si="1978"/>
        <v>0.120558721922211</v>
      </c>
      <c r="N1760" s="1">
        <f t="shared" si="1978"/>
        <v>0.94744619220176163</v>
      </c>
      <c r="O1760" s="1">
        <f t="shared" si="1978"/>
        <v>1.8944785255793866</v>
      </c>
      <c r="P1760" s="1">
        <f>+P1761</f>
        <v>1.898679288174135</v>
      </c>
      <c r="Q1760" s="1">
        <f>+Q1761</f>
        <v>1.8997600555838181</v>
      </c>
      <c r="S1760" s="3"/>
    </row>
    <row r="1761" spans="2:19" x14ac:dyDescent="0.5">
      <c r="B1761" s="5" t="str">
        <f t="shared" si="1918"/>
        <v>SPS1</v>
      </c>
      <c r="C1761" s="5" t="str">
        <f t="shared" si="1919"/>
        <v>CH</v>
      </c>
      <c r="D1761" t="s">
        <v>1791</v>
      </c>
      <c r="E1761" t="str">
        <f t="shared" ref="E1761:E1822" si="1979">E1760</f>
        <v>GWe/yr.</v>
      </c>
      <c r="F1761" s="1">
        <f>'[1]Electricity and CHPs_CAP'!B$14</f>
        <v>3.0935587096182062</v>
      </c>
      <c r="G1761" s="1">
        <f>'[1]Electricity and CHPs_CAP'!C$14</f>
        <v>3.0935584447569151</v>
      </c>
      <c r="H1761" s="1">
        <f>'[1]Electricity and CHPs_CAP'!D$14</f>
        <v>2.8348956648613637</v>
      </c>
      <c r="I1761" s="1">
        <f>'[1]Electricity and CHPs_CAP'!E$14</f>
        <v>2.757751698272735</v>
      </c>
      <c r="J1761" s="1">
        <f>'[1]Electricity and CHPs_CAP'!F$14</f>
        <v>2.3632543932806547</v>
      </c>
      <c r="K1761" s="1">
        <f>'[1]Electricity and CHPs_CAP'!G$14</f>
        <v>1.3534855482640165</v>
      </c>
      <c r="L1761" s="1">
        <f>'[1]Electricity and CHPs_CAP'!H$14</f>
        <v>0.120558721922211</v>
      </c>
      <c r="M1761" s="1">
        <f>'[1]Electricity and CHPs_CAP'!I$14</f>
        <v>0.120558721922211</v>
      </c>
      <c r="N1761" s="1">
        <f>'[1]Electricity and CHPs_CAP'!J$14</f>
        <v>0.94744619220176163</v>
      </c>
      <c r="O1761" s="1">
        <f>'[1]Electricity and CHPs_CAP'!K$14</f>
        <v>1.8944785255793866</v>
      </c>
      <c r="P1761" s="1">
        <f>'[1]Electricity and CHPs_CAP'!L$14</f>
        <v>1.898679288174135</v>
      </c>
      <c r="Q1761" s="1">
        <f>'[1]Electricity and CHPs_CAP'!M$14</f>
        <v>1.8997600555838181</v>
      </c>
      <c r="S1761" s="3"/>
    </row>
    <row r="1762" spans="2:19" x14ac:dyDescent="0.5">
      <c r="B1762" s="5" t="str">
        <f t="shared" si="1918"/>
        <v>SPS1</v>
      </c>
      <c r="C1762" s="5" t="str">
        <f t="shared" si="1919"/>
        <v>CH</v>
      </c>
      <c r="D1762" t="s">
        <v>1792</v>
      </c>
      <c r="E1762" t="str">
        <f t="shared" si="1979"/>
        <v>GWe/yr.</v>
      </c>
      <c r="F1762" s="1">
        <f>SUM(F1763:F1765)</f>
        <v>15.403610001059999</v>
      </c>
      <c r="G1762" s="1">
        <f t="shared" ref="G1762:K1762" si="1980">SUM(G1763:G1765)</f>
        <v>16.119485447133034</v>
      </c>
      <c r="H1762" s="1">
        <f t="shared" si="1980"/>
        <v>16.564355751852418</v>
      </c>
      <c r="I1762" s="1">
        <f t="shared" si="1980"/>
        <v>16.655313146535626</v>
      </c>
      <c r="J1762" s="1">
        <f t="shared" si="1980"/>
        <v>16.683061002934693</v>
      </c>
      <c r="K1762" s="1">
        <f t="shared" si="1980"/>
        <v>16.699818516446726</v>
      </c>
      <c r="L1762" s="1">
        <f t="shared" ref="L1762:O1762" si="1981">SUM(L1763:L1765)</f>
        <v>16.848560381502054</v>
      </c>
      <c r="M1762" s="1">
        <f t="shared" si="1981"/>
        <v>16.936016307232734</v>
      </c>
      <c r="N1762" s="1">
        <f t="shared" si="1981"/>
        <v>16.93601701428269</v>
      </c>
      <c r="O1762" s="1">
        <f t="shared" si="1981"/>
        <v>16.93608891654571</v>
      </c>
      <c r="P1762" s="1">
        <f>SUM(P1763:P1765)</f>
        <v>16.936091663431718</v>
      </c>
      <c r="Q1762" s="1">
        <f>SUM(Q1763:Q1765)</f>
        <v>16.936461275965144</v>
      </c>
      <c r="S1762" s="3"/>
    </row>
    <row r="1763" spans="2:19" x14ac:dyDescent="0.5">
      <c r="B1763" s="5" t="str">
        <f t="shared" si="1918"/>
        <v>SPS1</v>
      </c>
      <c r="C1763" s="5" t="str">
        <f t="shared" si="1919"/>
        <v>CH</v>
      </c>
      <c r="D1763" t="s">
        <v>1793</v>
      </c>
      <c r="E1763" t="str">
        <f t="shared" si="1979"/>
        <v>GWe/yr.</v>
      </c>
      <c r="F1763" s="1">
        <f>'[1]Electricity and CHPs_CAP'!B$15</f>
        <v>7.3394300010600002</v>
      </c>
      <c r="G1763" s="1">
        <f>'[1]Electricity and CHPs_CAP'!C$15</f>
        <v>7.3409032196603032</v>
      </c>
      <c r="H1763" s="1">
        <f>'[1]Electricity and CHPs_CAP'!D$15</f>
        <v>7.3456089411222436</v>
      </c>
      <c r="I1763" s="1">
        <f>'[1]Electricity and CHPs_CAP'!E$15</f>
        <v>7.4152225742839484</v>
      </c>
      <c r="J1763" s="1">
        <f>'[1]Electricity and CHPs_CAP'!F$15</f>
        <v>7.4355466003912829</v>
      </c>
      <c r="K1763" s="1">
        <f>'[1]Electricity and CHPs_CAP'!G$15</f>
        <v>7.4523025537744667</v>
      </c>
      <c r="L1763" s="1">
        <f>'[1]Electricity and CHPs_CAP'!H$15</f>
        <v>7.6010331145294234</v>
      </c>
      <c r="M1763" s="1">
        <f>'[1]Electricity and CHPs_CAP'!I$15</f>
        <v>7.6884360835427623</v>
      </c>
      <c r="N1763" s="1">
        <f>'[1]Electricity and CHPs_CAP'!J$15</f>
        <v>7.6884362792532839</v>
      </c>
      <c r="O1763" s="1">
        <f>'[1]Electricity and CHPs_CAP'!K$15</f>
        <v>7.6884368404547887</v>
      </c>
      <c r="P1763" s="1">
        <f>'[1]Electricity and CHPs_CAP'!L$15</f>
        <v>7.6884377509556474</v>
      </c>
      <c r="Q1763" s="1">
        <f>'[1]Electricity and CHPs_CAP'!M$15</f>
        <v>7.6884411267737063</v>
      </c>
      <c r="S1763" s="3"/>
    </row>
    <row r="1764" spans="2:19" x14ac:dyDescent="0.5">
      <c r="B1764" s="5" t="str">
        <f t="shared" si="1918"/>
        <v>SPS1</v>
      </c>
      <c r="C1764" s="5" t="str">
        <f t="shared" si="1919"/>
        <v>CH</v>
      </c>
      <c r="D1764" t="s">
        <v>1794</v>
      </c>
      <c r="E1764" t="str">
        <f t="shared" si="1979"/>
        <v>GWe/yr.</v>
      </c>
      <c r="F1764" s="1">
        <f>'[1]Electricity and CHPs_CAP'!B$16</f>
        <v>4.7247299999999992</v>
      </c>
      <c r="G1764" s="1">
        <f>'[1]Electricity and CHPs_CAP'!C$16</f>
        <v>4.8073858223661983</v>
      </c>
      <c r="H1764" s="1">
        <f>'[1]Electricity and CHPs_CAP'!D$16</f>
        <v>4.8591293517446914</v>
      </c>
      <c r="I1764" s="1">
        <f>'[1]Electricity and CHPs_CAP'!E$16</f>
        <v>4.8804731132661976</v>
      </c>
      <c r="J1764" s="1">
        <f>'[1]Electricity and CHPs_CAP'!F$16</f>
        <v>4.8878960264494591</v>
      </c>
      <c r="K1764" s="1">
        <f>'[1]Electricity and CHPs_CAP'!G$16</f>
        <v>4.8878969452224874</v>
      </c>
      <c r="L1764" s="1">
        <f>'[1]Electricity and CHPs_CAP'!H$16</f>
        <v>4.8878980782678498</v>
      </c>
      <c r="M1764" s="1">
        <f>'[1]Electricity and CHPs_CAP'!I$16</f>
        <v>4.8878986606931711</v>
      </c>
      <c r="N1764" s="1">
        <f>'[1]Electricity and CHPs_CAP'!J$16</f>
        <v>4.8878988840740476</v>
      </c>
      <c r="O1764" s="1">
        <f>'[1]Electricity and CHPs_CAP'!K$16</f>
        <v>4.8878997085839604</v>
      </c>
      <c r="P1764" s="1">
        <f>'[1]Electricity and CHPs_CAP'!L$16</f>
        <v>4.8879007221184452</v>
      </c>
      <c r="Q1764" s="1">
        <f>'[1]Electricity and CHPs_CAP'!M$16</f>
        <v>4.8879759860969969</v>
      </c>
      <c r="S1764" s="3"/>
    </row>
    <row r="1765" spans="2:19" x14ac:dyDescent="0.5">
      <c r="B1765" s="5" t="str">
        <f t="shared" si="1918"/>
        <v>SPS1</v>
      </c>
      <c r="C1765" s="5" t="str">
        <f t="shared" si="1919"/>
        <v>CH</v>
      </c>
      <c r="D1765" t="s">
        <v>1795</v>
      </c>
      <c r="E1765" t="str">
        <f t="shared" si="1979"/>
        <v>GWe/yr.</v>
      </c>
      <c r="F1765" s="1">
        <f>'[1]Electricity and CHPs_CAP'!B$17</f>
        <v>3.3394499999999998</v>
      </c>
      <c r="G1765" s="1">
        <f>'[1]Electricity and CHPs_CAP'!C$17</f>
        <v>3.9711964051065309</v>
      </c>
      <c r="H1765" s="1">
        <f>'[1]Electricity and CHPs_CAP'!D$17</f>
        <v>4.3596174589854808</v>
      </c>
      <c r="I1765" s="1">
        <f>'[1]Electricity and CHPs_CAP'!E$17</f>
        <v>4.3596174589854808</v>
      </c>
      <c r="J1765" s="1">
        <f>'[1]Electricity and CHPs_CAP'!F$17</f>
        <v>4.35961837609395</v>
      </c>
      <c r="K1765" s="1">
        <f>'[1]Electricity and CHPs_CAP'!G$17</f>
        <v>4.3596190174497718</v>
      </c>
      <c r="L1765" s="1">
        <f>'[1]Electricity and CHPs_CAP'!H$17</f>
        <v>4.359629188704778</v>
      </c>
      <c r="M1765" s="1">
        <f>'[1]Electricity and CHPs_CAP'!I$17</f>
        <v>4.3596815629968031</v>
      </c>
      <c r="N1765" s="1">
        <f>'[1]Electricity and CHPs_CAP'!J$17</f>
        <v>4.3596818509553588</v>
      </c>
      <c r="O1765" s="1">
        <f>'[1]Electricity and CHPs_CAP'!K$17</f>
        <v>4.3597523675069603</v>
      </c>
      <c r="P1765" s="1">
        <f>'[1]Electricity and CHPs_CAP'!L$17</f>
        <v>4.3597531903576243</v>
      </c>
      <c r="Q1765" s="1">
        <f>'[1]Electricity and CHPs_CAP'!M$17</f>
        <v>4.3600441630944413</v>
      </c>
      <c r="S1765" s="3"/>
    </row>
    <row r="1766" spans="2:19" x14ac:dyDescent="0.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979"/>
        <v>GWe/yr.</v>
      </c>
      <c r="F1766" s="1">
        <f>SUM(F1767:F1769)</f>
        <v>3.1353400707316431E-2</v>
      </c>
      <c r="G1766" s="1">
        <f t="shared" ref="G1766:K1766" si="1982">SUM(G1767:G1769)</f>
        <v>4.3901560380879404E-2</v>
      </c>
      <c r="H1766" s="1">
        <f t="shared" si="1982"/>
        <v>3.5862694676624819E-2</v>
      </c>
      <c r="I1766" s="1">
        <f t="shared" si="1982"/>
        <v>8.9072142194840664E-2</v>
      </c>
      <c r="J1766" s="1">
        <f t="shared" si="1982"/>
        <v>8.470994370952685E-2</v>
      </c>
      <c r="K1766" s="1">
        <f t="shared" si="1982"/>
        <v>7.9724549004691073E-2</v>
      </c>
      <c r="L1766" s="1">
        <f t="shared" ref="L1766:O1766" si="1983">SUM(L1767:L1769)</f>
        <v>8.0142748164275288E-2</v>
      </c>
      <c r="M1766" s="1">
        <f t="shared" si="1983"/>
        <v>1.9972613244891479E-2</v>
      </c>
      <c r="N1766" s="1">
        <f t="shared" si="1983"/>
        <v>3.8536334568118794E-2</v>
      </c>
      <c r="O1766" s="1">
        <f t="shared" si="1983"/>
        <v>3.1703256479089004E-2</v>
      </c>
      <c r="P1766" s="1">
        <f>SUM(P1767:P1769)</f>
        <v>3.0944014171498224E-2</v>
      </c>
      <c r="Q1766" s="1">
        <f>SUM(Q1767:Q1769)</f>
        <v>3.2028620696586407E-2</v>
      </c>
      <c r="S1766" s="3"/>
    </row>
    <row r="1767" spans="2:19" x14ac:dyDescent="0.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979"/>
        <v>GWe/yr.</v>
      </c>
      <c r="F1767" s="1">
        <f>'[1]Electricity and CHPs_CAP'!B$18</f>
        <v>2.1237588949518202E-2</v>
      </c>
      <c r="G1767" s="1">
        <f>'[1]Electricity and CHPs_CAP'!C$18</f>
        <v>2.1063652176879659E-2</v>
      </c>
      <c r="H1767" s="1">
        <f>'[1]Electricity and CHPs_CAP'!D$18</f>
        <v>1.3076404681556176E-2</v>
      </c>
      <c r="I1767" s="1">
        <f>'[1]Electricity and CHPs_CAP'!E$18</f>
        <v>6.6412872640111614E-2</v>
      </c>
      <c r="J1767" s="1">
        <f>'[1]Electricity and CHPs_CAP'!F$18</f>
        <v>7.3405891581676735E-2</v>
      </c>
      <c r="K1767" s="1">
        <f>'[1]Electricity and CHPs_CAP'!G$18</f>
        <v>7.9521843178579174E-2</v>
      </c>
      <c r="L1767" s="1">
        <f>'[1]Electricity and CHPs_CAP'!H$18</f>
        <v>7.9998526669327996E-2</v>
      </c>
      <c r="M1767" s="1">
        <f>'[1]Electricity and CHPs_CAP'!I$18</f>
        <v>1.9825121353447106E-2</v>
      </c>
      <c r="N1767" s="1">
        <f>'[1]Electricity and CHPs_CAP'!J$18</f>
        <v>1.9672736319382007E-2</v>
      </c>
      <c r="O1767" s="1">
        <f>'[1]Electricity and CHPs_CAP'!K$18</f>
        <v>1.2712033151542413E-2</v>
      </c>
      <c r="P1767" s="1">
        <f>'[1]Electricity and CHPs_CAP'!L$18</f>
        <v>6.1271386772130806E-3</v>
      </c>
      <c r="Q1767" s="1">
        <f>'[1]Electricity and CHPs_CAP'!M$18</f>
        <v>1.1583543358124008E-2</v>
      </c>
      <c r="S1767" s="3"/>
    </row>
    <row r="1768" spans="2:19" x14ac:dyDescent="0.5">
      <c r="B1768" s="5" t="str">
        <f t="shared" ref="B1768:C1769" si="1984">B1767</f>
        <v>SPS1</v>
      </c>
      <c r="C1768" s="5" t="str">
        <f t="shared" si="1984"/>
        <v>CH</v>
      </c>
      <c r="D1768" t="s">
        <v>1798</v>
      </c>
      <c r="E1768" t="str">
        <f t="shared" si="1979"/>
        <v>GWe/yr.</v>
      </c>
      <c r="F1768" s="1">
        <f>'[1]Electricity and CHPs_CAP'!B$28</f>
        <v>1.8106638901258902E-3</v>
      </c>
      <c r="G1768" s="1">
        <f>'[1]Electricity and CHPs_CAP'!C$28</f>
        <v>5.597480846353687E-4</v>
      </c>
      <c r="H1768" s="1">
        <f>'[1]Electricity and CHPs_CAP'!D$28</f>
        <v>5.0857198806788899E-4</v>
      </c>
      <c r="I1768" s="1">
        <f>'[1]Electricity and CHPs_CAP'!E$28</f>
        <v>3.8177250324249005E-4</v>
      </c>
      <c r="J1768" s="1">
        <f>'[1]Electricity and CHPs_CAP'!F$28</f>
        <v>3.6019335027516041E-4</v>
      </c>
      <c r="K1768" s="1">
        <f>'[1]Electricity and CHPs_CAP'!G$28</f>
        <v>2.0270582611189516E-4</v>
      </c>
      <c r="L1768" s="1">
        <f>'[1]Electricity and CHPs_CAP'!H$28</f>
        <v>1.4422149494728583E-4</v>
      </c>
      <c r="M1768" s="1">
        <f>'[1]Electricity and CHPs_CAP'!I$28</f>
        <v>1.4749189144437199E-4</v>
      </c>
      <c r="N1768" s="1">
        <f>'[1]Electricity and CHPs_CAP'!J$28</f>
        <v>1.3884283132518913E-4</v>
      </c>
      <c r="O1768" s="1">
        <f>'[1]Electricity and CHPs_CAP'!K$28</f>
        <v>1.7218283170574155E-4</v>
      </c>
      <c r="P1768" s="1">
        <f>'[1]Electricity and CHPs_CAP'!L$28</f>
        <v>1.4407115525009957E-4</v>
      </c>
      <c r="Q1768" s="1">
        <f>'[1]Electricity and CHPs_CAP'!M$28</f>
        <v>2.6097789423300965E-4</v>
      </c>
      <c r="S1768" s="3"/>
    </row>
    <row r="1769" spans="2:19" x14ac:dyDescent="0.5">
      <c r="B1769" s="5" t="str">
        <f t="shared" si="1984"/>
        <v>SPS1</v>
      </c>
      <c r="C1769" s="5" t="str">
        <f t="shared" si="1984"/>
        <v>CH</v>
      </c>
      <c r="D1769" t="s">
        <v>1799</v>
      </c>
      <c r="E1769" t="str">
        <f t="shared" si="1979"/>
        <v>GWe/yr.</v>
      </c>
      <c r="F1769" s="1">
        <f>'[1]Electricity and CHPs_CAP'!B$41</f>
        <v>8.3051478676723408E-3</v>
      </c>
      <c r="G1769" s="1">
        <f>'[1]Electricity and CHPs_CAP'!C$41</f>
        <v>2.2278160119364381E-2</v>
      </c>
      <c r="H1769" s="1">
        <f>'[1]Electricity and CHPs_CAP'!D$41</f>
        <v>2.2277718007000756E-2</v>
      </c>
      <c r="I1769" s="1">
        <f>'[1]Electricity and CHPs_CAP'!E$41</f>
        <v>2.2277497051486551E-2</v>
      </c>
      <c r="J1769" s="1">
        <f>'[1]Electricity and CHPs_CAP'!F$41</f>
        <v>1.0943858777574944E-2</v>
      </c>
      <c r="K1769" s="1">
        <f>'[1]Electricity and CHPs_CAP'!G$41</f>
        <v>0</v>
      </c>
      <c r="L1769" s="1">
        <f>'[1]Electricity and CHPs_CAP'!H$41</f>
        <v>0</v>
      </c>
      <c r="M1769" s="1">
        <f>'[1]Electricity and CHPs_CAP'!I$41</f>
        <v>0</v>
      </c>
      <c r="N1769" s="1">
        <f>'[1]Electricity and CHPs_CAP'!J$41</f>
        <v>1.8724755417411601E-2</v>
      </c>
      <c r="O1769" s="1">
        <f>'[1]Electricity and CHPs_CAP'!K$41</f>
        <v>1.881904049584085E-2</v>
      </c>
      <c r="P1769" s="1">
        <f>'[1]Electricity and CHPs_CAP'!L$41</f>
        <v>2.4672804339035046E-2</v>
      </c>
      <c r="Q1769" s="1">
        <f>'[1]Electricity and CHPs_CAP'!M$41</f>
        <v>2.0184099444229386E-2</v>
      </c>
      <c r="S1769" s="3"/>
    </row>
    <row r="1770" spans="2:19" x14ac:dyDescent="0.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979"/>
        <v>GWe/yr.</v>
      </c>
      <c r="F1770" s="1">
        <f>SUM(F1771:F1785)</f>
        <v>0.22430046770994364</v>
      </c>
      <c r="G1770" s="1">
        <f t="shared" ref="G1770:K1770" si="1985">SUM(G1771:G1785)</f>
        <v>0.21410969210352626</v>
      </c>
      <c r="H1770" s="1">
        <f t="shared" si="1985"/>
        <v>0.20682415103520829</v>
      </c>
      <c r="I1770" s="1">
        <f t="shared" si="1985"/>
        <v>0.21026339238007058</v>
      </c>
      <c r="J1770" s="1">
        <f t="shared" si="1985"/>
        <v>0.25768348629698185</v>
      </c>
      <c r="K1770" s="1">
        <f t="shared" si="1985"/>
        <v>0.23805801869270898</v>
      </c>
      <c r="L1770" s="1">
        <f t="shared" ref="L1770:O1770" si="1986">SUM(L1771:L1785)</f>
        <v>0.33987273425210685</v>
      </c>
      <c r="M1770" s="1">
        <f t="shared" si="1986"/>
        <v>0.37359373340756052</v>
      </c>
      <c r="N1770" s="1">
        <f t="shared" si="1986"/>
        <v>0.42570126074318249</v>
      </c>
      <c r="O1770" s="1">
        <f t="shared" si="1986"/>
        <v>0.50691088279752305</v>
      </c>
      <c r="P1770" s="1">
        <f>SUM(P1771:P1785)</f>
        <v>0.53453804036186148</v>
      </c>
      <c r="Q1770" s="1">
        <f>SUM(Q1771:Q1785)</f>
        <v>0.52120322618487813</v>
      </c>
      <c r="S1770" s="3"/>
    </row>
    <row r="1771" spans="2:19" x14ac:dyDescent="0.5">
      <c r="B1771" s="5" t="str">
        <f t="shared" ref="B1771:C1784" si="1987">B1770</f>
        <v>SPS1</v>
      </c>
      <c r="C1771" s="5" t="str">
        <f t="shared" si="1987"/>
        <v>CH</v>
      </c>
      <c r="D1771" t="s">
        <v>1801</v>
      </c>
      <c r="E1771" t="str">
        <f t="shared" si="1979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1.78934721914871E-6</v>
      </c>
      <c r="L1771" s="1">
        <f>'[1]Electricity and CHPs_CAP'!H$21</f>
        <v>2.3227301898214694E-6</v>
      </c>
      <c r="M1771" s="1">
        <f>'[1]Electricity and CHPs_CAP'!I$21</f>
        <v>5.00381610158098E-6</v>
      </c>
      <c r="N1771" s="1">
        <f>'[1]Electricity and CHPs_CAP'!J$21</f>
        <v>2.6098393613124696E-4</v>
      </c>
      <c r="O1771" s="1">
        <f>'[1]Electricity and CHPs_CAP'!K$21</f>
        <v>3.6059311601963724E-4</v>
      </c>
      <c r="P1771" s="1">
        <f>'[1]Electricity and CHPs_CAP'!L$21</f>
        <v>4.5319677136677872E-4</v>
      </c>
      <c r="Q1771" s="1">
        <f>'[1]Electricity and CHPs_CAP'!M$21</f>
        <v>5.5157607662108222E-4</v>
      </c>
      <c r="S1771" s="3"/>
    </row>
    <row r="1772" spans="2:19" x14ac:dyDescent="0.5">
      <c r="B1772" s="5" t="str">
        <f t="shared" si="1987"/>
        <v>SPS1</v>
      </c>
      <c r="C1772" s="5" t="str">
        <f t="shared" si="1987"/>
        <v>CH</v>
      </c>
      <c r="D1772" t="s">
        <v>1802</v>
      </c>
      <c r="E1772" t="str">
        <f t="shared" si="1979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1.24707768231093E-4</v>
      </c>
      <c r="K1772" s="1">
        <f>'[1]Electricity and CHPs_CAP'!G$22</f>
        <v>5.1955281595336884E-4</v>
      </c>
      <c r="L1772" s="1">
        <f>'[1]Electricity and CHPs_CAP'!H$22</f>
        <v>1.6083401589828614E-2</v>
      </c>
      <c r="M1772" s="1">
        <f>'[1]Electricity and CHPs_CAP'!I$22</f>
        <v>3.2840437229114977E-2</v>
      </c>
      <c r="N1772" s="1">
        <f>'[1]Electricity and CHPs_CAP'!J$22</f>
        <v>3.2867091084070696E-2</v>
      </c>
      <c r="O1772" s="1">
        <f>'[1]Electricity and CHPs_CAP'!K$22</f>
        <v>3.2747224289286642E-2</v>
      </c>
      <c r="P1772" s="1">
        <f>'[1]Electricity and CHPs_CAP'!L$22</f>
        <v>3.2429034944915544E-2</v>
      </c>
      <c r="Q1772" s="1">
        <f>'[1]Electricity and CHPs_CAP'!M$22</f>
        <v>2.1989124648278274E-2</v>
      </c>
      <c r="S1772" s="3"/>
    </row>
    <row r="1773" spans="2:19" x14ac:dyDescent="0.5">
      <c r="B1773" s="5" t="str">
        <f t="shared" si="1987"/>
        <v>SPS1</v>
      </c>
      <c r="C1773" s="5" t="str">
        <f t="shared" si="1987"/>
        <v>CH</v>
      </c>
      <c r="D1773" t="s">
        <v>1803</v>
      </c>
      <c r="E1773" t="str">
        <f t="shared" si="1979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1.8921119094625799E-6</v>
      </c>
      <c r="M1773" s="1">
        <f>'[1]Electricity and CHPs_CAP'!I$23</f>
        <v>3.9297094927572203E-6</v>
      </c>
      <c r="N1773" s="1">
        <f>'[1]Electricity and CHPs_CAP'!J$23</f>
        <v>2.5908526203598718E-3</v>
      </c>
      <c r="O1773" s="1">
        <f>'[1]Electricity and CHPs_CAP'!K$23</f>
        <v>4.7045487768996369E-3</v>
      </c>
      <c r="P1773" s="1">
        <f>'[1]Electricity and CHPs_CAP'!L$23</f>
        <v>4.7047174319551858E-3</v>
      </c>
      <c r="Q1773" s="1">
        <f>'[1]Electricity and CHPs_CAP'!M$23</f>
        <v>4.70359783820314E-3</v>
      </c>
      <c r="S1773" s="3"/>
    </row>
    <row r="1774" spans="2:19" x14ac:dyDescent="0.5">
      <c r="B1774" s="5" t="str">
        <f t="shared" si="1987"/>
        <v>SPS1</v>
      </c>
      <c r="C1774" s="5" t="str">
        <f t="shared" si="1987"/>
        <v>CH</v>
      </c>
      <c r="D1774" t="s">
        <v>1804</v>
      </c>
      <c r="E1774" t="str">
        <f t="shared" si="1979"/>
        <v>GWe/yr.</v>
      </c>
      <c r="F1774" s="1">
        <f>IF('[1]Electricity and CHPs_CAP'!B$24&lt;0,0,'[1]Electricity and CHPs_CAP'!B$24)</f>
        <v>4.5947630979376292E-2</v>
      </c>
      <c r="G1774" s="1">
        <f>IF('[1]Electricity and CHPs_CAP'!C$24&lt;0,0,'[1]Electricity and CHPs_CAP'!C$24)</f>
        <v>7.023102522457636E-5</v>
      </c>
      <c r="H1774" s="1">
        <f>IF('[1]Electricity and CHPs_CAP'!D$24&lt;0,0,'[1]Electricity and CHPs_CAP'!D$24)</f>
        <v>7.0172318442376924E-5</v>
      </c>
      <c r="I1774" s="1">
        <f>IF('[1]Electricity and CHPs_CAP'!E$24&lt;0,0,'[1]Electricity and CHPs_CAP'!E$24)</f>
        <v>0</v>
      </c>
      <c r="J1774" s="1">
        <f>IF('[1]Electricity and CHPs_CAP'!F$24&lt;0,0,'[1]Electricity and CHPs_CAP'!F$24)</f>
        <v>0</v>
      </c>
      <c r="K1774" s="1">
        <f>IF('[1]Electricity and CHPs_CAP'!G$24&lt;0,0,'[1]Electricity and CHPs_CAP'!G$24)</f>
        <v>0</v>
      </c>
      <c r="L1774" s="1">
        <f>IF('[1]Electricity and CHPs_CAP'!H$24&lt;0,0,'[1]Electricity and CHPs_CAP'!H$24)</f>
        <v>0</v>
      </c>
      <c r="M1774" s="1">
        <f>IF('[1]Electricity and CHPs_CAP'!I$24&lt;0,0,'[1]Electricity and CHPs_CAP'!I$24)</f>
        <v>0</v>
      </c>
      <c r="N1774" s="1">
        <f>IF('[1]Electricity and CHPs_CAP'!J$24&lt;0,0,'[1]Electricity and CHPs_CAP'!J$24)</f>
        <v>0</v>
      </c>
      <c r="O1774" s="1">
        <f>IF('[1]Electricity and CHPs_CAP'!K$24&lt;0,0,'[1]Electricity and CHPs_CAP'!K$24)</f>
        <v>0</v>
      </c>
      <c r="P1774" s="1">
        <f>IF('[1]Electricity and CHPs_CAP'!L$24&lt;0,0,'[1]Electricity and CHPs_CAP'!L$24)</f>
        <v>0</v>
      </c>
      <c r="Q1774" s="1">
        <f>IF('[1]Electricity and CHPs_CAP'!M$24&lt;0,0,'[1]Electricity and CHPs_CAP'!M$24)</f>
        <v>0</v>
      </c>
      <c r="S1774" s="3"/>
    </row>
    <row r="1775" spans="2:19" x14ac:dyDescent="0.5">
      <c r="B1775" s="5" t="str">
        <f t="shared" si="1987"/>
        <v>SPS1</v>
      </c>
      <c r="C1775" s="5" t="str">
        <f t="shared" si="1987"/>
        <v>CH</v>
      </c>
      <c r="D1775" t="s">
        <v>1805</v>
      </c>
      <c r="E1775" t="str">
        <f t="shared" si="1979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0</v>
      </c>
      <c r="L1775" s="1">
        <f>'[1]Electricity and CHPs_CAP'!H$29</f>
        <v>0</v>
      </c>
      <c r="M1775" s="1">
        <f>'[1]Electricity and CHPs_CAP'!I$29</f>
        <v>0</v>
      </c>
      <c r="N1775" s="1">
        <f>'[1]Electricity and CHPs_CAP'!J$29</f>
        <v>0</v>
      </c>
      <c r="O1775" s="1">
        <f>'[1]Electricity and CHPs_CAP'!K$29</f>
        <v>0</v>
      </c>
      <c r="P1775" s="1">
        <f>'[1]Electricity and CHPs_CAP'!L$29</f>
        <v>0</v>
      </c>
      <c r="Q1775" s="1">
        <f>'[1]Electricity and CHPs_CAP'!M$29</f>
        <v>0</v>
      </c>
      <c r="S1775" s="3"/>
    </row>
    <row r="1776" spans="2:19" x14ac:dyDescent="0.5">
      <c r="B1776" s="5" t="str">
        <f t="shared" si="1987"/>
        <v>SPS1</v>
      </c>
      <c r="C1776" s="5" t="str">
        <f t="shared" si="1987"/>
        <v>CH</v>
      </c>
      <c r="D1776" t="s">
        <v>1806</v>
      </c>
      <c r="E1776" t="str">
        <f t="shared" si="1979"/>
        <v>GWe/yr.</v>
      </c>
      <c r="F1776" s="1">
        <f>'[1]Electricity and CHPs_CAP'!B$39</f>
        <v>2.7085020896106406E-2</v>
      </c>
      <c r="G1776" s="1">
        <f>'[1]Electricity and CHPs_CAP'!C$39</f>
        <v>2.0032512769356775E-2</v>
      </c>
      <c r="H1776" s="1">
        <f>'[1]Electricity and CHPs_CAP'!D$39</f>
        <v>1.2744883093550249E-2</v>
      </c>
      <c r="I1776" s="1">
        <f>'[1]Electricity and CHPs_CAP'!E$39</f>
        <v>1.7867325646491697E-2</v>
      </c>
      <c r="J1776" s="1">
        <f>'[1]Electricity and CHPs_CAP'!F$39</f>
        <v>4.837425030467455E-2</v>
      </c>
      <c r="K1776" s="1">
        <f>'[1]Electricity and CHPs_CAP'!G$39</f>
        <v>6.8574120427645935E-2</v>
      </c>
      <c r="L1776" s="1">
        <f>'[1]Electricity and CHPs_CAP'!H$39</f>
        <v>6.4133796980773677E-2</v>
      </c>
      <c r="M1776" s="1">
        <f>'[1]Electricity and CHPs_CAP'!I$39</f>
        <v>5.9335940133184481E-2</v>
      </c>
      <c r="N1776" s="1">
        <f>'[1]Electricity and CHPs_CAP'!J$39</f>
        <v>5.4727541145037431E-2</v>
      </c>
      <c r="O1776" s="1">
        <f>'[1]Electricity and CHPs_CAP'!K$39</f>
        <v>4.3563042354965956E-2</v>
      </c>
      <c r="P1776" s="1">
        <f>'[1]Electricity and CHPs_CAP'!L$39</f>
        <v>5.7223719312280936E-2</v>
      </c>
      <c r="Q1776" s="1">
        <f>'[1]Electricity and CHPs_CAP'!M$39</f>
        <v>5.2763383287784002E-2</v>
      </c>
      <c r="S1776" s="3"/>
    </row>
    <row r="1777" spans="2:19" x14ac:dyDescent="0.5">
      <c r="B1777" s="5" t="str">
        <f t="shared" si="1987"/>
        <v>SPS1</v>
      </c>
      <c r="C1777" s="5" t="str">
        <f t="shared" si="1987"/>
        <v>CH</v>
      </c>
      <c r="D1777" t="s">
        <v>1807</v>
      </c>
      <c r="E1777" t="str">
        <f t="shared" si="1979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6.0194286883080304E-4</v>
      </c>
      <c r="L1777" s="1">
        <f>'[1]Electricity and CHPs_CAP'!H$40</f>
        <v>1.4386800937020152E-2</v>
      </c>
      <c r="M1777" s="1">
        <f>'[1]Electricity and CHPs_CAP'!I$40</f>
        <v>1.8357923352777954E-2</v>
      </c>
      <c r="N1777" s="1">
        <f>'[1]Electricity and CHPs_CAP'!J$40</f>
        <v>1.8279524427028012E-2</v>
      </c>
      <c r="O1777" s="1">
        <f>'[1]Electricity and CHPs_CAP'!K$40</f>
        <v>1.7764431017730693E-2</v>
      </c>
      <c r="P1777" s="1">
        <f>'[1]Electricity and CHPs_CAP'!L$40</f>
        <v>1.7762104150109891E-2</v>
      </c>
      <c r="Q1777" s="1">
        <f>'[1]Electricity and CHPs_CAP'!M$40</f>
        <v>1.7887100060015898E-2</v>
      </c>
      <c r="S1777" s="3"/>
    </row>
    <row r="1778" spans="2:19" x14ac:dyDescent="0.5">
      <c r="B1778" s="5" t="str">
        <f t="shared" si="1987"/>
        <v>SPS1</v>
      </c>
      <c r="C1778" s="5" t="str">
        <f t="shared" si="1987"/>
        <v>CH</v>
      </c>
      <c r="D1778" t="s">
        <v>1808</v>
      </c>
      <c r="E1778" t="str">
        <f t="shared" si="1979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5.6063492314925902E-5</v>
      </c>
      <c r="J1778" s="1">
        <f>'[1]Electricity and CHPs_CAP'!F$47</f>
        <v>1.0735229736871912E-4</v>
      </c>
      <c r="K1778" s="1">
        <f>'[1]Electricity and CHPs_CAP'!G$47</f>
        <v>2.3992335288243471E-4</v>
      </c>
      <c r="L1778" s="1">
        <f>'[1]Electricity and CHPs_CAP'!H$47</f>
        <v>1.971364421955758E-4</v>
      </c>
      <c r="M1778" s="1">
        <f>'[1]Electricity and CHPs_CAP'!I$47</f>
        <v>2.2243985335070762E-4</v>
      </c>
      <c r="N1778" s="1">
        <f>'[1]Electricity and CHPs_CAP'!J$47</f>
        <v>1.5309578975871696E-4</v>
      </c>
      <c r="O1778" s="1">
        <f>'[1]Electricity and CHPs_CAP'!K$47</f>
        <v>2.8314714136390911E-4</v>
      </c>
      <c r="P1778" s="1">
        <f>'[1]Electricity and CHPs_CAP'!L$47</f>
        <v>2.0773452753834732E-4</v>
      </c>
      <c r="Q1778" s="1">
        <f>'[1]Electricity and CHPs_CAP'!M$47</f>
        <v>1.873801554703373E-4</v>
      </c>
      <c r="S1778" s="3"/>
    </row>
    <row r="1779" spans="2:19" x14ac:dyDescent="0.5">
      <c r="B1779" s="5" t="str">
        <f t="shared" si="1987"/>
        <v>SPS1</v>
      </c>
      <c r="C1779" s="5" t="str">
        <f t="shared" si="1987"/>
        <v>CH</v>
      </c>
      <c r="D1779" t="s">
        <v>1809</v>
      </c>
      <c r="E1779" t="str">
        <f t="shared" si="1979"/>
        <v>GWe/yr.</v>
      </c>
      <c r="F1779" s="1">
        <f>'[1]Electricity and CHPs_CAP'!B$48</f>
        <v>4.1404081145209812E-3</v>
      </c>
      <c r="G1779" s="1">
        <f>'[1]Electricity and CHPs_CAP'!C$48</f>
        <v>6.6679460428708376E-4</v>
      </c>
      <c r="H1779" s="1">
        <f>'[1]Electricity and CHPs_CAP'!D$48</f>
        <v>6.6547482462503491E-4</v>
      </c>
      <c r="I1779" s="1">
        <f>'[1]Electricity and CHPs_CAP'!E$48</f>
        <v>6.5229578140322294E-4</v>
      </c>
      <c r="J1779" s="1">
        <f>'[1]Electricity and CHPs_CAP'!F$48</f>
        <v>5.1300095811905588E-4</v>
      </c>
      <c r="K1779" s="1">
        <f>'[1]Electricity and CHPs_CAP'!G$48</f>
        <v>2.2349743413862004E-4</v>
      </c>
      <c r="L1779" s="1">
        <f>'[1]Electricity and CHPs_CAP'!H$48</f>
        <v>0</v>
      </c>
      <c r="M1779" s="1">
        <f>'[1]Electricity and CHPs_CAP'!I$48</f>
        <v>0</v>
      </c>
      <c r="N1779" s="1">
        <f>'[1]Electricity and CHPs_CAP'!J$48</f>
        <v>2.0498116186372459E-4</v>
      </c>
      <c r="O1779" s="1">
        <f>'[1]Electricity and CHPs_CAP'!K$48</f>
        <v>2.480056073954333E-4</v>
      </c>
      <c r="P1779" s="1">
        <f>'[1]Electricity and CHPs_CAP'!L$48</f>
        <v>3.646032398391742E-4</v>
      </c>
      <c r="Q1779" s="1">
        <f>'[1]Electricity and CHPs_CAP'!M$48</f>
        <v>4.3645358615975848E-4</v>
      </c>
      <c r="S1779" s="3"/>
    </row>
    <row r="1780" spans="2:19" x14ac:dyDescent="0.5">
      <c r="B1780" s="5" t="str">
        <f t="shared" si="1987"/>
        <v>SPS1</v>
      </c>
      <c r="C1780" s="5" t="str">
        <f t="shared" si="1987"/>
        <v>CH</v>
      </c>
      <c r="D1780" t="s">
        <v>1810</v>
      </c>
      <c r="E1780" t="str">
        <f t="shared" si="1979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'[1]Electricity and CHPs_CAP'!F$49</f>
        <v>0</v>
      </c>
      <c r="K1780" s="1">
        <f>'[1]Electricity and CHPs_CAP'!G$49</f>
        <v>0</v>
      </c>
      <c r="L1780" s="1">
        <f>'[1]Electricity and CHPs_CAP'!H$49</f>
        <v>0</v>
      </c>
      <c r="M1780" s="1">
        <f>'[1]Electricity and CHPs_CAP'!I$49</f>
        <v>0</v>
      </c>
      <c r="N1780" s="1">
        <f>'[1]Electricity and CHPs_CAP'!J$49</f>
        <v>8.0802946596188102E-5</v>
      </c>
      <c r="O1780" s="1">
        <f>'[1]Electricity and CHPs_CAP'!K$49</f>
        <v>1.3543415348693755E-4</v>
      </c>
      <c r="P1780" s="1">
        <f>'[1]Electricity and CHPs_CAP'!L$49</f>
        <v>1.3593953665342099E-4</v>
      </c>
      <c r="Q1780" s="1">
        <f>'[1]Electricity and CHPs_CAP'!M$49</f>
        <v>2.6164369585301289E-4</v>
      </c>
      <c r="S1780" s="3"/>
    </row>
    <row r="1781" spans="2:19" x14ac:dyDescent="0.5">
      <c r="B1781" s="5" t="str">
        <f t="shared" si="1987"/>
        <v>SPS1</v>
      </c>
      <c r="C1781" s="5" t="str">
        <f t="shared" si="1987"/>
        <v>CH</v>
      </c>
      <c r="D1781" t="s">
        <v>1811</v>
      </c>
      <c r="E1781" t="str">
        <f t="shared" si="1979"/>
        <v>GWe/yr.</v>
      </c>
      <c r="F1781" s="1">
        <f>'[1]Electricity and CHPs_CAP'!B$51</f>
        <v>8.4148050271922806E-3</v>
      </c>
      <c r="G1781" s="1">
        <f>'[1]Electricity and CHPs_CAP'!C$51</f>
        <v>8.9136971748168484E-3</v>
      </c>
      <c r="H1781" s="1">
        <f>'[1]Electricity and CHPs_CAP'!D$51</f>
        <v>8.9134088125713464E-3</v>
      </c>
      <c r="I1781" s="1">
        <f>'[1]Electricity and CHPs_CAP'!E$51</f>
        <v>8.9130984735471264E-3</v>
      </c>
      <c r="J1781" s="1">
        <f>'[1]Electricity and CHPs_CAP'!F$51</f>
        <v>8.9095010605447864E-3</v>
      </c>
      <c r="K1781" s="1">
        <f>'[1]Electricity and CHPs_CAP'!G$51</f>
        <v>3.8074108929199478E-3</v>
      </c>
      <c r="L1781" s="1">
        <f>'[1]Electricity and CHPs_CAP'!H$51</f>
        <v>0</v>
      </c>
      <c r="M1781" s="1">
        <f>'[1]Electricity and CHPs_CAP'!I$51</f>
        <v>0</v>
      </c>
      <c r="N1781" s="1">
        <f>'[1]Electricity and CHPs_CAP'!J$51</f>
        <v>2.149660054881525E-4</v>
      </c>
      <c r="O1781" s="1">
        <f>'[1]Electricity and CHPs_CAP'!K$51</f>
        <v>4.2605445906803563E-4</v>
      </c>
      <c r="P1781" s="1">
        <f>'[1]Electricity and CHPs_CAP'!L$51</f>
        <v>4.2751477959380714E-4</v>
      </c>
      <c r="Q1781" s="1">
        <f>'[1]Electricity and CHPs_CAP'!M$51</f>
        <v>8.7057920551824859E-4</v>
      </c>
      <c r="S1781" s="3"/>
    </row>
    <row r="1782" spans="2:19" x14ac:dyDescent="0.5">
      <c r="B1782" s="5" t="str">
        <f t="shared" si="1987"/>
        <v>SPS1</v>
      </c>
      <c r="C1782" s="5" t="str">
        <f t="shared" si="1987"/>
        <v>CH</v>
      </c>
      <c r="D1782" t="s">
        <v>1812</v>
      </c>
      <c r="E1782" t="str">
        <f t="shared" si="1979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'[1]Electricity and CHPs_CAP'!F$52</f>
        <v>0</v>
      </c>
      <c r="K1782" s="1">
        <f>'[1]Electricity and CHPs_CAP'!G$52</f>
        <v>0</v>
      </c>
      <c r="L1782" s="1">
        <f>'[1]Electricity and CHPs_CAP'!H$52</f>
        <v>0</v>
      </c>
      <c r="M1782" s="1">
        <f>'[1]Electricity and CHPs_CAP'!I$52</f>
        <v>0</v>
      </c>
      <c r="N1782" s="1">
        <f>'[1]Electricity and CHPs_CAP'!J$52</f>
        <v>2.056970522227811E-4</v>
      </c>
      <c r="O1782" s="1">
        <f>'[1]Electricity and CHPs_CAP'!K$52</f>
        <v>3.5570350397947411E-4</v>
      </c>
      <c r="P1782" s="1">
        <f>'[1]Electricity and CHPs_CAP'!L$52</f>
        <v>3.5667666737332706E-4</v>
      </c>
      <c r="Q1782" s="1">
        <f>'[1]Electricity and CHPs_CAP'!M$52</f>
        <v>6.6824620046727142E-4</v>
      </c>
      <c r="S1782" s="3"/>
    </row>
    <row r="1783" spans="2:19" x14ac:dyDescent="0.5">
      <c r="B1783" s="5" t="str">
        <f t="shared" si="1987"/>
        <v>SPS1</v>
      </c>
      <c r="C1783" s="5" t="str">
        <f t="shared" si="1987"/>
        <v>CH</v>
      </c>
      <c r="D1783" t="s">
        <v>1813</v>
      </c>
      <c r="E1783" t="str">
        <f t="shared" si="1979"/>
        <v>GWe/yr.</v>
      </c>
      <c r="F1783" s="1">
        <f>'[1]Electricity and CHPs_CAP'!B$54</f>
        <v>7.35127E-2</v>
      </c>
      <c r="G1783" s="1">
        <f>'[1]Electricity and CHPs_CAP'!C$54</f>
        <v>8.4745494065710872E-2</v>
      </c>
      <c r="H1783" s="1">
        <f>'[1]Electricity and CHPs_CAP'!D$54</f>
        <v>8.4751212044905724E-2</v>
      </c>
      <c r="I1783" s="1">
        <f>'[1]Electricity and CHPs_CAP'!E$54</f>
        <v>8.4751482864389646E-2</v>
      </c>
      <c r="J1783" s="1">
        <f>'[1]Electricity and CHPs_CAP'!F$54</f>
        <v>0.11059428251176302</v>
      </c>
      <c r="K1783" s="1">
        <f>'[1]Electricity and CHPs_CAP'!G$54</f>
        <v>0.11059911782327116</v>
      </c>
      <c r="L1783" s="1">
        <f>'[1]Electricity and CHPs_CAP'!H$54</f>
        <v>0.24506738346018958</v>
      </c>
      <c r="M1783" s="1">
        <f>'[1]Electricity and CHPs_CAP'!I$54</f>
        <v>0.26282805931353803</v>
      </c>
      <c r="N1783" s="1">
        <f>'[1]Electricity and CHPs_CAP'!J$54</f>
        <v>0.31579210953945352</v>
      </c>
      <c r="O1783" s="1">
        <f>'[1]Electricity and CHPs_CAP'!K$54</f>
        <v>0.40590808065155259</v>
      </c>
      <c r="P1783" s="1">
        <f>'[1]Electricity and CHPs_CAP'!L$54</f>
        <v>0.42009117744120877</v>
      </c>
      <c r="Q1783" s="1">
        <f>'[1]Electricity and CHPs_CAP'!M$54</f>
        <v>0.42013354363214062</v>
      </c>
      <c r="S1783" s="3"/>
    </row>
    <row r="1784" spans="2:19" x14ac:dyDescent="0.5">
      <c r="B1784" s="5" t="str">
        <f t="shared" si="1987"/>
        <v>SPS1</v>
      </c>
      <c r="C1784" s="5" t="str">
        <f t="shared" si="1987"/>
        <v>CH</v>
      </c>
      <c r="D1784" t="s">
        <v>1814</v>
      </c>
      <c r="E1784" t="str">
        <f t="shared" si="1979"/>
        <v>GWe/yr.</v>
      </c>
      <c r="F1784" s="1">
        <f>'[1]Electricity and CHPs_CAP'!B$55</f>
        <v>6.5199902692747697E-2</v>
      </c>
      <c r="G1784" s="1">
        <f>'[1]Electricity and CHPs_CAP'!C$55</f>
        <v>9.9680962464130107E-2</v>
      </c>
      <c r="H1784" s="1">
        <f>'[1]Electricity and CHPs_CAP'!D$55</f>
        <v>9.9678999941113566E-2</v>
      </c>
      <c r="I1784" s="1">
        <f>'[1]Electricity and CHPs_CAP'!E$55</f>
        <v>9.8023126121923945E-2</v>
      </c>
      <c r="J1784" s="1">
        <f>'[1]Electricity and CHPs_CAP'!F$55</f>
        <v>8.9060391396280636E-2</v>
      </c>
      <c r="K1784" s="1">
        <f>'[1]Electricity and CHPs_CAP'!G$55</f>
        <v>5.3490663729847579E-2</v>
      </c>
      <c r="L1784" s="1">
        <f>'[1]Electricity and CHPs_CAP'!H$55</f>
        <v>0</v>
      </c>
      <c r="M1784" s="1">
        <f>'[1]Electricity and CHPs_CAP'!I$55</f>
        <v>0</v>
      </c>
      <c r="N1784" s="1">
        <f>'[1]Electricity and CHPs_CAP'!J$55</f>
        <v>2.0924694858414801E-4</v>
      </c>
      <c r="O1784" s="1">
        <f>'[1]Electricity and CHPs_CAP'!K$55</f>
        <v>2.1489209996033843E-4</v>
      </c>
      <c r="P1784" s="1">
        <f>'[1]Electricity and CHPs_CAP'!L$55</f>
        <v>2.1530370364058449E-4</v>
      </c>
      <c r="Q1784" s="1">
        <f>'[1]Electricity and CHPs_CAP'!M$55</f>
        <v>4.0599114296522838E-4</v>
      </c>
      <c r="S1784" s="3"/>
    </row>
    <row r="1785" spans="2:19" x14ac:dyDescent="0.5">
      <c r="B1785" s="5" t="str">
        <f t="shared" ref="B1785:C1785" si="1988">B1784</f>
        <v>SPS1</v>
      </c>
      <c r="C1785" s="5" t="str">
        <f t="shared" si="1988"/>
        <v>CH</v>
      </c>
      <c r="D1785" t="s">
        <v>1815</v>
      </c>
      <c r="E1785" t="str">
        <f t="shared" si="1979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'[1]Electricity and CHPs_CAP'!F$58</f>
        <v>0</v>
      </c>
      <c r="K1785" s="1">
        <f>'[1]Electricity and CHPs_CAP'!G$58</f>
        <v>0</v>
      </c>
      <c r="L1785" s="1">
        <f>'[1]Electricity and CHPs_CAP'!H$58</f>
        <v>0</v>
      </c>
      <c r="M1785" s="1">
        <f>'[1]Electricity and CHPs_CAP'!I$58</f>
        <v>0</v>
      </c>
      <c r="N1785" s="1">
        <f>'[1]Electricity and CHPs_CAP'!J$58</f>
        <v>1.1436808658798501E-4</v>
      </c>
      <c r="O1785" s="1">
        <f>'[1]Electricity and CHPs_CAP'!K$58</f>
        <v>1.9972562581380525E-4</v>
      </c>
      <c r="P1785" s="1">
        <f>'[1]Electricity and CHPs_CAP'!L$58</f>
        <v>1.6631785538582315E-4</v>
      </c>
      <c r="Q1785" s="1">
        <f>'[1]Electricity and CHPs_CAP'!M$58</f>
        <v>3.4460665540120468E-4</v>
      </c>
      <c r="S1785" s="3"/>
    </row>
    <row r="1786" spans="2:19" x14ac:dyDescent="0.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979"/>
        <v>GWe/yr.</v>
      </c>
      <c r="F1786" s="1">
        <f>SUM(F1787:F1792)</f>
        <v>0.40341556137150059</v>
      </c>
      <c r="G1786" s="1">
        <f t="shared" ref="G1786:K1786" si="1989">SUM(G1787:G1792)</f>
        <v>0.36226431658563901</v>
      </c>
      <c r="H1786" s="1">
        <f t="shared" si="1989"/>
        <v>0.36226466526598378</v>
      </c>
      <c r="I1786" s="1">
        <f t="shared" si="1989"/>
        <v>0.36002797324168728</v>
      </c>
      <c r="J1786" s="1">
        <f t="shared" si="1989"/>
        <v>0.43441351409802442</v>
      </c>
      <c r="K1786" s="1">
        <f t="shared" si="1989"/>
        <v>0.53083033416053882</v>
      </c>
      <c r="L1786" s="1">
        <f t="shared" ref="L1786:O1786" si="1990">SUM(L1787:L1792)</f>
        <v>0.6208665364044883</v>
      </c>
      <c r="M1786" s="1">
        <f t="shared" si="1990"/>
        <v>0.60833222511437135</v>
      </c>
      <c r="N1786" s="1">
        <f t="shared" si="1990"/>
        <v>0.55248838614262896</v>
      </c>
      <c r="O1786" s="1">
        <f t="shared" si="1990"/>
        <v>0.48651570651800374</v>
      </c>
      <c r="P1786" s="1">
        <f>SUM(P1787:P1792)</f>
        <v>0.4600823698940178</v>
      </c>
      <c r="Q1786" s="1">
        <f>SUM(Q1787:Q1792)</f>
        <v>0.45877960625903136</v>
      </c>
      <c r="S1786" s="3"/>
    </row>
    <row r="1787" spans="2:19" x14ac:dyDescent="0.5">
      <c r="B1787" s="5" t="str">
        <f t="shared" ref="B1787:C1792" si="1991">B1786</f>
        <v>SPS1</v>
      </c>
      <c r="C1787" s="5" t="str">
        <f t="shared" si="1991"/>
        <v>CH</v>
      </c>
      <c r="D1787" t="s">
        <v>1817</v>
      </c>
      <c r="E1787" t="str">
        <f t="shared" si="1979"/>
        <v>GWe/yr.</v>
      </c>
      <c r="F1787" s="1">
        <f>'[1]Electricity and CHPs_CAP'!B$19</f>
        <v>0.27650474436312844</v>
      </c>
      <c r="G1787" s="1">
        <f>'[1]Electricity and CHPs_CAP'!C$19</f>
        <v>0.27650332094338725</v>
      </c>
      <c r="H1787" s="1">
        <f>'[1]Electricity and CHPs_CAP'!D$19</f>
        <v>0.27650373785216409</v>
      </c>
      <c r="I1787" s="1">
        <f>'[1]Electricity and CHPs_CAP'!E$19</f>
        <v>0.27599238131911802</v>
      </c>
      <c r="J1787" s="1">
        <f>'[1]Electricity and CHPs_CAP'!F$19</f>
        <v>0.34899561321781958</v>
      </c>
      <c r="K1787" s="1">
        <f>'[1]Electricity and CHPs_CAP'!G$19</f>
        <v>0.35067355323879484</v>
      </c>
      <c r="L1787" s="1">
        <f>'[1]Electricity and CHPs_CAP'!H$19</f>
        <v>0.27936090943685449</v>
      </c>
      <c r="M1787" s="1">
        <f>'[1]Electricity and CHPs_CAP'!I$19</f>
        <v>0.26795643193203167</v>
      </c>
      <c r="N1787" s="1">
        <f>'[1]Electricity and CHPs_CAP'!J$19</f>
        <v>0.24514578772358256</v>
      </c>
      <c r="O1787" s="1">
        <f>'[1]Electricity and CHPs_CAP'!K$19</f>
        <v>0.19589357260366644</v>
      </c>
      <c r="P1787" s="1">
        <f>'[1]Electricity and CHPs_CAP'!L$19</f>
        <v>0.18328995236814691</v>
      </c>
      <c r="Q1787" s="1">
        <f>'[1]Electricity and CHPs_CAP'!M$19</f>
        <v>0.18343046428638471</v>
      </c>
      <c r="S1787" s="3"/>
    </row>
    <row r="1788" spans="2:19" x14ac:dyDescent="0.5">
      <c r="B1788" s="5" t="str">
        <f t="shared" si="1991"/>
        <v>SPS1</v>
      </c>
      <c r="C1788" s="5" t="str">
        <f t="shared" si="1991"/>
        <v>CH</v>
      </c>
      <c r="D1788" t="s">
        <v>1818</v>
      </c>
      <c r="E1788" t="str">
        <f t="shared" si="1979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9.36468770241832E-2</v>
      </c>
      <c r="L1788" s="1">
        <f>'[1]Electricity and CHPs_CAP'!H$20</f>
        <v>0.22213503688644629</v>
      </c>
      <c r="M1788" s="1">
        <f>'[1]Electricity and CHPs_CAP'!I$20</f>
        <v>0.22213524013272778</v>
      </c>
      <c r="N1788" s="1">
        <f>'[1]Electricity and CHPs_CAP'!J$20</f>
        <v>0.1894390482796787</v>
      </c>
      <c r="O1788" s="1">
        <f>'[1]Electricity and CHPs_CAP'!K$20</f>
        <v>0.17271714244520378</v>
      </c>
      <c r="P1788" s="1">
        <f>'[1]Electricity and CHPs_CAP'!L$20</f>
        <v>0.16579289010131221</v>
      </c>
      <c r="Q1788" s="1">
        <f>'[1]Electricity and CHPs_CAP'!M$20</f>
        <v>0.16579146354826124</v>
      </c>
      <c r="S1788" s="3"/>
    </row>
    <row r="1789" spans="2:19" x14ac:dyDescent="0.5">
      <c r="B1789" s="5" t="str">
        <f t="shared" si="1991"/>
        <v>SPS1</v>
      </c>
      <c r="C1789" s="5" t="str">
        <f t="shared" si="1991"/>
        <v>CH</v>
      </c>
      <c r="D1789" t="s">
        <v>1819</v>
      </c>
      <c r="E1789" t="str">
        <f t="shared" si="1979"/>
        <v>GWe/yr.</v>
      </c>
      <c r="F1789" s="1">
        <f>'[1]Electricity and CHPs_CAP'!B$26</f>
        <v>7.8399999999999997E-2</v>
      </c>
      <c r="G1789" s="1">
        <f>'[1]Electricity and CHPs_CAP'!C$26</f>
        <v>7.2061485608924447E-2</v>
      </c>
      <c r="H1789" s="1">
        <f>'[1]Electricity and CHPs_CAP'!D$26</f>
        <v>7.2060939975550201E-2</v>
      </c>
      <c r="I1789" s="1">
        <f>'[1]Electricity and CHPs_CAP'!E$26</f>
        <v>7.0489757766497949E-2</v>
      </c>
      <c r="J1789" s="1">
        <f>'[1]Electricity and CHPs_CAP'!F$26</f>
        <v>7.2025128388927606E-2</v>
      </c>
      <c r="K1789" s="1">
        <f>'[1]Electricity and CHPs_CAP'!G$26</f>
        <v>5.3251714489008034E-2</v>
      </c>
      <c r="L1789" s="1">
        <f>'[1]Electricity and CHPs_CAP'!H$26</f>
        <v>4.7333816795593064E-2</v>
      </c>
      <c r="M1789" s="1">
        <f>'[1]Electricity and CHPs_CAP'!I$26</f>
        <v>4.2043878288318695E-2</v>
      </c>
      <c r="N1789" s="1">
        <f>'[1]Electricity and CHPs_CAP'!J$26</f>
        <v>4.2044374814766E-2</v>
      </c>
      <c r="O1789" s="1">
        <f>'[1]Electricity and CHPs_CAP'!K$26</f>
        <v>4.204398518127888E-2</v>
      </c>
      <c r="P1789" s="1">
        <f>'[1]Electricity and CHPs_CAP'!L$26</f>
        <v>3.5654131841722995E-2</v>
      </c>
      <c r="Q1789" s="1">
        <f>'[1]Electricity and CHPs_CAP'!M$26</f>
        <v>3.4255526539832742E-2</v>
      </c>
      <c r="S1789" s="3"/>
    </row>
    <row r="1790" spans="2:19" x14ac:dyDescent="0.5">
      <c r="B1790" s="5" t="str">
        <f t="shared" si="1991"/>
        <v>SPS1</v>
      </c>
      <c r="C1790" s="5" t="str">
        <f t="shared" si="1991"/>
        <v>CH</v>
      </c>
      <c r="D1790" t="s">
        <v>1820</v>
      </c>
      <c r="E1790" t="str">
        <f t="shared" si="1979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1.7852751803264798E-2</v>
      </c>
      <c r="L1790" s="1">
        <f>'[1]Electricity and CHPs_CAP'!H$27</f>
        <v>3.85900835249176E-2</v>
      </c>
      <c r="M1790" s="1">
        <f>'[1]Electricity and CHPs_CAP'!I$27</f>
        <v>3.927597175114439E-2</v>
      </c>
      <c r="N1790" s="1">
        <f>'[1]Electricity and CHPs_CAP'!J$27</f>
        <v>3.8939097809211759E-2</v>
      </c>
      <c r="O1790" s="1">
        <f>'[1]Electricity and CHPs_CAP'!K$27</f>
        <v>3.8939566409815086E-2</v>
      </c>
      <c r="P1790" s="1">
        <f>'[1]Electricity and CHPs_CAP'!L$27</f>
        <v>3.8887437430348393E-2</v>
      </c>
      <c r="Q1790" s="1">
        <f>'[1]Electricity and CHPs_CAP'!M$27</f>
        <v>3.8888949953128069E-2</v>
      </c>
      <c r="S1790" s="3"/>
    </row>
    <row r="1791" spans="2:19" x14ac:dyDescent="0.5">
      <c r="B1791" s="5" t="str">
        <f t="shared" si="1991"/>
        <v>SPS1</v>
      </c>
      <c r="C1791" s="5" t="str">
        <f t="shared" si="1991"/>
        <v>CH</v>
      </c>
      <c r="D1791" t="s">
        <v>1821</v>
      </c>
      <c r="E1791" t="str">
        <f t="shared" si="1979"/>
        <v>GWe/yr.</v>
      </c>
      <c r="F1791" s="1">
        <f>'[1]Electricity and CHPs_CAP'!B$44</f>
        <v>4.851081700837212E-2</v>
      </c>
      <c r="G1791" s="1">
        <f>'[1]Electricity and CHPs_CAP'!C$44</f>
        <v>1.3699510033327304E-2</v>
      </c>
      <c r="H1791" s="1">
        <f>'[1]Electricity and CHPs_CAP'!D$44</f>
        <v>1.3699987438269529E-2</v>
      </c>
      <c r="I1791" s="1">
        <f>'[1]Electricity and CHPs_CAP'!E$44</f>
        <v>1.3545834156071326E-2</v>
      </c>
      <c r="J1791" s="1">
        <f>'[1]Electricity and CHPs_CAP'!F$44</f>
        <v>1.3392772491277212E-2</v>
      </c>
      <c r="K1791" s="1">
        <f>'[1]Electricity and CHPs_CAP'!G$44</f>
        <v>1.2588242068242316E-2</v>
      </c>
      <c r="L1791" s="1">
        <f>'[1]Electricity and CHPs_CAP'!H$44</f>
        <v>6.2870619658070975E-5</v>
      </c>
      <c r="M1791" s="1">
        <f>'[1]Electricity and CHPs_CAP'!I$44</f>
        <v>6.1280282995500659E-5</v>
      </c>
      <c r="N1791" s="1">
        <f>'[1]Electricity and CHPs_CAP'!J$44</f>
        <v>6.0593170458569413E-5</v>
      </c>
      <c r="O1791" s="1">
        <f>'[1]Electricity and CHPs_CAP'!K$44</f>
        <v>6.1721814863970395E-5</v>
      </c>
      <c r="P1791" s="1">
        <f>'[1]Electricity and CHPs_CAP'!L$44</f>
        <v>3.8358662904405035E-5</v>
      </c>
      <c r="Q1791" s="1">
        <f>'[1]Electricity and CHPs_CAP'!M$44</f>
        <v>3.8332220160347708E-5</v>
      </c>
      <c r="S1791" s="3"/>
    </row>
    <row r="1792" spans="2:19" x14ac:dyDescent="0.5">
      <c r="B1792" s="5" t="str">
        <f t="shared" si="1991"/>
        <v>SPS1</v>
      </c>
      <c r="C1792" s="5" t="str">
        <f t="shared" si="1991"/>
        <v>CH</v>
      </c>
      <c r="D1792" t="s">
        <v>1822</v>
      </c>
      <c r="E1792" t="str">
        <f t="shared" si="1979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2.8171955370456499E-3</v>
      </c>
      <c r="L1792" s="1">
        <f>'[1]Electricity and CHPs_CAP'!H$45</f>
        <v>3.3383819141018865E-2</v>
      </c>
      <c r="M1792" s="1">
        <f>'[1]Electricity and CHPs_CAP'!I$45</f>
        <v>3.6859422727153354E-2</v>
      </c>
      <c r="N1792" s="1">
        <f>'[1]Electricity and CHPs_CAP'!J$45</f>
        <v>3.6859484344931338E-2</v>
      </c>
      <c r="O1792" s="1">
        <f>'[1]Electricity and CHPs_CAP'!K$45</f>
        <v>3.6859718063175576E-2</v>
      </c>
      <c r="P1792" s="1">
        <f>'[1]Electricity and CHPs_CAP'!L$45</f>
        <v>3.6419599489582878E-2</v>
      </c>
      <c r="Q1792" s="1">
        <f>'[1]Electricity and CHPs_CAP'!M$45</f>
        <v>3.6374869711264239E-2</v>
      </c>
      <c r="S1792" s="3"/>
    </row>
    <row r="1793" spans="2:19" x14ac:dyDescent="0.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979"/>
        <v>GWe/yr.</v>
      </c>
      <c r="F1793" s="1">
        <f>SUM(F1794:F1800)</f>
        <v>9.3642697765661496E-3</v>
      </c>
      <c r="G1793" s="1">
        <f t="shared" ref="G1793:K1793" si="1992">SUM(G1794:G1800)</f>
        <v>9.1580725704077208E-3</v>
      </c>
      <c r="H1793" s="1">
        <f t="shared" si="1992"/>
        <v>4.2296330074345301E-2</v>
      </c>
      <c r="I1793" s="1">
        <f t="shared" si="1992"/>
        <v>5.7229709058653842E-2</v>
      </c>
      <c r="J1793" s="1">
        <f t="shared" si="1992"/>
        <v>7.2174903133938095E-2</v>
      </c>
      <c r="K1793" s="1">
        <f t="shared" si="1992"/>
        <v>0.20648678980357646</v>
      </c>
      <c r="L1793" s="1">
        <f t="shared" ref="L1793:O1793" si="1993">SUM(L1794:L1800)</f>
        <v>0.2502948485269238</v>
      </c>
      <c r="M1793" s="1">
        <f t="shared" si="1993"/>
        <v>0.27767994863268175</v>
      </c>
      <c r="N1793" s="1">
        <f t="shared" si="1993"/>
        <v>0.26642699094421868</v>
      </c>
      <c r="O1793" s="1">
        <f t="shared" si="1993"/>
        <v>0.27011726381649298</v>
      </c>
      <c r="P1793" s="1">
        <f>SUM(P1794:P1800)</f>
        <v>0.27513480339685259</v>
      </c>
      <c r="Q1793" s="1">
        <f>SUM(Q1794:Q1800)</f>
        <v>0.27507497657155394</v>
      </c>
      <c r="S1793" s="3"/>
    </row>
    <row r="1794" spans="2:19" x14ac:dyDescent="0.5">
      <c r="B1794" s="5" t="str">
        <f t="shared" ref="B1794:C1804" si="1994">B1793</f>
        <v>SPS1</v>
      </c>
      <c r="C1794" s="5" t="str">
        <f t="shared" si="1994"/>
        <v>CH</v>
      </c>
      <c r="D1794" t="s">
        <v>1824</v>
      </c>
      <c r="E1794" t="str">
        <f t="shared" si="1979"/>
        <v>GWe/yr.</v>
      </c>
      <c r="F1794" s="1">
        <f>'[1]Electricity and CHPs_CAP'!B$25</f>
        <v>2.8668198411831991E-3</v>
      </c>
      <c r="G1794" s="1">
        <f>'[1]Electricity and CHPs_CAP'!C$25</f>
        <v>4.4878986714513847E-5</v>
      </c>
      <c r="H1794" s="1">
        <f>'[1]Electricity and CHPs_CAP'!D$25</f>
        <v>4.2641330371263886E-4</v>
      </c>
      <c r="I1794" s="1">
        <f>'[1]Electricity and CHPs_CAP'!E$25</f>
        <v>1.5836190986539753E-4</v>
      </c>
      <c r="J1794" s="1">
        <f>'[1]Electricity and CHPs_CAP'!F$25</f>
        <v>2.475288625333142E-4</v>
      </c>
      <c r="K1794" s="1">
        <f>'[1]Electricity and CHPs_CAP'!G$25</f>
        <v>6.0760594501631404E-2</v>
      </c>
      <c r="L1794" s="1">
        <f>'[1]Electricity and CHPs_CAP'!H$25</f>
        <v>6.0633560448074171E-2</v>
      </c>
      <c r="M1794" s="1">
        <f>'[1]Electricity and CHPs_CAP'!I$25</f>
        <v>5.9424744000120842E-2</v>
      </c>
      <c r="N1794" s="1">
        <f>'[1]Electricity and CHPs_CAP'!J$25</f>
        <v>5.1555299822402686E-2</v>
      </c>
      <c r="O1794" s="1">
        <f>'[1]Electricity and CHPs_CAP'!K$25</f>
        <v>5.1580365222872078E-2</v>
      </c>
      <c r="P1794" s="1">
        <f>'[1]Electricity and CHPs_CAP'!L$25</f>
        <v>5.6616060539880934E-2</v>
      </c>
      <c r="Q1794" s="1">
        <f>'[1]Electricity and CHPs_CAP'!M$25</f>
        <v>5.6612187814916594E-2</v>
      </c>
      <c r="S1794" s="3"/>
    </row>
    <row r="1795" spans="2:19" x14ac:dyDescent="0.5">
      <c r="B1795" s="5" t="str">
        <f t="shared" si="1994"/>
        <v>SPS1</v>
      </c>
      <c r="C1795" s="5" t="str">
        <f t="shared" si="1994"/>
        <v>CH</v>
      </c>
      <c r="D1795" t="s">
        <v>1825</v>
      </c>
      <c r="E1795" t="str">
        <f t="shared" si="1979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3.83867622867026E-5</v>
      </c>
      <c r="L1795" s="1">
        <f>'[1]Electricity and CHPs_CAP'!H$31</f>
        <v>7.92160402756714E-3</v>
      </c>
      <c r="M1795" s="1">
        <f>'[1]Electricity and CHPs_CAP'!I$31</f>
        <v>1.6345029249418101E-2</v>
      </c>
      <c r="N1795" s="1">
        <f>'[1]Electricity and CHPs_CAP'!J$31</f>
        <v>2.2092820155500435E-2</v>
      </c>
      <c r="O1795" s="1">
        <f>'[1]Electricity and CHPs_CAP'!K$31</f>
        <v>2.2104529436336222E-2</v>
      </c>
      <c r="P1795" s="1">
        <f>'[1]Electricity and CHPs_CAP'!L$31</f>
        <v>2.538532772140685E-2</v>
      </c>
      <c r="Q1795" s="1">
        <f>'[1]Electricity and CHPs_CAP'!M$31</f>
        <v>2.3741322012751226E-2</v>
      </c>
      <c r="S1795" s="3"/>
    </row>
    <row r="1796" spans="2:19" x14ac:dyDescent="0.5">
      <c r="B1796" s="5" t="str">
        <f t="shared" si="1994"/>
        <v>SPS1</v>
      </c>
      <c r="C1796" s="5" t="str">
        <f t="shared" si="1994"/>
        <v>CH</v>
      </c>
      <c r="D1796" t="s">
        <v>1826</v>
      </c>
      <c r="E1796" t="str">
        <f t="shared" si="1979"/>
        <v>GWe/yr.</v>
      </c>
      <c r="F1796" s="1">
        <f>'[1]Electricity and CHPs_CAP'!B$42</f>
        <v>6.4974499353829505E-3</v>
      </c>
      <c r="G1796" s="1">
        <f>'[1]Electricity and CHPs_CAP'!C$42</f>
        <v>9.113193583693207E-3</v>
      </c>
      <c r="H1796" s="1">
        <f>'[1]Electricity and CHPs_CAP'!D$42</f>
        <v>4.1869916770632662E-2</v>
      </c>
      <c r="I1796" s="1">
        <f>'[1]Electricity and CHPs_CAP'!E$42</f>
        <v>5.6895696329667352E-2</v>
      </c>
      <c r="J1796" s="1">
        <f>'[1]Electricity and CHPs_CAP'!F$42</f>
        <v>7.1597514247324759E-2</v>
      </c>
      <c r="K1796" s="1">
        <f>'[1]Electricity and CHPs_CAP'!G$42</f>
        <v>3.9034203024341026E-2</v>
      </c>
      <c r="L1796" s="1">
        <f>'[1]Electricity and CHPs_CAP'!H$42</f>
        <v>1.4130723215575279E-2</v>
      </c>
      <c r="M1796" s="1">
        <f>'[1]Electricity and CHPs_CAP'!I$42</f>
        <v>7.8399327178285501E-5</v>
      </c>
      <c r="N1796" s="1">
        <f>'[1]Electricity and CHPs_CAP'!J$42</f>
        <v>6.9056317107033243E-5</v>
      </c>
      <c r="O1796" s="1">
        <f>'[1]Electricity and CHPs_CAP'!K$42</f>
        <v>8.2940314181588977E-5</v>
      </c>
      <c r="P1796" s="1">
        <f>'[1]Electricity and CHPs_CAP'!L$42</f>
        <v>6.8022498495022096E-5</v>
      </c>
      <c r="Q1796" s="1">
        <f>'[1]Electricity and CHPs_CAP'!M$42</f>
        <v>9.512712216171263E-5</v>
      </c>
      <c r="S1796" s="3"/>
    </row>
    <row r="1797" spans="2:19" x14ac:dyDescent="0.5">
      <c r="B1797" s="5" t="str">
        <f t="shared" si="1994"/>
        <v>SPS1</v>
      </c>
      <c r="C1797" s="5" t="str">
        <f t="shared" si="1994"/>
        <v>CH</v>
      </c>
      <c r="D1797" t="s">
        <v>1827</v>
      </c>
      <c r="E1797" t="str">
        <f t="shared" si="1979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9.40458163736448E-2</v>
      </c>
      <c r="L1797" s="1">
        <f>'[1]Electricity and CHPs_CAP'!H$43</f>
        <v>0.152113227381904</v>
      </c>
      <c r="M1797" s="1">
        <f>'[1]Electricity and CHPs_CAP'!I$43</f>
        <v>0.186143844196028</v>
      </c>
      <c r="N1797" s="1">
        <f>'[1]Electricity and CHPs_CAP'!J$43</f>
        <v>0.17787794105688801</v>
      </c>
      <c r="O1797" s="1">
        <f>'[1]Electricity and CHPs_CAP'!K$43</f>
        <v>0.181673557370928</v>
      </c>
      <c r="P1797" s="1">
        <f>'[1]Electricity and CHPs_CAP'!L$43</f>
        <v>0.17838923650740099</v>
      </c>
      <c r="Q1797" s="1">
        <f>'[1]Electricity and CHPs_CAP'!M$43</f>
        <v>0.18009919351409001</v>
      </c>
      <c r="S1797" s="3"/>
    </row>
    <row r="1798" spans="2:19" x14ac:dyDescent="0.5">
      <c r="B1798" s="5" t="str">
        <f t="shared" si="1994"/>
        <v>SPS1</v>
      </c>
      <c r="C1798" s="5" t="str">
        <f t="shared" si="1994"/>
        <v>CH</v>
      </c>
      <c r="D1798" t="s">
        <v>1828</v>
      </c>
      <c r="E1798" t="str">
        <f t="shared" si="1979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4.9076636273978603E-5</v>
      </c>
      <c r="J1798" s="1">
        <f>'[1]Electricity and CHPs_CAP'!F$50</f>
        <v>8.2604017923132878E-5</v>
      </c>
      <c r="K1798" s="1">
        <f>'[1]Electricity and CHPs_CAP'!G$50</f>
        <v>3.5930104389318219E-4</v>
      </c>
      <c r="L1798" s="1">
        <f>'[1]Electricity and CHPs_CAP'!H$50</f>
        <v>4.5418760302540868E-4</v>
      </c>
      <c r="M1798" s="1">
        <f>'[1]Electricity and CHPs_CAP'!I$50</f>
        <v>5.7893296610163239E-4</v>
      </c>
      <c r="N1798" s="1">
        <f>'[1]Electricity and CHPs_CAP'!J$50</f>
        <v>3.140819047450996E-4</v>
      </c>
      <c r="O1798" s="1">
        <f>'[1]Electricity and CHPs_CAP'!K$50</f>
        <v>3.0149866135979959E-4</v>
      </c>
      <c r="P1798" s="1">
        <f>'[1]Electricity and CHPs_CAP'!L$50</f>
        <v>2.933490775521742E-4</v>
      </c>
      <c r="Q1798" s="1">
        <f>'[1]Electricity and CHPs_CAP'!M$50</f>
        <v>3.9670693878484482E-4</v>
      </c>
      <c r="S1798" s="3"/>
    </row>
    <row r="1799" spans="2:19" x14ac:dyDescent="0.5">
      <c r="B1799" s="5" t="str">
        <f t="shared" si="1994"/>
        <v>SPS1</v>
      </c>
      <c r="C1799" s="5" t="str">
        <f t="shared" si="1994"/>
        <v>CH</v>
      </c>
      <c r="D1799" t="s">
        <v>1829</v>
      </c>
      <c r="E1799" t="str">
        <f t="shared" si="1979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6.5094290595688297E-5</v>
      </c>
      <c r="J1799" s="1">
        <f>'[1]Electricity and CHPs_CAP'!F$53</f>
        <v>1.4527960002659211E-4</v>
      </c>
      <c r="K1799" s="1">
        <f>'[1]Electricity and CHPs_CAP'!G$53</f>
        <v>1.1829729129904038E-2</v>
      </c>
      <c r="L1799" s="1">
        <f>'[1]Electricity and CHPs_CAP'!H$53</f>
        <v>1.4671221867270058E-2</v>
      </c>
      <c r="M1799" s="1">
        <f>'[1]Electricity and CHPs_CAP'!I$53</f>
        <v>1.4809242393817553E-2</v>
      </c>
      <c r="N1799" s="1">
        <f>'[1]Electricity and CHPs_CAP'!J$53</f>
        <v>1.4282951679614415E-2</v>
      </c>
      <c r="O1799" s="1">
        <f>'[1]Electricity and CHPs_CAP'!K$53</f>
        <v>1.4149817004320017E-2</v>
      </c>
      <c r="P1799" s="1">
        <f>'[1]Electricity and CHPs_CAP'!L$53</f>
        <v>1.4203298457796127E-2</v>
      </c>
      <c r="Q1799" s="1">
        <f>'[1]Electricity and CHPs_CAP'!M$53</f>
        <v>1.3781200648624691E-2</v>
      </c>
      <c r="S1799" s="3"/>
    </row>
    <row r="1800" spans="2:19" x14ac:dyDescent="0.5">
      <c r="B1800" s="5" t="str">
        <f t="shared" si="1994"/>
        <v>SPS1</v>
      </c>
      <c r="C1800" s="5" t="str">
        <f t="shared" si="1994"/>
        <v>CH</v>
      </c>
      <c r="D1800" t="s">
        <v>1830</v>
      </c>
      <c r="E1800" t="str">
        <f t="shared" si="1979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6.1479892251427106E-5</v>
      </c>
      <c r="J1800" s="1">
        <f>'[1]Electricity and CHPs_CAP'!F$56</f>
        <v>1.0197640613028296E-4</v>
      </c>
      <c r="K1800" s="1">
        <f>'[1]Electricity and CHPs_CAP'!G$56</f>
        <v>4.1875896787529974E-4</v>
      </c>
      <c r="L1800" s="1">
        <f>'[1]Electricity and CHPs_CAP'!H$56</f>
        <v>3.7032398350776062E-4</v>
      </c>
      <c r="M1800" s="1">
        <f>'[1]Electricity and CHPs_CAP'!I$56</f>
        <v>2.9975650001735498E-4</v>
      </c>
      <c r="N1800" s="1">
        <f>'[1]Electricity and CHPs_CAP'!J$56</f>
        <v>2.3484000796104645E-4</v>
      </c>
      <c r="O1800" s="1">
        <f>'[1]Electricity and CHPs_CAP'!K$56</f>
        <v>2.245558064952859E-4</v>
      </c>
      <c r="P1800" s="1">
        <f>'[1]Electricity and CHPs_CAP'!L$56</f>
        <v>1.7950859432045173E-4</v>
      </c>
      <c r="Q1800" s="1">
        <f>'[1]Electricity and CHPs_CAP'!M$56</f>
        <v>3.4923852022484403E-4</v>
      </c>
      <c r="S1800" s="3"/>
    </row>
    <row r="1801" spans="2:19" x14ac:dyDescent="0.5">
      <c r="B1801" s="5" t="str">
        <f t="shared" si="1994"/>
        <v>SPS1</v>
      </c>
      <c r="C1801" s="5" t="str">
        <f t="shared" si="1994"/>
        <v>CH</v>
      </c>
      <c r="D1801" t="s">
        <v>1831</v>
      </c>
      <c r="E1801" t="str">
        <f t="shared" si="1979"/>
        <v>GWe/yr.</v>
      </c>
      <c r="F1801" s="1">
        <f>F1802</f>
        <v>8.7120000000000003E-2</v>
      </c>
      <c r="G1801" s="1">
        <f t="shared" ref="G1801:O1801" si="1995">G1802</f>
        <v>9.0660005351510184E-2</v>
      </c>
      <c r="H1801" s="1">
        <f t="shared" si="1995"/>
        <v>8.3655922845439185E-2</v>
      </c>
      <c r="I1801" s="1">
        <f t="shared" si="1995"/>
        <v>0.16457069615552131</v>
      </c>
      <c r="J1801" s="1">
        <f t="shared" si="1995"/>
        <v>0.18058941544968882</v>
      </c>
      <c r="K1801" s="1">
        <f t="shared" si="1995"/>
        <v>0.18061006933648224</v>
      </c>
      <c r="L1801" s="1">
        <f t="shared" si="1995"/>
        <v>0.203043866666515</v>
      </c>
      <c r="M1801" s="1">
        <f t="shared" si="1995"/>
        <v>0.203046552779621</v>
      </c>
      <c r="N1801" s="1">
        <f t="shared" si="1995"/>
        <v>0.20306624947615701</v>
      </c>
      <c r="O1801" s="1">
        <f t="shared" si="1995"/>
        <v>0.20309254196558599</v>
      </c>
      <c r="P1801" s="1">
        <f>P1802</f>
        <v>0.20309327395761301</v>
      </c>
      <c r="Q1801" s="1">
        <f>Q1802</f>
        <v>0.20309613904873999</v>
      </c>
      <c r="S1801" s="3"/>
    </row>
    <row r="1802" spans="2:19" x14ac:dyDescent="0.5">
      <c r="B1802" s="5" t="str">
        <f t="shared" si="1994"/>
        <v>SPS1</v>
      </c>
      <c r="C1802" s="5" t="str">
        <f t="shared" si="1994"/>
        <v>CH</v>
      </c>
      <c r="D1802" t="s">
        <v>1832</v>
      </c>
      <c r="E1802" t="str">
        <f t="shared" si="1979"/>
        <v>GWe/yr.</v>
      </c>
      <c r="F1802" s="1">
        <f>'[1]Electricity and CHPs_CAP'!B$33</f>
        <v>8.7120000000000003E-2</v>
      </c>
      <c r="G1802" s="1">
        <f>'[1]Electricity and CHPs_CAP'!C$33</f>
        <v>9.0660005351510184E-2</v>
      </c>
      <c r="H1802" s="1">
        <f>'[1]Electricity and CHPs_CAP'!D$33</f>
        <v>8.3655922845439185E-2</v>
      </c>
      <c r="I1802" s="1">
        <f>'[1]Electricity and CHPs_CAP'!E$33</f>
        <v>0.16457069615552131</v>
      </c>
      <c r="J1802" s="1">
        <f>'[1]Electricity and CHPs_CAP'!F$33</f>
        <v>0.18058941544968882</v>
      </c>
      <c r="K1802" s="1">
        <f>'[1]Electricity and CHPs_CAP'!G$33</f>
        <v>0.18061006933648224</v>
      </c>
      <c r="L1802" s="1">
        <f>'[1]Electricity and CHPs_CAP'!H$33</f>
        <v>0.203043866666515</v>
      </c>
      <c r="M1802" s="1">
        <f>'[1]Electricity and CHPs_CAP'!I$33</f>
        <v>0.203046552779621</v>
      </c>
      <c r="N1802" s="1">
        <f>'[1]Electricity and CHPs_CAP'!J$33</f>
        <v>0.20306624947615701</v>
      </c>
      <c r="O1802" s="1">
        <f>'[1]Electricity and CHPs_CAP'!K$33</f>
        <v>0.20309254196558599</v>
      </c>
      <c r="P1802" s="1">
        <f>'[1]Electricity and CHPs_CAP'!L$33</f>
        <v>0.20309327395761301</v>
      </c>
      <c r="Q1802" s="1">
        <f>'[1]Electricity and CHPs_CAP'!M$33</f>
        <v>0.20309613904873999</v>
      </c>
      <c r="S1802" s="3"/>
    </row>
    <row r="1803" spans="2:19" x14ac:dyDescent="0.5">
      <c r="B1803" s="5" t="str">
        <f t="shared" si="1994"/>
        <v>SPS1</v>
      </c>
      <c r="C1803" s="5" t="str">
        <f t="shared" si="1994"/>
        <v>CH</v>
      </c>
      <c r="D1803" t="s">
        <v>1833</v>
      </c>
      <c r="E1803" t="str">
        <f t="shared" si="1979"/>
        <v>GWe/yr.</v>
      </c>
      <c r="F1803" s="1">
        <f>SUM(F1804:F1808)</f>
        <v>2.9746549999999998</v>
      </c>
      <c r="G1803" s="1">
        <f t="shared" ref="G1803:K1803" si="1996">SUM(G1804:G1808)</f>
        <v>4.3708798180111854</v>
      </c>
      <c r="H1803" s="1">
        <f t="shared" si="1996"/>
        <v>8.5974062763936097</v>
      </c>
      <c r="I1803" s="1">
        <f t="shared" si="1996"/>
        <v>13.524863050958842</v>
      </c>
      <c r="J1803" s="1">
        <f t="shared" si="1996"/>
        <v>19.850565852033849</v>
      </c>
      <c r="K1803" s="1">
        <f t="shared" si="1996"/>
        <v>21.049090701311911</v>
      </c>
      <c r="L1803" s="1">
        <f t="shared" ref="L1803:O1803" si="1997">SUM(L1804:L1808)</f>
        <v>22.820544261407253</v>
      </c>
      <c r="M1803" s="1">
        <f t="shared" si="1997"/>
        <v>24.557954310400572</v>
      </c>
      <c r="N1803" s="1">
        <f t="shared" si="1997"/>
        <v>25.503138766956845</v>
      </c>
      <c r="O1803" s="1">
        <f t="shared" si="1997"/>
        <v>26.372580240184767</v>
      </c>
      <c r="P1803" s="1">
        <f>SUM(P1804:P1808)</f>
        <v>26.954214893423959</v>
      </c>
      <c r="Q1803" s="1">
        <f>SUM(Q1804:Q1808)</f>
        <v>27.575886665244504</v>
      </c>
      <c r="S1803" s="3"/>
    </row>
    <row r="1804" spans="2:19" x14ac:dyDescent="0.5">
      <c r="B1804" s="5" t="str">
        <f t="shared" si="1994"/>
        <v>SPS1</v>
      </c>
      <c r="C1804" s="5" t="str">
        <f t="shared" si="1994"/>
        <v>CH</v>
      </c>
      <c r="D1804" t="s">
        <v>1834</v>
      </c>
      <c r="E1804" t="str">
        <f t="shared" si="1979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4.49248641432596E-2</v>
      </c>
      <c r="I1804" s="1">
        <f>'[1]Electricity and CHPs_CAP'!E$34</f>
        <v>9.443933877258541E-2</v>
      </c>
      <c r="J1804" s="1">
        <f>'[1]Electricity and CHPs_CAP'!F$34</f>
        <v>0.42379759325935756</v>
      </c>
      <c r="K1804" s="1">
        <f>'[1]Electricity and CHPs_CAP'!G$34</f>
        <v>0.59463521806387643</v>
      </c>
      <c r="L1804" s="1">
        <f>'[1]Electricity and CHPs_CAP'!H$34</f>
        <v>1.3227032090800039</v>
      </c>
      <c r="M1804" s="1">
        <f>'[1]Electricity and CHPs_CAP'!I$34</f>
        <v>1.9635056995040621</v>
      </c>
      <c r="N1804" s="1">
        <f>'[1]Electricity and CHPs_CAP'!J$34</f>
        <v>1.7561450490732355</v>
      </c>
      <c r="O1804" s="1">
        <f>'[1]Electricity and CHPs_CAP'!K$34</f>
        <v>1.4142493236383018</v>
      </c>
      <c r="P1804" s="1">
        <f>'[1]Electricity and CHPs_CAP'!L$34</f>
        <v>0.72275506703202763</v>
      </c>
      <c r="Q1804" s="1">
        <f>'[1]Electricity and CHPs_CAP'!M$34</f>
        <v>6.312603701736183E-3</v>
      </c>
      <c r="S1804" s="3"/>
    </row>
    <row r="1805" spans="2:19" x14ac:dyDescent="0.5">
      <c r="B1805" s="5" t="str">
        <f t="shared" ref="B1805:C1820" si="1998">B1804</f>
        <v>SPS1</v>
      </c>
      <c r="C1805" s="5" t="str">
        <f t="shared" si="1998"/>
        <v>CH</v>
      </c>
      <c r="D1805" t="s">
        <v>1835</v>
      </c>
      <c r="E1805" t="str">
        <f t="shared" si="1979"/>
        <v>GWe/yr.</v>
      </c>
      <c r="F1805" s="1">
        <f>'[1]Electricity and CHPs_CAP'!B$35</f>
        <v>1.1186210000000001</v>
      </c>
      <c r="G1805" s="1">
        <f>'[1]Electricity and CHPs_CAP'!C$35</f>
        <v>1.6529270268866281</v>
      </c>
      <c r="H1805" s="1">
        <f>'[1]Electricity and CHPs_CAP'!D$35</f>
        <v>3.5611849461881002</v>
      </c>
      <c r="I1805" s="1">
        <f>'[1]Electricity and CHPs_CAP'!E$35</f>
        <v>3.4922860642235598</v>
      </c>
      <c r="J1805" s="1">
        <f>'[1]Electricity and CHPs_CAP'!F$35</f>
        <v>4.8944839173701098</v>
      </c>
      <c r="K1805" s="1">
        <f>'[1]Electricity and CHPs_CAP'!G$35</f>
        <v>5.1441526041199603</v>
      </c>
      <c r="L1805" s="1">
        <f>'[1]Electricity and CHPs_CAP'!H$35</f>
        <v>5.40655636863554</v>
      </c>
      <c r="M1805" s="1">
        <f>'[1]Electricity and CHPs_CAP'!I$35</f>
        <v>5.6823452597410498</v>
      </c>
      <c r="N1805" s="1">
        <f>'[1]Electricity and CHPs_CAP'!J$35</f>
        <v>5.9722021172258897</v>
      </c>
      <c r="O1805" s="1">
        <f>'[1]Electricity and CHPs_CAP'!K$35</f>
        <v>6.2768446160710001</v>
      </c>
      <c r="P1805" s="1">
        <f>'[1]Electricity and CHPs_CAP'!L$35</f>
        <v>6.5970270697914497</v>
      </c>
      <c r="Q1805" s="1">
        <f>'[1]Electricity and CHPs_CAP'!M$35</f>
        <v>6.9335420864676802</v>
      </c>
      <c r="S1805" s="3"/>
    </row>
    <row r="1806" spans="2:19" x14ac:dyDescent="0.5">
      <c r="B1806" s="5" t="str">
        <f t="shared" si="1998"/>
        <v>SPS1</v>
      </c>
      <c r="C1806" s="5" t="str">
        <f t="shared" si="1998"/>
        <v>CH</v>
      </c>
      <c r="D1806" t="s">
        <v>1836</v>
      </c>
      <c r="E1806" t="str">
        <f t="shared" si="1979"/>
        <v>GWe/yr.</v>
      </c>
      <c r="F1806" s="1">
        <f>'[1]Electricity and CHPs_CAP'!B$36</f>
        <v>0.67885700000000004</v>
      </c>
      <c r="G1806" s="1">
        <f>'[1]Electricity and CHPs_CAP'!C$36</f>
        <v>1.1559029694888778</v>
      </c>
      <c r="H1806" s="1">
        <f>'[1]Electricity and CHPs_CAP'!D$36</f>
        <v>1.2893770127003623</v>
      </c>
      <c r="I1806" s="1">
        <f>'[1]Electricity and CHPs_CAP'!E$36</f>
        <v>4.6800003038045075</v>
      </c>
      <c r="J1806" s="1">
        <f>'[1]Electricity and CHPs_CAP'!F$36</f>
        <v>4.9187306245144304</v>
      </c>
      <c r="K1806" s="1">
        <f>'[1]Electricity and CHPs_CAP'!G$36</f>
        <v>5.1696356857427377</v>
      </c>
      <c r="L1806" s="1">
        <f>'[1]Electricity and CHPs_CAP'!H$36</f>
        <v>5.4333394718425705</v>
      </c>
      <c r="M1806" s="1">
        <f>'[1]Electricity and CHPs_CAP'!I$36</f>
        <v>5.7104950191746875</v>
      </c>
      <c r="N1806" s="1">
        <f>'[1]Electricity and CHPs_CAP'!J$36</f>
        <v>6.001788090696869</v>
      </c>
      <c r="O1806" s="1">
        <f>'[1]Electricity and CHPs_CAP'!K$36</f>
        <v>6.3079404232469347</v>
      </c>
      <c r="P1806" s="1">
        <f>'[1]Electricity and CHPs_CAP'!L$36</f>
        <v>6.6297101899860307</v>
      </c>
      <c r="Q1806" s="1">
        <f>'[1]Electricity and CHPs_CAP'!M$36</f>
        <v>6.9679322217796864</v>
      </c>
      <c r="S1806" s="3"/>
    </row>
    <row r="1807" spans="2:19" x14ac:dyDescent="0.5">
      <c r="B1807" s="5" t="str">
        <f t="shared" si="1998"/>
        <v>SPS1</v>
      </c>
      <c r="C1807" s="5" t="str">
        <f t="shared" si="1998"/>
        <v>CH</v>
      </c>
      <c r="D1807" t="s">
        <v>1837</v>
      </c>
      <c r="E1807" t="str">
        <f t="shared" si="1979"/>
        <v>GWe/yr.</v>
      </c>
      <c r="F1807" s="1">
        <f>'[1]Electricity and CHPs_CAP'!B$37</f>
        <v>0.27424799999999999</v>
      </c>
      <c r="G1807" s="1">
        <f>'[1]Electricity and CHPs_CAP'!C$37</f>
        <v>0.4389485481872219</v>
      </c>
      <c r="H1807" s="1">
        <f>'[1]Electricity and CHPs_CAP'!D$37</f>
        <v>1.6892157675413029</v>
      </c>
      <c r="I1807" s="1">
        <f>'[1]Electricity and CHPs_CAP'!E$37</f>
        <v>3.330000322040652</v>
      </c>
      <c r="J1807" s="1">
        <f>'[1]Electricity and CHPs_CAP'!F$37</f>
        <v>3.499868584439612</v>
      </c>
      <c r="K1807" s="1">
        <f>'[1]Electricity and CHPs_CAP'!G$37</f>
        <v>3.6783975883590241</v>
      </c>
      <c r="L1807" s="1">
        <f>'[1]Electricity and CHPs_CAP'!H$37</f>
        <v>3.8660334548644899</v>
      </c>
      <c r="M1807" s="1">
        <f>'[1]Electricity and CHPs_CAP'!I$37</f>
        <v>4.06324047911012</v>
      </c>
      <c r="N1807" s="1">
        <f>'[1]Electricity and CHPs_CAP'!J$37</f>
        <v>4.2705069282619998</v>
      </c>
      <c r="O1807" s="1">
        <f>'[1]Electricity and CHPs_CAP'!K$37</f>
        <v>4.4883462253830295</v>
      </c>
      <c r="P1807" s="1">
        <f>'[1]Electricity and CHPs_CAP'!L$37</f>
        <v>4.7172979646964599</v>
      </c>
      <c r="Q1807" s="1">
        <f>'[1]Electricity and CHPs_CAP'!M$37</f>
        <v>4.9579311765121705</v>
      </c>
      <c r="S1807" s="3"/>
    </row>
    <row r="1808" spans="2:19" x14ac:dyDescent="0.5">
      <c r="B1808" s="5" t="str">
        <f t="shared" si="1998"/>
        <v>SPS1</v>
      </c>
      <c r="C1808" s="5" t="str">
        <f t="shared" si="1998"/>
        <v>CH</v>
      </c>
      <c r="D1808" t="s">
        <v>1838</v>
      </c>
      <c r="E1808" t="str">
        <f t="shared" si="1979"/>
        <v>GWe/yr.</v>
      </c>
      <c r="F1808" s="1">
        <f>'[1]Electricity and CHPs_CAP'!B$38</f>
        <v>0.90292899999999998</v>
      </c>
      <c r="G1808" s="1">
        <f>'[1]Electricity and CHPs_CAP'!C$38</f>
        <v>1.1231012734484578</v>
      </c>
      <c r="H1808" s="1">
        <f>'[1]Electricity and CHPs_CAP'!D$38</f>
        <v>2.012703685820584</v>
      </c>
      <c r="I1808" s="1">
        <f>'[1]Electricity and CHPs_CAP'!E$38</f>
        <v>1.928137022117538</v>
      </c>
      <c r="J1808" s="1">
        <f>'[1]Electricity and CHPs_CAP'!F$38</f>
        <v>6.113685132450339</v>
      </c>
      <c r="K1808" s="1">
        <f>'[1]Electricity and CHPs_CAP'!G$38</f>
        <v>6.4622696050263118</v>
      </c>
      <c r="L1808" s="1">
        <f>'[1]Electricity and CHPs_CAP'!H$38</f>
        <v>6.7919117569846499</v>
      </c>
      <c r="M1808" s="1">
        <f>'[1]Electricity and CHPs_CAP'!I$38</f>
        <v>7.1383678528706502</v>
      </c>
      <c r="N1808" s="1">
        <f>'[1]Electricity and CHPs_CAP'!J$38</f>
        <v>7.5024965816988498</v>
      </c>
      <c r="O1808" s="1">
        <f>'[1]Electricity and CHPs_CAP'!K$38</f>
        <v>7.8851996518455003</v>
      </c>
      <c r="P1808" s="1">
        <f>'[1]Electricity and CHPs_CAP'!L$38</f>
        <v>8.2874246019179907</v>
      </c>
      <c r="Q1808" s="1">
        <f>'[1]Electricity and CHPs_CAP'!M$38</f>
        <v>8.7101685767832304</v>
      </c>
      <c r="S1808" s="3"/>
    </row>
    <row r="1809" spans="2:19" x14ac:dyDescent="0.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979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0</v>
      </c>
      <c r="L1809" s="1">
        <f>'[1]Electricity and CHPs_CAP'!H$32</f>
        <v>7.2018476542008605E-4</v>
      </c>
      <c r="M1809" s="1">
        <f>'[1]Electricity and CHPs_CAP'!I$32</f>
        <v>7.2049846432071249E-4</v>
      </c>
      <c r="N1809" s="1">
        <f>'[1]Electricity and CHPs_CAP'!J$32</f>
        <v>7.2051422106700726E-4</v>
      </c>
      <c r="O1809" s="1">
        <f>'[1]Electricity and CHPs_CAP'!K$32</f>
        <v>7.2047073721075573E-4</v>
      </c>
      <c r="P1809" s="1">
        <f>'[1]Electricity and CHPs_CAP'!L$32</f>
        <v>7.2064730713947817E-4</v>
      </c>
      <c r="Q1809" s="1">
        <f>'[1]Electricity and CHPs_CAP'!M$32</f>
        <v>7.217120715703935E-4</v>
      </c>
      <c r="S1809" s="3"/>
    </row>
    <row r="1810" spans="2:19" x14ac:dyDescent="0.5">
      <c r="B1810" s="5" t="str">
        <f t="shared" ref="B1810:C1810" si="1999">B1809</f>
        <v>SPS1</v>
      </c>
      <c r="C1810" s="5" t="str">
        <f t="shared" si="1999"/>
        <v>CH</v>
      </c>
      <c r="D1810" t="s">
        <v>1840</v>
      </c>
      <c r="E1810" t="str">
        <f t="shared" si="1979"/>
        <v>GWe/yr.</v>
      </c>
      <c r="F1810" s="1">
        <f>F1809</f>
        <v>0</v>
      </c>
      <c r="G1810" s="1">
        <f t="shared" ref="G1810:K1810" si="2000">G1809</f>
        <v>0</v>
      </c>
      <c r="H1810" s="1">
        <f t="shared" si="2000"/>
        <v>0</v>
      </c>
      <c r="I1810" s="1">
        <f t="shared" si="2000"/>
        <v>0</v>
      </c>
      <c r="J1810" s="1">
        <f t="shared" si="2000"/>
        <v>0</v>
      </c>
      <c r="K1810" s="1">
        <f t="shared" si="2000"/>
        <v>0</v>
      </c>
      <c r="L1810" s="1">
        <f t="shared" ref="L1810:O1810" si="2001">L1809</f>
        <v>7.2018476542008605E-4</v>
      </c>
      <c r="M1810" s="1">
        <f t="shared" si="2001"/>
        <v>7.2049846432071249E-4</v>
      </c>
      <c r="N1810" s="1">
        <f t="shared" si="2001"/>
        <v>7.2051422106700726E-4</v>
      </c>
      <c r="O1810" s="1">
        <f t="shared" si="2001"/>
        <v>7.2047073721075573E-4</v>
      </c>
      <c r="P1810" s="1">
        <f>P1809</f>
        <v>7.2064730713947817E-4</v>
      </c>
      <c r="Q1810" s="1">
        <f>Q1809</f>
        <v>7.217120715703935E-4</v>
      </c>
      <c r="S1810" s="3"/>
    </row>
    <row r="1811" spans="2:19" x14ac:dyDescent="0.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979"/>
        <v>GWe/yr.</v>
      </c>
      <c r="F1811" s="1">
        <f t="shared" ref="F1811:K1811" si="2002">SUM(F1812:F1814)</f>
        <v>0</v>
      </c>
      <c r="G1811" s="1">
        <f t="shared" si="2002"/>
        <v>0</v>
      </c>
      <c r="H1811" s="1">
        <f t="shared" si="2002"/>
        <v>0</v>
      </c>
      <c r="I1811" s="1">
        <f t="shared" si="2002"/>
        <v>3.4289181682819911E-4</v>
      </c>
      <c r="J1811" s="1">
        <f t="shared" si="2002"/>
        <v>4.061642917735224E-2</v>
      </c>
      <c r="K1811" s="1">
        <f t="shared" si="2002"/>
        <v>0.12817617731148914</v>
      </c>
      <c r="L1811" s="1">
        <f t="shared" ref="L1811:O1811" si="2003">SUM(L1812:L1814)</f>
        <v>0.22792586813412918</v>
      </c>
      <c r="M1811" s="1">
        <f t="shared" si="2003"/>
        <v>0.24514893168165777</v>
      </c>
      <c r="N1811" s="1">
        <f t="shared" si="2003"/>
        <v>0.22743607522271883</v>
      </c>
      <c r="O1811" s="1">
        <f t="shared" si="2003"/>
        <v>0.22512357019467269</v>
      </c>
      <c r="P1811" s="1">
        <f>SUM(P1812:P1814)</f>
        <v>0.22738910750924005</v>
      </c>
      <c r="Q1811" s="1">
        <f>SUM(Q1812:Q1814)</f>
        <v>0.22720682610127466</v>
      </c>
      <c r="S1811" s="3"/>
    </row>
    <row r="1812" spans="2:19" x14ac:dyDescent="0.5">
      <c r="B1812" s="5" t="str">
        <f t="shared" si="1998"/>
        <v>SPS1</v>
      </c>
      <c r="C1812" s="5" t="str">
        <f t="shared" si="1998"/>
        <v>CH</v>
      </c>
      <c r="D1812" t="s">
        <v>1842</v>
      </c>
      <c r="E1812" t="str">
        <f t="shared" si="1979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1.7351588725671E-2</v>
      </c>
      <c r="L1812" s="1">
        <f>'[1]Electricity and CHPs_CAP'!H$30</f>
        <v>6.2828996738268431E-2</v>
      </c>
      <c r="M1812" s="1">
        <f>'[1]Electricity and CHPs_CAP'!I$30</f>
        <v>7.373423906157392E-2</v>
      </c>
      <c r="N1812" s="1">
        <f>'[1]Electricity and CHPs_CAP'!J$30</f>
        <v>7.1434107808118041E-2</v>
      </c>
      <c r="O1812" s="1">
        <f>'[1]Electricity and CHPs_CAP'!K$30</f>
        <v>7.1576484328499806E-2</v>
      </c>
      <c r="P1812" s="1">
        <f>'[1]Electricity and CHPs_CAP'!L$30</f>
        <v>7.6385220750591856E-2</v>
      </c>
      <c r="Q1812" s="1">
        <f>'[1]Electricity and CHPs_CAP'!M$30</f>
        <v>7.5085630956315749E-2</v>
      </c>
      <c r="S1812" s="3"/>
    </row>
    <row r="1813" spans="2:19" x14ac:dyDescent="0.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979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2.7157492886493902E-4</v>
      </c>
      <c r="J1813" s="1">
        <f>'[1]Electricity and CHPs_CAP'!F$46</f>
        <v>4.0440971438074264E-2</v>
      </c>
      <c r="K1813" s="1">
        <f>'[1]Electricity and CHPs_CAP'!G$46</f>
        <v>0.10992220440280295</v>
      </c>
      <c r="L1813" s="1">
        <f>'[1]Electricity and CHPs_CAP'!H$46</f>
        <v>0.16154970888675185</v>
      </c>
      <c r="M1813" s="1">
        <f>'[1]Electricity and CHPs_CAP'!I$46</f>
        <v>0.1647637083690979</v>
      </c>
      <c r="N1813" s="1">
        <f>'[1]Electricity and CHPs_CAP'!J$46</f>
        <v>0.1503372410913256</v>
      </c>
      <c r="O1813" s="1">
        <f>'[1]Electricity and CHPs_CAP'!K$46</f>
        <v>0.15033985619336543</v>
      </c>
      <c r="P1813" s="1">
        <f>'[1]Electricity and CHPs_CAP'!L$46</f>
        <v>0.15034117963259763</v>
      </c>
      <c r="Q1813" s="1">
        <f>'[1]Electricity and CHPs_CAP'!M$46</f>
        <v>0.15036771070867261</v>
      </c>
      <c r="S1813" s="3"/>
    </row>
    <row r="1814" spans="2:19" x14ac:dyDescent="0.5">
      <c r="B1814" s="5" t="str">
        <f t="shared" si="1998"/>
        <v>SPS1</v>
      </c>
      <c r="C1814" s="5" t="str">
        <f t="shared" si="1998"/>
        <v>CH</v>
      </c>
      <c r="D1814" t="s">
        <v>1844</v>
      </c>
      <c r="E1814" t="str">
        <f t="shared" si="1979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7.1316887963260097E-5</v>
      </c>
      <c r="J1814" s="1">
        <f>'[1]Electricity and CHPs_CAP'!F$57</f>
        <v>1.7545773927797638E-4</v>
      </c>
      <c r="K1814" s="1">
        <f>'[1]Electricity and CHPs_CAP'!G$57</f>
        <v>9.023841830151858E-4</v>
      </c>
      <c r="L1814" s="1">
        <f>'[1]Electricity and CHPs_CAP'!H$57</f>
        <v>3.5471625091089047E-3</v>
      </c>
      <c r="M1814" s="1">
        <f>'[1]Electricity and CHPs_CAP'!I$57</f>
        <v>6.6509842509859494E-3</v>
      </c>
      <c r="N1814" s="1">
        <f>'[1]Electricity and CHPs_CAP'!J$57</f>
        <v>5.6647263232751819E-3</v>
      </c>
      <c r="O1814" s="1">
        <f>'[1]Electricity and CHPs_CAP'!K$57</f>
        <v>3.2072296728074485E-3</v>
      </c>
      <c r="P1814" s="1">
        <f>'[1]Electricity and CHPs_CAP'!L$57</f>
        <v>6.6270712605056886E-4</v>
      </c>
      <c r="Q1814" s="1">
        <f>'[1]Electricity and CHPs_CAP'!M$57</f>
        <v>1.7534844362862908E-3</v>
      </c>
      <c r="S1814" s="3"/>
    </row>
    <row r="1815" spans="2:19" x14ac:dyDescent="0.5">
      <c r="B1815" s="5" t="str">
        <f t="shared" si="1998"/>
        <v>SPS1</v>
      </c>
      <c r="C1815" s="5" t="str">
        <f t="shared" si="1998"/>
        <v>CH</v>
      </c>
      <c r="D1815" t="s">
        <v>1845</v>
      </c>
      <c r="E1815" t="str">
        <f t="shared" si="1979"/>
        <v>GWe/yr.</v>
      </c>
      <c r="F1815" s="1">
        <f>SUM(F1816:F1822)</f>
        <v>0.1026457365354535</v>
      </c>
      <c r="G1815" s="1">
        <f t="shared" ref="G1815:K1815" si="2004">SUM(G1816:G1822)</f>
        <v>0.10264656179486173</v>
      </c>
      <c r="H1815" s="1">
        <f t="shared" si="2004"/>
        <v>0.10265659507108732</v>
      </c>
      <c r="I1815" s="1">
        <f t="shared" si="2004"/>
        <v>0.24518732840044694</v>
      </c>
      <c r="J1815" s="1">
        <f t="shared" si="2004"/>
        <v>0.60884002979769025</v>
      </c>
      <c r="K1815" s="1">
        <f t="shared" si="2004"/>
        <v>0.85937095842642275</v>
      </c>
      <c r="L1815" s="1">
        <f t="shared" ref="L1815:O1815" si="2005">SUM(L1816:L1822)</f>
        <v>1.184636021046765</v>
      </c>
      <c r="M1815" s="1">
        <f t="shared" si="2005"/>
        <v>1.3713051834910781</v>
      </c>
      <c r="N1815" s="1">
        <f t="shared" si="2005"/>
        <v>1.4075133803629196</v>
      </c>
      <c r="O1815" s="1">
        <f t="shared" si="2005"/>
        <v>1.2681238591358119</v>
      </c>
      <c r="P1815" s="1">
        <f>SUM(P1816:P1822)</f>
        <v>1.3102557084016826</v>
      </c>
      <c r="Q1815" s="1">
        <f>SUM(Q1816:Q1822)</f>
        <v>1.3682308453338012</v>
      </c>
      <c r="S1815" s="3"/>
    </row>
    <row r="1816" spans="2:19" x14ac:dyDescent="0.5">
      <c r="B1816" s="5" t="str">
        <f t="shared" si="1998"/>
        <v>SPS1</v>
      </c>
      <c r="C1816" s="5" t="str">
        <f t="shared" si="1998"/>
        <v>CH</v>
      </c>
      <c r="D1816" t="s">
        <v>1846</v>
      </c>
      <c r="E1816" t="str">
        <f t="shared" si="1979"/>
        <v>GWe/yr.</v>
      </c>
      <c r="F1816" s="1">
        <f>'[1]Electricity and CHPs_CAP'!B$63</f>
        <v>0.1</v>
      </c>
      <c r="G1816" s="1">
        <f>'[1]Electricity and CHPs_CAP'!C$63</f>
        <v>9.9997763051769994E-2</v>
      </c>
      <c r="H1816" s="1">
        <f>'[1]Electricity and CHPs_CAP'!D$63</f>
        <v>9.9997808560226012E-2</v>
      </c>
      <c r="I1816" s="1">
        <f>'[1]Electricity and CHPs_CAP'!E$63</f>
        <v>9.9997927622236304E-2</v>
      </c>
      <c r="J1816" s="1">
        <f>'[1]Electricity and CHPs_CAP'!F$63</f>
        <v>9.9998511100420656E-2</v>
      </c>
      <c r="K1816" s="1">
        <f>'[1]Electricity and CHPs_CAP'!G$63</f>
        <v>9.9998836897014762E-2</v>
      </c>
      <c r="L1816" s="1">
        <f>'[1]Electricity and CHPs_CAP'!H$63</f>
        <v>9.9998891670768419E-2</v>
      </c>
      <c r="M1816" s="1">
        <f>'[1]Electricity and CHPs_CAP'!I$63</f>
        <v>9.9998535490837287E-2</v>
      </c>
      <c r="N1816" s="1">
        <f>'[1]Electricity and CHPs_CAP'!J$63</f>
        <v>9.9998170414428503E-2</v>
      </c>
      <c r="O1816" s="1">
        <f>'[1]Electricity and CHPs_CAP'!K$63</f>
        <v>9.999772967771757E-2</v>
      </c>
      <c r="P1816" s="1">
        <f>'[1]Electricity and CHPs_CAP'!L$63</f>
        <v>9.9997494517732793E-2</v>
      </c>
      <c r="Q1816" s="1">
        <f>'[1]Electricity and CHPs_CAP'!M$63</f>
        <v>9.9997523207667013E-2</v>
      </c>
      <c r="S1816" s="3"/>
    </row>
    <row r="1817" spans="2:19" x14ac:dyDescent="0.5">
      <c r="B1817" s="5" t="str">
        <f t="shared" si="1998"/>
        <v>SPS1</v>
      </c>
      <c r="C1817" s="5" t="str">
        <f t="shared" si="1998"/>
        <v>CH</v>
      </c>
      <c r="D1817" t="s">
        <v>1847</v>
      </c>
      <c r="E1817" t="str">
        <f t="shared" si="1979"/>
        <v>GWe/yr.</v>
      </c>
      <c r="F1817" s="1">
        <f>'[1]Electricity and CHPs_CAP'!B$64</f>
        <v>4.4382352698327102E-4</v>
      </c>
      <c r="G1817" s="1">
        <f>'[1]Electricity and CHPs_CAP'!C$64</f>
        <v>4.4438992246752154E-4</v>
      </c>
      <c r="H1817" s="1">
        <f>'[1]Electricity and CHPs_CAP'!D$64</f>
        <v>4.4638493304656831E-4</v>
      </c>
      <c r="I1817" s="1">
        <f>'[1]Electricity and CHPs_CAP'!E$64</f>
        <v>4.3839567367524147E-4</v>
      </c>
      <c r="J1817" s="1">
        <f>'[1]Electricity and CHPs_CAP'!F$64</f>
        <v>0.28981709508803194</v>
      </c>
      <c r="K1817" s="1">
        <f>'[1]Electricity and CHPs_CAP'!G$64</f>
        <v>0.51122285330678663</v>
      </c>
      <c r="L1817" s="1">
        <f>'[1]Electricity and CHPs_CAP'!H$64</f>
        <v>0.51125049588290672</v>
      </c>
      <c r="M1817" s="1">
        <f>'[1]Electricity and CHPs_CAP'!I$64</f>
        <v>0.5112575176697326</v>
      </c>
      <c r="N1817" s="1">
        <f>'[1]Electricity and CHPs_CAP'!J$64</f>
        <v>0.51125936665562266</v>
      </c>
      <c r="O1817" s="1">
        <f>'[1]Electricity and CHPs_CAP'!K$64</f>
        <v>0.51126698389624048</v>
      </c>
      <c r="P1817" s="1">
        <f>'[1]Electricity and CHPs_CAP'!L$64</f>
        <v>0.51127271065761404</v>
      </c>
      <c r="Q1817" s="1">
        <f>'[1]Electricity and CHPs_CAP'!M$64</f>
        <v>0.51136834845654655</v>
      </c>
      <c r="S1817" s="3"/>
    </row>
    <row r="1818" spans="2:19" x14ac:dyDescent="0.5">
      <c r="B1818" s="5" t="str">
        <f t="shared" si="1998"/>
        <v>SPS1</v>
      </c>
      <c r="C1818" s="5" t="str">
        <f t="shared" si="1998"/>
        <v>CH</v>
      </c>
      <c r="D1818" t="s">
        <v>1848</v>
      </c>
      <c r="E1818" t="str">
        <f t="shared" si="1979"/>
        <v>GWe/yr.</v>
      </c>
      <c r="F1818" s="1">
        <f>'[1]Electricity and CHPs_CAP'!B$65</f>
        <v>3.2700650880345197E-4</v>
      </c>
      <c r="G1818" s="1">
        <f>'[1]Electricity and CHPs_CAP'!C$65</f>
        <v>3.2743891217520006E-4</v>
      </c>
      <c r="H1818" s="1">
        <f>'[1]Electricity and CHPs_CAP'!D$65</f>
        <v>3.2901576567956629E-4</v>
      </c>
      <c r="I1818" s="1">
        <f>'[1]Electricity and CHPs_CAP'!E$65</f>
        <v>3.3350544972962068E-4</v>
      </c>
      <c r="J1818" s="1">
        <f>'[1]Electricity and CHPs_CAP'!F$65</f>
        <v>4.9048666038228744E-3</v>
      </c>
      <c r="K1818" s="1">
        <f>'[1]Electricity and CHPs_CAP'!G$65</f>
        <v>1.7208606478118425E-2</v>
      </c>
      <c r="L1818" s="1">
        <f>'[1]Electricity and CHPs_CAP'!H$65</f>
        <v>0.32489218937443265</v>
      </c>
      <c r="M1818" s="1">
        <f>'[1]Electricity and CHPs_CAP'!I$65</f>
        <v>0.49246310272472299</v>
      </c>
      <c r="N1818" s="1">
        <f>'[1]Electricity and CHPs_CAP'!J$65</f>
        <v>0.51523700514347437</v>
      </c>
      <c r="O1818" s="1">
        <f>'[1]Electricity and CHPs_CAP'!K$65</f>
        <v>0.36139123427856162</v>
      </c>
      <c r="P1818" s="1">
        <f>'[1]Electricity and CHPs_CAP'!L$65</f>
        <v>0.38869324390520704</v>
      </c>
      <c r="Q1818" s="1">
        <f>'[1]Electricity and CHPs_CAP'!M$65</f>
        <v>0.43013217712214213</v>
      </c>
      <c r="S1818" s="3"/>
    </row>
    <row r="1819" spans="2:19" x14ac:dyDescent="0.5">
      <c r="B1819" s="5" t="str">
        <f t="shared" si="1998"/>
        <v>SPS1</v>
      </c>
      <c r="C1819" s="5" t="str">
        <f t="shared" si="1998"/>
        <v>CH</v>
      </c>
      <c r="D1819" t="s">
        <v>1849</v>
      </c>
      <c r="E1819" t="str">
        <f t="shared" si="1979"/>
        <v>GWe/yr.</v>
      </c>
      <c r="F1819" s="1">
        <f>'[1]Electricity and CHPs_CAP'!B$66</f>
        <v>3.1149645650111222E-4</v>
      </c>
      <c r="G1819" s="1">
        <f>'[1]Electricity and CHPs_CAP'!C$66</f>
        <v>3.1184219838218167E-4</v>
      </c>
      <c r="H1819" s="1">
        <f>'[1]Electricity and CHPs_CAP'!D$66</f>
        <v>3.1286661865783809E-4</v>
      </c>
      <c r="I1819" s="1">
        <f>'[1]Electricity and CHPs_CAP'!E$66</f>
        <v>3.6829051045515662E-2</v>
      </c>
      <c r="J1819" s="1">
        <f>'[1]Electricity and CHPs_CAP'!F$66</f>
        <v>7.5403086298384048E-2</v>
      </c>
      <c r="K1819" s="1">
        <f>'[1]Electricity and CHPs_CAP'!G$66</f>
        <v>0.11697471427540891</v>
      </c>
      <c r="L1819" s="1">
        <f>'[1]Electricity and CHPs_CAP'!H$66</f>
        <v>0.13468455993667525</v>
      </c>
      <c r="M1819" s="1">
        <f>'[1]Electricity and CHPs_CAP'!I$66</f>
        <v>0.12385235857149247</v>
      </c>
      <c r="N1819" s="1">
        <f>'[1]Electricity and CHPs_CAP'!J$66</f>
        <v>0.12913400348946602</v>
      </c>
      <c r="O1819" s="1">
        <f>'[1]Electricity and CHPs_CAP'!K$66</f>
        <v>0.13477190848578247</v>
      </c>
      <c r="P1819" s="1">
        <f>'[1]Electricity and CHPs_CAP'!L$66</f>
        <v>0.16711112419033891</v>
      </c>
      <c r="Q1819" s="1">
        <f>'[1]Electricity and CHPs_CAP'!M$66</f>
        <v>0.14140738654820736</v>
      </c>
      <c r="S1819" s="3"/>
    </row>
    <row r="1820" spans="2:19" x14ac:dyDescent="0.5">
      <c r="B1820" s="5" t="str">
        <f t="shared" si="1998"/>
        <v>SPS1</v>
      </c>
      <c r="C1820" s="5" t="str">
        <f t="shared" si="1998"/>
        <v>CH</v>
      </c>
      <c r="D1820" t="s">
        <v>1855</v>
      </c>
      <c r="E1820" t="str">
        <f t="shared" si="1979"/>
        <v>GWe/yr.</v>
      </c>
      <c r="F1820" s="1">
        <f>'[1]Electricity and CHPs_CAP'!B$67</f>
        <v>6.2560152925770877E-4</v>
      </c>
      <c r="G1820" s="1">
        <f>'[1]Electricity and CHPs_CAP'!C$67</f>
        <v>6.2628912355617542E-4</v>
      </c>
      <c r="H1820" s="1">
        <f>'[1]Electricity and CHPs_CAP'!D$67</f>
        <v>6.2847745217804675E-4</v>
      </c>
      <c r="I1820" s="1">
        <f>'[1]Electricity and CHPs_CAP'!E$67</f>
        <v>3.5651035266733085E-2</v>
      </c>
      <c r="J1820" s="1">
        <f>'[1]Electricity and CHPs_CAP'!F$67</f>
        <v>3.6479262743329542E-2</v>
      </c>
      <c r="K1820" s="1">
        <f>'[1]Electricity and CHPs_CAP'!G$67</f>
        <v>3.1326871614930682E-2</v>
      </c>
      <c r="L1820" s="1">
        <f>'[1]Electricity and CHPs_CAP'!H$67</f>
        <v>4.2872529951263685E-2</v>
      </c>
      <c r="M1820" s="1">
        <f>'[1]Electricity and CHPs_CAP'!I$67</f>
        <v>4.6059700208553767E-2</v>
      </c>
      <c r="N1820" s="1">
        <f>'[1]Electricity and CHPs_CAP'!J$67</f>
        <v>3.9082722109743687E-2</v>
      </c>
      <c r="O1820" s="1">
        <f>'[1]Electricity and CHPs_CAP'!K$67</f>
        <v>5.9525776082560308E-2</v>
      </c>
      <c r="P1820" s="1">
        <f>'[1]Electricity and CHPs_CAP'!L$67</f>
        <v>5.3737419866298333E-2</v>
      </c>
      <c r="Q1820" s="1">
        <f>'[1]Electricity and CHPs_CAP'!M$67</f>
        <v>6.9341445242819183E-2</v>
      </c>
      <c r="S1820" s="3"/>
    </row>
    <row r="1821" spans="2:19" x14ac:dyDescent="0.5">
      <c r="B1821" s="5" t="str">
        <f t="shared" ref="B1821:C1822" si="2006">B1820</f>
        <v>SPS1</v>
      </c>
      <c r="C1821" s="5" t="str">
        <f t="shared" si="2006"/>
        <v>CH</v>
      </c>
      <c r="D1821" t="s">
        <v>1850</v>
      </c>
      <c r="E1821" t="str">
        <f t="shared" si="1979"/>
        <v>GWe/yr.</v>
      </c>
      <c r="F1821" s="1">
        <f>'[1]Electricity and CHPs_CAP'!B$68</f>
        <v>6.2513997368883532E-4</v>
      </c>
      <c r="G1821" s="1">
        <f>'[1]Electricity and CHPs_CAP'!C$68</f>
        <v>6.2582497882396923E-4</v>
      </c>
      <c r="H1821" s="1">
        <f>'[1]Electricity and CHPs_CAP'!D$68</f>
        <v>6.2800377662059728E-4</v>
      </c>
      <c r="I1821" s="1">
        <f>'[1]Electricity and CHPs_CAP'!E$68</f>
        <v>4.526305564047782E-2</v>
      </c>
      <c r="J1821" s="1">
        <f>'[1]Electricity and CHPs_CAP'!F$68</f>
        <v>5.7107807884387296E-2</v>
      </c>
      <c r="K1821" s="1">
        <f>'[1]Electricity and CHPs_CAP'!G$68</f>
        <v>4.7294292558497243E-2</v>
      </c>
      <c r="L1821" s="1">
        <f>'[1]Electricity and CHPs_CAP'!H$68</f>
        <v>4.3564308896723539E-2</v>
      </c>
      <c r="M1821" s="1">
        <f>'[1]Electricity and CHPs_CAP'!I$68</f>
        <v>5.8180627340737326E-2</v>
      </c>
      <c r="N1821" s="1">
        <f>'[1]Electricity and CHPs_CAP'!J$68</f>
        <v>6.6232862506465623E-2</v>
      </c>
      <c r="O1821" s="1">
        <f>'[1]Electricity and CHPs_CAP'!K$68</f>
        <v>6.0695089796765134E-2</v>
      </c>
      <c r="P1821" s="1">
        <f>'[1]Electricity and CHPs_CAP'!L$68</f>
        <v>5.3615357100894566E-2</v>
      </c>
      <c r="Q1821" s="1">
        <f>'[1]Electricity and CHPs_CAP'!M$68</f>
        <v>6.9480161920926001E-2</v>
      </c>
      <c r="S1821" s="3"/>
    </row>
    <row r="1822" spans="2:19" x14ac:dyDescent="0.5">
      <c r="B1822" s="5" t="str">
        <f t="shared" si="2006"/>
        <v>SPS1</v>
      </c>
      <c r="C1822" s="5" t="str">
        <f t="shared" si="2006"/>
        <v>CH</v>
      </c>
      <c r="D1822" t="s">
        <v>1851</v>
      </c>
      <c r="E1822" t="str">
        <f t="shared" si="1979"/>
        <v>GWe/yr.</v>
      </c>
      <c r="F1822" s="1">
        <f>'[1]Electricity and CHPs_CAP'!B$69</f>
        <v>3.1266854021912307E-4</v>
      </c>
      <c r="G1822" s="1">
        <f>'[1]Electricity and CHPs_CAP'!C$69</f>
        <v>3.1301360768668754E-4</v>
      </c>
      <c r="H1822" s="1">
        <f>'[1]Electricity and CHPs_CAP'!D$69</f>
        <v>3.1403796467868191E-4</v>
      </c>
      <c r="I1822" s="1">
        <f>'[1]Electricity and CHPs_CAP'!E$69</f>
        <v>2.6674357702079207E-2</v>
      </c>
      <c r="J1822" s="1">
        <f>'[1]Electricity and CHPs_CAP'!F$69</f>
        <v>4.5129400079313826E-2</v>
      </c>
      <c r="K1822" s="1">
        <f>'[1]Electricity and CHPs_CAP'!G$69</f>
        <v>3.53447832956661E-2</v>
      </c>
      <c r="L1822" s="1">
        <f>'[1]Electricity and CHPs_CAP'!H$69</f>
        <v>2.7373045333994896E-2</v>
      </c>
      <c r="M1822" s="1">
        <f>'[1]Electricity and CHPs_CAP'!I$69</f>
        <v>3.9493341485001603E-2</v>
      </c>
      <c r="N1822" s="1">
        <f>'[1]Electricity and CHPs_CAP'!J$69</f>
        <v>4.6569250043718875E-2</v>
      </c>
      <c r="O1822" s="1">
        <f>'[1]Electricity and CHPs_CAP'!K$69</f>
        <v>4.0475136918184614E-2</v>
      </c>
      <c r="P1822" s="1">
        <f>'[1]Electricity and CHPs_CAP'!L$69</f>
        <v>3.5828358163597043E-2</v>
      </c>
      <c r="Q1822" s="1">
        <f>'[1]Electricity and CHPs_CAP'!M$69</f>
        <v>4.6503802835493095E-2</v>
      </c>
      <c r="S1822" s="3"/>
    </row>
    <row r="1823" spans="2:19" x14ac:dyDescent="0.5">
      <c r="B1823" s="5" t="str">
        <f t="shared" ref="B1823:C1823" si="2007">B1822</f>
        <v>SPS1</v>
      </c>
      <c r="C1823" s="5" t="str">
        <f t="shared" si="2007"/>
        <v>CH</v>
      </c>
      <c r="D1823" s="2" t="s">
        <v>1860</v>
      </c>
      <c r="E1823" s="2" t="s">
        <v>1858</v>
      </c>
      <c r="F1823" s="3">
        <f>SUM(F1824,F1843)</f>
        <v>11.163976610225889</v>
      </c>
      <c r="G1823" s="3">
        <f t="shared" ref="G1823:K1823" si="2008">SUM(G1824,G1843)</f>
        <v>11.924250980136909</v>
      </c>
      <c r="H1823" s="3">
        <f t="shared" si="2008"/>
        <v>11.971841678169284</v>
      </c>
      <c r="I1823" s="3">
        <f t="shared" si="2008"/>
        <v>12.86577982360005</v>
      </c>
      <c r="J1823" s="3">
        <f t="shared" si="2008"/>
        <v>11.233884828060674</v>
      </c>
      <c r="K1823" s="3">
        <f t="shared" si="2008"/>
        <v>10.367578222874265</v>
      </c>
      <c r="L1823" s="3">
        <f t="shared" ref="L1823:O1823" si="2009">SUM(L1824,L1843)</f>
        <v>10.496845307055088</v>
      </c>
      <c r="M1823" s="3">
        <f t="shared" si="2009"/>
        <v>10.932972157993206</v>
      </c>
      <c r="N1823" s="3">
        <f t="shared" si="2009"/>
        <v>10.475876331878348</v>
      </c>
      <c r="O1823" s="3">
        <f t="shared" si="2009"/>
        <v>10.347195601110174</v>
      </c>
      <c r="P1823" s="3">
        <f>SUM(P1824,P1843)</f>
        <v>9.9885494081538777</v>
      </c>
      <c r="Q1823" s="3">
        <f>SUM(Q1824,Q1843)</f>
        <v>9.488392224795799</v>
      </c>
      <c r="S1823" s="3"/>
    </row>
    <row r="1824" spans="2:19" x14ac:dyDescent="0.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9.3029914108933394</v>
      </c>
      <c r="G1824" s="1">
        <f t="shared" ref="G1824:K1824" si="2010">SUM(G1825,G1828,G1830,G1833,G1835,G1837,G1839,G1841)</f>
        <v>9.9056344069879358</v>
      </c>
      <c r="H1824" s="1">
        <f t="shared" si="2010"/>
        <v>10.065959841500582</v>
      </c>
      <c r="I1824" s="1">
        <f t="shared" si="2010"/>
        <v>10.720743026869203</v>
      </c>
      <c r="J1824" s="1">
        <f t="shared" si="2010"/>
        <v>9.3452732642201948</v>
      </c>
      <c r="K1824" s="1">
        <f t="shared" si="2010"/>
        <v>8.6072832788882021</v>
      </c>
      <c r="L1824" s="1">
        <f t="shared" ref="L1824:O1824" si="2011">SUM(L1825,L1828,L1830,L1833,L1835,L1837,L1839,L1841)</f>
        <v>8.6672308683625641</v>
      </c>
      <c r="M1824" s="1">
        <f t="shared" si="2011"/>
        <v>8.6918249908560909</v>
      </c>
      <c r="N1824" s="1">
        <f t="shared" si="2011"/>
        <v>8.3739836741327824</v>
      </c>
      <c r="O1824" s="1">
        <f t="shared" si="2011"/>
        <v>8.3106874972872902</v>
      </c>
      <c r="P1824" s="1">
        <f>SUM(P1825,P1828,P1830,P1833,P1835,P1837,P1839,P1841)</f>
        <v>8.0886575100398037</v>
      </c>
      <c r="Q1824" s="1">
        <f>SUM(Q1825,Q1828,Q1830,Q1833,Q1835,Q1837,Q1839,Q1841)</f>
        <v>7.6736489070630771</v>
      </c>
      <c r="S1824" s="3"/>
    </row>
    <row r="1825" spans="2:19" x14ac:dyDescent="0.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2.1116612705835034</v>
      </c>
      <c r="G1825" s="1">
        <f t="shared" ref="G1825:K1825" si="2012">SUM(G1826:G1827)</f>
        <v>2.4147827673988216</v>
      </c>
      <c r="H1825" s="1">
        <f t="shared" si="2012"/>
        <v>2.5716477218621328</v>
      </c>
      <c r="I1825" s="1">
        <f t="shared" si="2012"/>
        <v>3.1743094291134337</v>
      </c>
      <c r="J1825" s="1">
        <f t="shared" si="2012"/>
        <v>3.7612013615687379</v>
      </c>
      <c r="K1825" s="1">
        <f t="shared" si="2012"/>
        <v>3.7347136561245913</v>
      </c>
      <c r="L1825" s="1">
        <f t="shared" ref="L1825:O1825" si="2013">SUM(L1826:L1827)</f>
        <v>4.5033562004687555</v>
      </c>
      <c r="M1825" s="1">
        <f t="shared" si="2013"/>
        <v>5.5823950796073101</v>
      </c>
      <c r="N1825" s="1">
        <f t="shared" si="2013"/>
        <v>6.1461317641887838</v>
      </c>
      <c r="O1825" s="1">
        <f t="shared" si="2013"/>
        <v>6.2440447885331691</v>
      </c>
      <c r="P1825" s="1">
        <f>SUM(P1826:P1827)</f>
        <v>6.2202810895928531</v>
      </c>
      <c r="Q1825" s="1">
        <f>SUM(Q1826:Q1827)</f>
        <v>6.0502818713779458</v>
      </c>
      <c r="S1825" s="3"/>
    </row>
    <row r="1826" spans="2:19" x14ac:dyDescent="0.5">
      <c r="B1826" s="5" t="str">
        <f t="shared" ref="B1826:C1826" si="2014">B1825</f>
        <v>SPS1</v>
      </c>
      <c r="C1826" s="5" t="str">
        <f t="shared" si="2014"/>
        <v>CH</v>
      </c>
      <c r="D1826" t="s">
        <v>1862</v>
      </c>
      <c r="E1826" t="str">
        <f t="shared" ref="E1826:E1889" si="2015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0.67257096690271667</v>
      </c>
      <c r="G1826" s="1" cm="1">
        <f t="array" ref="G1826">SUMPRODUCT(([1]OUT_FinalEnergyCons!$B$4:$B$10000="var_cap")*1,(ISNUMBER(SEARCH("RH*-SHELCBR",[1]OUT_FinalEnergyCons!$A$4:$A$10000)))*1,[1]OUT_FinalEnergyCons!E$4:E$10000)</f>
        <v>0.70275779866866706</v>
      </c>
      <c r="H1826" s="1" cm="1">
        <f t="array" ref="H1826">SUMPRODUCT(([1]OUT_FinalEnergyCons!$B$4:$B$10000="var_cap")*1,(ISNUMBER(SEARCH("RH*-SHELCBR",[1]OUT_FinalEnergyCons!$A$4:$A$10000)))*1,[1]OUT_FinalEnergyCons!F$4:F$10000)</f>
        <v>0.70275419997298294</v>
      </c>
      <c r="I1826" s="1" cm="1">
        <f t="array" ref="I1826">SUMPRODUCT(([1]OUT_FinalEnergyCons!$B$4:$B$10000="var_cap")*1,(ISNUMBER(SEARCH("RH*-SHELCBR",[1]OUT_FinalEnergyCons!$A$4:$A$10000)))*1,[1]OUT_FinalEnergyCons!G$4:G$10000)</f>
        <v>0.67110187826244105</v>
      </c>
      <c r="J1826" s="1" cm="1">
        <f t="array" ref="J1826">SUMPRODUCT(([1]OUT_FinalEnergyCons!$B$4:$B$10000="var_cap")*1,(ISNUMBER(SEARCH("RH*-SHELCBR",[1]OUT_FinalEnergyCons!$A$4:$A$10000)))*1,[1]OUT_FinalEnergyCons!H$4:H$10000)</f>
        <v>0.26834586514702413</v>
      </c>
      <c r="K1826" s="1" cm="1">
        <f t="array" ref="K1826">SUMPRODUCT(([1]OUT_FinalEnergyCons!$B$4:$B$10000="var_cap")*1,(ISNUMBER(SEARCH("RH*-SHELCBR",[1]OUT_FinalEnergyCons!$A$4:$A$10000)))*1,[1]OUT_FinalEnergyCons!I$4:I$10000)</f>
        <v>0.18490811561271589</v>
      </c>
      <c r="L1826" s="1" cm="1">
        <f t="array" ref="L1826">SUMPRODUCT(([1]OUT_FinalEnergyCons!$B$4:$B$10000="var_cap")*1,(ISNUMBER(SEARCH("RH*-SHELCBR",[1]OUT_FinalEnergyCons!$A$4:$A$10000)))*1,[1]OUT_FinalEnergyCons!J$4:J$10000)</f>
        <v>0.16412555467456605</v>
      </c>
      <c r="M1826" s="1" cm="1">
        <f t="array" ref="M1826">SUMPRODUCT(([1]OUT_FinalEnergyCons!$B$4:$B$10000="var_cap")*1,(ISNUMBER(SEARCH("RH*-SHELCBR",[1]OUT_FinalEnergyCons!$A$4:$A$10000)))*1,[1]OUT_FinalEnergyCons!K$4:K$10000)</f>
        <v>0.18921506422154688</v>
      </c>
      <c r="N1826" s="1" cm="1">
        <f t="array" ref="N1826">SUMPRODUCT(([1]OUT_FinalEnergyCons!$B$4:$B$10000="var_cap")*1,(ISNUMBER(SEARCH("RH*-SHELCBR",[1]OUT_FinalEnergyCons!$A$4:$A$10000)))*1,[1]OUT_FinalEnergyCons!L$4:L$10000)</f>
        <v>0.32204113192164463</v>
      </c>
      <c r="O1826" s="1" cm="1">
        <f t="array" ref="O1826">SUMPRODUCT(([1]OUT_FinalEnergyCons!$B$4:$B$10000="var_cap")*1,(ISNUMBER(SEARCH("RH*-SHELCBR",[1]OUT_FinalEnergyCons!$A$4:$A$10000)))*1,[1]OUT_FinalEnergyCons!M$4:M$10000)</f>
        <v>0.33142764363754285</v>
      </c>
      <c r="P1826" s="1" cm="1">
        <f t="array" ref="P1826">SUMPRODUCT(([1]OUT_FinalEnergyCons!$B$4:$B$10000="var_cap")*1,(ISNUMBER(SEARCH("RH*-SHELCBR",[1]OUT_FinalEnergyCons!$A$4:$A$10000)))*1,[1]OUT_FinalEnergyCons!N$4:N$10000)</f>
        <v>0.29904588986630015</v>
      </c>
      <c r="Q1826" s="1" cm="1">
        <f t="array" ref="Q1826">SUMPRODUCT(([1]OUT_FinalEnergyCons!$B$4:$B$10000="var_cap")*1,(ISNUMBER(SEARCH("RH*-SHELCBR",[1]OUT_FinalEnergyCons!$A$4:$A$10000)))*1,[1]OUT_FinalEnergyCons!O$4:O$10000)</f>
        <v>0.13852161996029705</v>
      </c>
      <c r="S1826" s="3"/>
    </row>
    <row r="1827" spans="2:19" x14ac:dyDescent="0.5">
      <c r="B1827" s="5" t="str">
        <f t="shared" ref="B1827:C1827" si="2016">B1826</f>
        <v>SPS1</v>
      </c>
      <c r="C1827" s="5" t="str">
        <f t="shared" si="2016"/>
        <v>CH</v>
      </c>
      <c r="D1827" t="s">
        <v>1863</v>
      </c>
      <c r="E1827" t="str">
        <f t="shared" si="2015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1.4390903036807867</v>
      </c>
      <c r="G1827" s="1" cm="1">
        <f t="array" ref="G1827">SUMPRODUCT(([1]OUT_FinalEnergyCons!$B$4:$B$10000="var_cap")*1,ISNUMBER(SEARCH("RH*-SHELCHP",[1]OUT_FinalEnergyCons!$A$4:$A$10000))*1,[1]OUT_FinalEnergyCons!E$4:E$10000)</f>
        <v>1.7120249687301543</v>
      </c>
      <c r="H1827" s="1" cm="1">
        <f t="array" ref="H1827">SUMPRODUCT(([1]OUT_FinalEnergyCons!$B$4:$B$10000="var_cap")*1,ISNUMBER(SEARCH("RH*-SHELCHP",[1]OUT_FinalEnergyCons!$A$4:$A$10000))*1,[1]OUT_FinalEnergyCons!F$4:F$10000)</f>
        <v>1.8688935218891498</v>
      </c>
      <c r="I1827" s="1" cm="1">
        <f t="array" ref="I1827">SUMPRODUCT(([1]OUT_FinalEnergyCons!$B$4:$B$10000="var_cap")*1,ISNUMBER(SEARCH("RH*-SHELCHP",[1]OUT_FinalEnergyCons!$A$4:$A$10000))*1,[1]OUT_FinalEnergyCons!G$4:G$10000)</f>
        <v>2.5032075508509926</v>
      </c>
      <c r="J1827" s="1" cm="1">
        <f t="array" ref="J1827">SUMPRODUCT(([1]OUT_FinalEnergyCons!$B$4:$B$10000="var_cap")*1,ISNUMBER(SEARCH("RH*-SHELCHP",[1]OUT_FinalEnergyCons!$A$4:$A$10000))*1,[1]OUT_FinalEnergyCons!H$4:H$10000)</f>
        <v>3.4928554964217136</v>
      </c>
      <c r="K1827" s="1" cm="1">
        <f t="array" ref="K1827">SUMPRODUCT(([1]OUT_FinalEnergyCons!$B$4:$B$10000="var_cap")*1,ISNUMBER(SEARCH("RH*-SHELCHP",[1]OUT_FinalEnergyCons!$A$4:$A$10000))*1,[1]OUT_FinalEnergyCons!I$4:I$10000)</f>
        <v>3.5498055405118754</v>
      </c>
      <c r="L1827" s="1" cm="1">
        <f t="array" ref="L1827">SUMPRODUCT(([1]OUT_FinalEnergyCons!$B$4:$B$10000="var_cap")*1,ISNUMBER(SEARCH("RH*-SHELCHP",[1]OUT_FinalEnergyCons!$A$4:$A$10000))*1,[1]OUT_FinalEnergyCons!J$4:J$10000)</f>
        <v>4.3392306457941894</v>
      </c>
      <c r="M1827" s="1" cm="1">
        <f t="array" ref="M1827">SUMPRODUCT(([1]OUT_FinalEnergyCons!$B$4:$B$10000="var_cap")*1,ISNUMBER(SEARCH("RH*-SHELCHP",[1]OUT_FinalEnergyCons!$A$4:$A$10000))*1,[1]OUT_FinalEnergyCons!K$4:K$10000)</f>
        <v>5.393180015385763</v>
      </c>
      <c r="N1827" s="1" cm="1">
        <f t="array" ref="N1827">SUMPRODUCT(([1]OUT_FinalEnergyCons!$B$4:$B$10000="var_cap")*1,ISNUMBER(SEARCH("RH*-SHELCHP",[1]OUT_FinalEnergyCons!$A$4:$A$10000))*1,[1]OUT_FinalEnergyCons!L$4:L$10000)</f>
        <v>5.8240906322671391</v>
      </c>
      <c r="O1827" s="1" cm="1">
        <f t="array" ref="O1827">SUMPRODUCT(([1]OUT_FinalEnergyCons!$B$4:$B$10000="var_cap")*1,ISNUMBER(SEARCH("RH*-SHELCHP",[1]OUT_FinalEnergyCons!$A$4:$A$10000))*1,[1]OUT_FinalEnergyCons!M$4:M$10000)</f>
        <v>5.9126171448956262</v>
      </c>
      <c r="P1827" s="1" cm="1">
        <f t="array" ref="P1827">SUMPRODUCT(([1]OUT_FinalEnergyCons!$B$4:$B$10000="var_cap")*1,ISNUMBER(SEARCH("RH*-SHELCHP",[1]OUT_FinalEnergyCons!$A$4:$A$10000))*1,[1]OUT_FinalEnergyCons!N$4:N$10000)</f>
        <v>5.9212351997265529</v>
      </c>
      <c r="Q1827" s="1" cm="1">
        <f t="array" ref="Q1827">SUMPRODUCT(([1]OUT_FinalEnergyCons!$B$4:$B$10000="var_cap")*1,ISNUMBER(SEARCH("RH*-SHELCHP",[1]OUT_FinalEnergyCons!$A$4:$A$10000))*1,[1]OUT_FinalEnergyCons!O$4:O$10000)</f>
        <v>5.9117602514176486</v>
      </c>
      <c r="S1827" s="3"/>
    </row>
    <row r="1828" spans="2:19" x14ac:dyDescent="0.5">
      <c r="B1828" s="5" t="str">
        <f t="shared" ref="B1828:C1828" si="2017">B1827</f>
        <v>SPS1</v>
      </c>
      <c r="C1828" s="5" t="str">
        <f t="shared" si="2017"/>
        <v>CH</v>
      </c>
      <c r="D1828" t="s">
        <v>1864</v>
      </c>
      <c r="E1828" t="str">
        <f t="shared" si="2015"/>
        <v>GWth/yr.</v>
      </c>
      <c r="F1828" s="1">
        <f>F1829</f>
        <v>3.4074053831106799</v>
      </c>
      <c r="G1828" s="1">
        <f t="shared" ref="G1828:O1828" si="2018">G1829</f>
        <v>3.4074036542718673</v>
      </c>
      <c r="H1828" s="1">
        <f t="shared" si="2018"/>
        <v>3.4074019204961621</v>
      </c>
      <c r="I1828" s="1">
        <f t="shared" si="2018"/>
        <v>3.4074005125405318</v>
      </c>
      <c r="J1828" s="1">
        <f t="shared" si="2018"/>
        <v>1.3781555968847488</v>
      </c>
      <c r="K1828" s="1">
        <f t="shared" si="2018"/>
        <v>0.6813267045703828</v>
      </c>
      <c r="L1828" s="1">
        <f t="shared" si="2018"/>
        <v>0.46733462168784701</v>
      </c>
      <c r="M1828" s="1">
        <f t="shared" si="2018"/>
        <v>0.45251387656732012</v>
      </c>
      <c r="N1828" s="1">
        <f t="shared" si="2018"/>
        <v>0.40557582345387128</v>
      </c>
      <c r="O1828" s="1">
        <f t="shared" si="2018"/>
        <v>0.37686150611759961</v>
      </c>
      <c r="P1828" s="1">
        <f>P1829</f>
        <v>0.23173198637944994</v>
      </c>
      <c r="Q1828" s="1">
        <f>Q1829</f>
        <v>0.10873998077790843</v>
      </c>
      <c r="S1828" s="3"/>
    </row>
    <row r="1829" spans="2:19" x14ac:dyDescent="0.5">
      <c r="B1829" s="5" t="str">
        <f t="shared" ref="B1829:C1829" si="2019">B1828</f>
        <v>SPS1</v>
      </c>
      <c r="C1829" s="5" t="str">
        <f t="shared" si="2019"/>
        <v>CH</v>
      </c>
      <c r="D1829" t="s">
        <v>1865</v>
      </c>
      <c r="E1829" t="str">
        <f t="shared" si="2015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3.4074036542718673</v>
      </c>
      <c r="H1829" s="1" cm="1">
        <f t="array" ref="H1829">SUMPRODUCT(([1]OUT_FinalEnergyCons!$B$4:$B$10000="var_cap")*1, (ISNUMBER(SEARCH("RH*-SHLFOBR",[1]OUT_FinalEnergyCons!$A$4:$A$10000)))*1,[1]OUT_FinalEnergyCons!F$4:F$10000)</f>
        <v>3.4074019204961621</v>
      </c>
      <c r="I1829" s="1" cm="1">
        <f t="array" ref="I1829">SUMPRODUCT(([1]OUT_FinalEnergyCons!$B$4:$B$10000="var_cap")*1, (ISNUMBER(SEARCH("RH*-SHLFOBR",[1]OUT_FinalEnergyCons!$A$4:$A$10000)))*1,[1]OUT_FinalEnergyCons!G$4:G$10000)</f>
        <v>3.4074005125405318</v>
      </c>
      <c r="J1829" s="1" cm="1">
        <f t="array" ref="J1829">SUMPRODUCT(([1]OUT_FinalEnergyCons!$B$4:$B$10000="var_cap")*1, (ISNUMBER(SEARCH("RH*-SHLFOBR",[1]OUT_FinalEnergyCons!$A$4:$A$10000)))*1,[1]OUT_FinalEnergyCons!H$4:H$10000)</f>
        <v>1.3781555968847488</v>
      </c>
      <c r="K1829" s="1" cm="1">
        <f t="array" ref="K1829">SUMPRODUCT(([1]OUT_FinalEnergyCons!$B$4:$B$10000="var_cap")*1, (ISNUMBER(SEARCH("RH*-SHLFOBR",[1]OUT_FinalEnergyCons!$A$4:$A$10000)))*1,[1]OUT_FinalEnergyCons!I$4:I$10000)</f>
        <v>0.6813267045703828</v>
      </c>
      <c r="L1829" s="1" cm="1">
        <f t="array" ref="L1829">SUMPRODUCT(([1]OUT_FinalEnergyCons!$B$4:$B$10000="var_cap")*1, (ISNUMBER(SEARCH("RH*-SHLFOBR",[1]OUT_FinalEnergyCons!$A$4:$A$10000)))*1,[1]OUT_FinalEnergyCons!J$4:J$10000)</f>
        <v>0.46733462168784701</v>
      </c>
      <c r="M1829" s="1" cm="1">
        <f t="array" ref="M1829">SUMPRODUCT(([1]OUT_FinalEnergyCons!$B$4:$B$10000="var_cap")*1, (ISNUMBER(SEARCH("RH*-SHLFOBR",[1]OUT_FinalEnergyCons!$A$4:$A$10000)))*1,[1]OUT_FinalEnergyCons!K$4:K$10000)</f>
        <v>0.45251387656732012</v>
      </c>
      <c r="N1829" s="1" cm="1">
        <f t="array" ref="N1829">SUMPRODUCT(([1]OUT_FinalEnergyCons!$B$4:$B$10000="var_cap")*1, (ISNUMBER(SEARCH("RH*-SHLFOBR",[1]OUT_FinalEnergyCons!$A$4:$A$10000)))*1,[1]OUT_FinalEnergyCons!L$4:L$10000)</f>
        <v>0.40557582345387128</v>
      </c>
      <c r="O1829" s="1" cm="1">
        <f t="array" ref="O1829">SUMPRODUCT(([1]OUT_FinalEnergyCons!$B$4:$B$10000="var_cap")*1, (ISNUMBER(SEARCH("RH*-SHLFOBR",[1]OUT_FinalEnergyCons!$A$4:$A$10000)))*1,[1]OUT_FinalEnergyCons!M$4:M$10000)</f>
        <v>0.37686150611759961</v>
      </c>
      <c r="P1829" s="1" cm="1">
        <f t="array" ref="P1829">SUMPRODUCT(([1]OUT_FinalEnergyCons!$B$4:$B$10000="var_cap")*1, (ISNUMBER(SEARCH("RH*-SHLFOBR",[1]OUT_FinalEnergyCons!$A$4:$A$10000)))*1,[1]OUT_FinalEnergyCons!N$4:N$10000)</f>
        <v>0.23173198637944994</v>
      </c>
      <c r="Q1829" s="1" cm="1">
        <f t="array" ref="Q1829">SUMPRODUCT(([1]OUT_FinalEnergyCons!$B$4:$B$10000="var_cap")*1, (ISNUMBER(SEARCH("RH*-SHLFOBR",[1]OUT_FinalEnergyCons!$A$4:$A$10000)))*1,[1]OUT_FinalEnergyCons!O$4:O$10000)</f>
        <v>0.10873998077790843</v>
      </c>
      <c r="S1829" s="3"/>
    </row>
    <row r="1830" spans="2:19" x14ac:dyDescent="0.5">
      <c r="B1830" s="5" t="str">
        <f t="shared" ref="B1830:C1830" si="2020">B1829</f>
        <v>SPS1</v>
      </c>
      <c r="C1830" s="5" t="str">
        <f t="shared" si="2020"/>
        <v>CH</v>
      </c>
      <c r="D1830" t="s">
        <v>1866</v>
      </c>
      <c r="E1830" t="str">
        <f t="shared" si="2015"/>
        <v>GWth/yr.</v>
      </c>
      <c r="F1830" s="1">
        <f>SUM(F1831:F1832)</f>
        <v>2.7687541870151131</v>
      </c>
      <c r="G1830" s="1">
        <f t="shared" ref="G1830:K1830" si="2021">SUM(G1831:G1832)</f>
        <v>3.0009460381844568</v>
      </c>
      <c r="H1830" s="1">
        <f t="shared" si="2021"/>
        <v>3.0045545839037233</v>
      </c>
      <c r="I1830" s="1">
        <f t="shared" si="2021"/>
        <v>3.0179580204950578</v>
      </c>
      <c r="J1830" s="1">
        <f t="shared" si="2021"/>
        <v>3.3314726579292295</v>
      </c>
      <c r="K1830" s="1">
        <f t="shared" si="2021"/>
        <v>3.4291940740973974</v>
      </c>
      <c r="L1830" s="1">
        <f t="shared" ref="L1830:O1830" si="2022">SUM(L1831:L1832)</f>
        <v>2.9570726336200241</v>
      </c>
      <c r="M1830" s="1">
        <f t="shared" si="2022"/>
        <v>1.6174192978376332</v>
      </c>
      <c r="N1830" s="1">
        <f t="shared" si="2022"/>
        <v>0.80416687464396253</v>
      </c>
      <c r="O1830" s="1">
        <f t="shared" si="2022"/>
        <v>0.68118141733796378</v>
      </c>
      <c r="P1830" s="1">
        <f>SUM(P1831:P1832)</f>
        <v>0.62646283038131823</v>
      </c>
      <c r="Q1830" s="1">
        <f>SUM(Q1831:Q1832)</f>
        <v>0.55726191260371694</v>
      </c>
      <c r="S1830" s="3"/>
    </row>
    <row r="1831" spans="2:19" x14ac:dyDescent="0.5">
      <c r="B1831" s="5" t="str">
        <f t="shared" ref="B1831:C1831" si="2023">B1830</f>
        <v>SPS1</v>
      </c>
      <c r="C1831" s="5" t="str">
        <f t="shared" si="2023"/>
        <v>CH</v>
      </c>
      <c r="D1831" t="s">
        <v>1867</v>
      </c>
      <c r="E1831" t="str">
        <f t="shared" si="2015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3.0009446253634353</v>
      </c>
      <c r="H1831" s="1" cm="1">
        <f t="array" ref="H1831">SUMPRODUCT(([1]OUT_FinalEnergyCons!$B$4:$B$10000="var_cap")*1, (ISNUMBER(SEARCH("RH*-SHNGABR",[1]OUT_FinalEnergyCons!$A$4:$A$10000)))*1,[1]OUT_FinalEnergyCons!F$4:F$10000)</f>
        <v>3.0036905821361417</v>
      </c>
      <c r="I1831" s="1" cm="1">
        <f t="array" ref="I1831">SUMPRODUCT(([1]OUT_FinalEnergyCons!$B$4:$B$10000="var_cap")*1, (ISNUMBER(SEARCH("RH*-SHNGABR",[1]OUT_FinalEnergyCons!$A$4:$A$10000)))*1,[1]OUT_FinalEnergyCons!G$4:G$10000)</f>
        <v>3.0170557788904109</v>
      </c>
      <c r="J1831" s="1" cm="1">
        <f t="array" ref="J1831">SUMPRODUCT(([1]OUT_FinalEnergyCons!$B$4:$B$10000="var_cap")*1, (ISNUMBER(SEARCH("RH*-SHNGABR",[1]OUT_FinalEnergyCons!$A$4:$A$10000)))*1,[1]OUT_FinalEnergyCons!H$4:H$10000)</f>
        <v>2.7658413258617918</v>
      </c>
      <c r="K1831" s="1" cm="1">
        <f t="array" ref="K1831">SUMPRODUCT(([1]OUT_FinalEnergyCons!$B$4:$B$10000="var_cap")*1, (ISNUMBER(SEARCH("RH*-SHNGABR",[1]OUT_FinalEnergyCons!$A$4:$A$10000)))*1,[1]OUT_FinalEnergyCons!I$4:I$10000)</f>
        <v>2.4540726198312131</v>
      </c>
      <c r="L1831" s="1" cm="1">
        <f t="array" ref="L1831">SUMPRODUCT(([1]OUT_FinalEnergyCons!$B$4:$B$10000="var_cap")*1, (ISNUMBER(SEARCH("RH*-SHNGABR",[1]OUT_FinalEnergyCons!$A$4:$A$10000)))*1,[1]OUT_FinalEnergyCons!J$4:J$10000)</f>
        <v>1.9821558588783017</v>
      </c>
      <c r="M1831" s="1" cm="1">
        <f t="array" ref="M1831">SUMPRODUCT(([1]OUT_FinalEnergyCons!$B$4:$B$10000="var_cap")*1, (ISNUMBER(SEARCH("RH*-SHNGABR",[1]OUT_FinalEnergyCons!$A$4:$A$10000)))*1,[1]OUT_FinalEnergyCons!K$4:K$10000)</f>
        <v>0.90785118517811503</v>
      </c>
      <c r="N1831" s="1" cm="1">
        <f t="array" ref="N1831">SUMPRODUCT(([1]OUT_FinalEnergyCons!$B$4:$B$10000="var_cap")*1, (ISNUMBER(SEARCH("RH*-SHNGABR",[1]OUT_FinalEnergyCons!$A$4:$A$10000)))*1,[1]OUT_FinalEnergyCons!L$4:L$10000)</f>
        <v>0.45936306890109974</v>
      </c>
      <c r="O1831" s="1" cm="1">
        <f t="array" ref="O1831">SUMPRODUCT(([1]OUT_FinalEnergyCons!$B$4:$B$10000="var_cap")*1, (ISNUMBER(SEARCH("RH*-SHNGABR",[1]OUT_FinalEnergyCons!$A$4:$A$10000)))*1,[1]OUT_FinalEnergyCons!M$4:M$10000)</f>
        <v>0.37895951266204186</v>
      </c>
      <c r="P1831" s="1" cm="1">
        <f t="array" ref="P1831">SUMPRODUCT(([1]OUT_FinalEnergyCons!$B$4:$B$10000="var_cap")*1, (ISNUMBER(SEARCH("RH*-SHNGABR",[1]OUT_FinalEnergyCons!$A$4:$A$10000)))*1,[1]OUT_FinalEnergyCons!N$4:N$10000)</f>
        <v>0.32369588746558925</v>
      </c>
      <c r="Q1831" s="1" cm="1">
        <f t="array" ref="Q1831">SUMPRODUCT(([1]OUT_FinalEnergyCons!$B$4:$B$10000="var_cap")*1, (ISNUMBER(SEARCH("RH*-SHNGABR",[1]OUT_FinalEnergyCons!$A$4:$A$10000)))*1,[1]OUT_FinalEnergyCons!O$4:O$10000)</f>
        <v>0.25676010115171383</v>
      </c>
      <c r="S1831" s="3"/>
    </row>
    <row r="1832" spans="2:19" x14ac:dyDescent="0.5">
      <c r="B1832" s="5" t="str">
        <f t="shared" ref="B1832:C1832" si="2024">B1831</f>
        <v>SPS1</v>
      </c>
      <c r="C1832" s="5" t="str">
        <f t="shared" si="2024"/>
        <v>CH</v>
      </c>
      <c r="D1832" t="s">
        <v>1868</v>
      </c>
      <c r="E1832" t="str">
        <f t="shared" si="2015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1.3577676305439399E-7</v>
      </c>
      <c r="G1832" s="1" cm="1">
        <f t="array" ref="G1832">SUMPRODUCT(([1]OUT_FinalEnergyCons!$B$4:$B$10000="var_cap")*1,ISNUMBER(SEARCH("RH*-SHngahp",[1]OUT_FinalEnergyCons!$A$4:$A$10000))*1,[1]OUT_FinalEnergyCons!E$4:E$10000)</f>
        <v>1.4128210212885627E-6</v>
      </c>
      <c r="H1832" s="1" cm="1">
        <f t="array" ref="H1832">SUMPRODUCT(([1]OUT_FinalEnergyCons!$B$4:$B$10000="var_cap")*1,ISNUMBER(SEARCH("RH*-SHngahp",[1]OUT_FinalEnergyCons!$A$4:$A$10000))*1,[1]OUT_FinalEnergyCons!F$4:F$10000)</f>
        <v>8.6400176758148599E-4</v>
      </c>
      <c r="I1832" s="1" cm="1">
        <f t="array" ref="I1832">SUMPRODUCT(([1]OUT_FinalEnergyCons!$B$4:$B$10000="var_cap")*1,ISNUMBER(SEARCH("RH*-SHngahp",[1]OUT_FinalEnergyCons!$A$4:$A$10000))*1,[1]OUT_FinalEnergyCons!G$4:G$10000)</f>
        <v>9.0224160464711896E-4</v>
      </c>
      <c r="J1832" s="1" cm="1">
        <f t="array" ref="J1832">SUMPRODUCT(([1]OUT_FinalEnergyCons!$B$4:$B$10000="var_cap")*1,ISNUMBER(SEARCH("RH*-SHngahp",[1]OUT_FinalEnergyCons!$A$4:$A$10000))*1,[1]OUT_FinalEnergyCons!H$4:H$10000)</f>
        <v>0.56563133206743788</v>
      </c>
      <c r="K1832" s="1" cm="1">
        <f t="array" ref="K1832">SUMPRODUCT(([1]OUT_FinalEnergyCons!$B$4:$B$10000="var_cap")*1,ISNUMBER(SEARCH("RH*-SHngahp",[1]OUT_FinalEnergyCons!$A$4:$A$10000))*1,[1]OUT_FinalEnergyCons!I$4:I$10000)</f>
        <v>0.97512145426618435</v>
      </c>
      <c r="L1832" s="1" cm="1">
        <f t="array" ref="L1832">SUMPRODUCT(([1]OUT_FinalEnergyCons!$B$4:$B$10000="var_cap")*1,ISNUMBER(SEARCH("RH*-SHngahp",[1]OUT_FinalEnergyCons!$A$4:$A$10000))*1,[1]OUT_FinalEnergyCons!J$4:J$10000)</f>
        <v>0.97491677474172223</v>
      </c>
      <c r="M1832" s="1" cm="1">
        <f t="array" ref="M1832">SUMPRODUCT(([1]OUT_FinalEnergyCons!$B$4:$B$10000="var_cap")*1,ISNUMBER(SEARCH("RH*-SHngahp",[1]OUT_FinalEnergyCons!$A$4:$A$10000))*1,[1]OUT_FinalEnergyCons!K$4:K$10000)</f>
        <v>0.70956811265951802</v>
      </c>
      <c r="N1832" s="1" cm="1">
        <f t="array" ref="N1832">SUMPRODUCT(([1]OUT_FinalEnergyCons!$B$4:$B$10000="var_cap")*1,ISNUMBER(SEARCH("RH*-SHngahp",[1]OUT_FinalEnergyCons!$A$4:$A$10000))*1,[1]OUT_FinalEnergyCons!L$4:L$10000)</f>
        <v>0.34480380574286285</v>
      </c>
      <c r="O1832" s="1" cm="1">
        <f t="array" ref="O1832">SUMPRODUCT(([1]OUT_FinalEnergyCons!$B$4:$B$10000="var_cap")*1,ISNUMBER(SEARCH("RH*-SHngahp",[1]OUT_FinalEnergyCons!$A$4:$A$10000))*1,[1]OUT_FinalEnergyCons!M$4:M$10000)</f>
        <v>0.30222190467592192</v>
      </c>
      <c r="P1832" s="1" cm="1">
        <f t="array" ref="P1832">SUMPRODUCT(([1]OUT_FinalEnergyCons!$B$4:$B$10000="var_cap")*1,ISNUMBER(SEARCH("RH*-SHngahp",[1]OUT_FinalEnergyCons!$A$4:$A$10000))*1,[1]OUT_FinalEnergyCons!N$4:N$10000)</f>
        <v>0.30276694291572903</v>
      </c>
      <c r="Q1832" s="1" cm="1">
        <f t="array" ref="Q1832">SUMPRODUCT(([1]OUT_FinalEnergyCons!$B$4:$B$10000="var_cap")*1,ISNUMBER(SEARCH("RH*-SHngahp",[1]OUT_FinalEnergyCons!$A$4:$A$10000))*1,[1]OUT_FinalEnergyCons!O$4:O$10000)</f>
        <v>0.30050181145200311</v>
      </c>
      <c r="S1832" s="3"/>
    </row>
    <row r="1833" spans="2:19" x14ac:dyDescent="0.5">
      <c r="B1833" s="5" t="str">
        <f t="shared" ref="B1833:C1833" si="2025">B1832</f>
        <v>SPS1</v>
      </c>
      <c r="C1833" s="5" t="str">
        <f t="shared" si="2025"/>
        <v>CH</v>
      </c>
      <c r="D1833" t="s">
        <v>1869</v>
      </c>
      <c r="E1833" t="str">
        <f t="shared" si="2015"/>
        <v>GWth/yr.</v>
      </c>
      <c r="F1833" s="1">
        <f>F1834</f>
        <v>7.0000000000000001E-3</v>
      </c>
      <c r="G1833" s="1">
        <f t="shared" ref="G1833:O1833" si="2026">G1834</f>
        <v>6.7474044764535288E-3</v>
      </c>
      <c r="H1833" s="1">
        <f t="shared" si="2026"/>
        <v>1.4948087538031035E-4</v>
      </c>
      <c r="I1833" s="1">
        <f t="shared" si="2026"/>
        <v>1.0352298915830994E-4</v>
      </c>
      <c r="J1833" s="1">
        <f t="shared" si="2026"/>
        <v>2.6814941538139993E-5</v>
      </c>
      <c r="K1833" s="1">
        <f t="shared" si="2026"/>
        <v>0</v>
      </c>
      <c r="L1833" s="1">
        <f t="shared" si="2026"/>
        <v>0</v>
      </c>
      <c r="M1833" s="1">
        <f t="shared" si="2026"/>
        <v>0</v>
      </c>
      <c r="N1833" s="1">
        <f t="shared" si="2026"/>
        <v>0</v>
      </c>
      <c r="O1833" s="1">
        <f t="shared" si="2026"/>
        <v>0</v>
      </c>
      <c r="P1833" s="1">
        <f>P1834</f>
        <v>0</v>
      </c>
      <c r="Q1833" s="1">
        <f>Q1834</f>
        <v>0</v>
      </c>
      <c r="S1833" s="3"/>
    </row>
    <row r="1834" spans="2:19" x14ac:dyDescent="0.5">
      <c r="B1834" s="5" t="str">
        <f t="shared" ref="B1834:C1834" si="2027">B1833</f>
        <v>SPS1</v>
      </c>
      <c r="C1834" s="5" t="str">
        <f t="shared" si="2027"/>
        <v>CH</v>
      </c>
      <c r="D1834" t="s">
        <v>1870</v>
      </c>
      <c r="E1834" t="str">
        <f t="shared" si="2015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6.7474044764535288E-3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1.4948087538031035E-4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1.0352298915830994E-4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2.6814941538139993E-5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M1834" s="1" cm="1">
        <f t="array" ref="M1834">IF(SUMPRODUCT(([1]OUT_FinalEnergyCons!$B$4:$B$10000="var_cap")*1, (ISNUMBER(SEARCH("RH*-SHCOABR",[1]OUT_FinalEnergyCons!$A$4:$A$10000)))*1,[1]OUT_FinalEnergyCons!K$4:K$10000)&lt;0,0,SUMPRODUCT(([1]OUT_FinalEnergyCons!$B$4:$B$10000="var_cap")*1, (ISNUMBER(SEARCH("RH*-SHCOABR",[1]OUT_FinalEnergyCons!$A$4:$A$10000)))*1,[1]OUT_FinalEnergyCons!K$4:K$10000))</f>
        <v>0</v>
      </c>
      <c r="N1834" s="1" cm="1">
        <f t="array" ref="N1834">IF(SUMPRODUCT(([1]OUT_FinalEnergyCons!$B$4:$B$10000="var_cap")*1, (ISNUMBER(SEARCH("RH*-SHCOABR",[1]OUT_FinalEnergyCons!$A$4:$A$10000)))*1,[1]OUT_FinalEnergyCons!L$4:L$10000)&lt;0,0,SUMPRODUCT(([1]OUT_FinalEnergyCons!$B$4:$B$10000="var_cap")*1, (ISNUMBER(SEARCH("RH*-SHCOABR",[1]OUT_FinalEnergyCons!$A$4:$A$10000)))*1,[1]OUT_FinalEnergyCons!L$4:L$10000))</f>
        <v>0</v>
      </c>
      <c r="O1834" s="1" cm="1">
        <f t="array" ref="O1834">IF(SUMPRODUCT(([1]OUT_FinalEnergyCons!$B$4:$B$10000="var_cap")*1, (ISNUMBER(SEARCH("RH*-SHCOABR",[1]OUT_FinalEnergyCons!$A$4:$A$10000)))*1,[1]OUT_FinalEnergyCons!M$4:M$10000)&lt;0,0,SUMPRODUCT(([1]OUT_FinalEnergyCons!$B$4:$B$10000="var_cap")*1, (ISNUMBER(SEARCH("RH*-SHCOABR",[1]OUT_FinalEnergyCons!$A$4:$A$10000)))*1,[1]OUT_FinalEnergyCons!M$4:M$10000))</f>
        <v>0</v>
      </c>
      <c r="P1834" s="1" cm="1">
        <f t="array" ref="P1834">IF(SUMPRODUCT(([1]OUT_FinalEnergyCons!$B$4:$B$10000="var_cap")*1, (ISNUMBER(SEARCH("RH*-SHCOABR",[1]OUT_FinalEnergyCons!$A$4:$A$10000)))*1,[1]OUT_FinalEnergyCons!N$4:N$10000)&lt;0,0,SUMPRODUCT(([1]OUT_FinalEnergyCons!$B$4:$B$10000="var_cap")*1, (ISNUMBER(SEARCH("RH*-SHCOABR",[1]OUT_FinalEnergyCons!$A$4:$A$10000)))*1,[1]OUT_FinalEnergyCons!N$4:N$10000))</f>
        <v>0</v>
      </c>
      <c r="Q1834" s="1" cm="1">
        <f t="array" ref="Q1834">IF(SUMPRODUCT(([1]OUT_FinalEnergyCons!$B$4:$B$10000="var_cap")*1, (ISNUMBER(SEARCH("RH*-SHCOABR",[1]OUT_FinalEnergyCons!$A$4:$A$10000)))*1,[1]OUT_FinalEnergyCons!O$4:O$10000)&lt;0,0,SUMPRODUCT(([1]OUT_FinalEnergyCons!$B$4:$B$10000="var_cap")*1, (ISNUMBER(SEARCH("RH*-SHCOABR",[1]OUT_FinalEnergyCons!$A$4:$A$10000)))*1,[1]OUT_FinalEnergyCons!O$4:O$10000))</f>
        <v>0</v>
      </c>
      <c r="S1834" s="3"/>
    </row>
    <row r="1835" spans="2:19" x14ac:dyDescent="0.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0.68962774190060872</v>
      </c>
      <c r="G1835" s="1">
        <f t="shared" ref="G1835:O1835" si="2028">G1836</f>
        <v>0.69791427608622125</v>
      </c>
      <c r="H1835" s="1">
        <f t="shared" si="2028"/>
        <v>0.70410471362786764</v>
      </c>
      <c r="I1835" s="1">
        <f t="shared" si="2028"/>
        <v>0.73121161871481299</v>
      </c>
      <c r="J1835" s="1">
        <f t="shared" si="2028"/>
        <v>0.47779161608796827</v>
      </c>
      <c r="K1835" s="1">
        <f t="shared" si="2028"/>
        <v>0.36399942470698177</v>
      </c>
      <c r="L1835" s="1">
        <f t="shared" si="2028"/>
        <v>0.33523968297798029</v>
      </c>
      <c r="M1835" s="1">
        <f t="shared" si="2028"/>
        <v>0.28743361185222888</v>
      </c>
      <c r="N1835" s="1">
        <f t="shared" si="2028"/>
        <v>0.2593348095029942</v>
      </c>
      <c r="O1835" s="1">
        <f t="shared" si="2028"/>
        <v>0.24797784142421991</v>
      </c>
      <c r="P1835" s="1">
        <f>P1836</f>
        <v>0.24104082452496123</v>
      </c>
      <c r="Q1835" s="1">
        <f>Q1836</f>
        <v>0.1891502310474075</v>
      </c>
      <c r="S1835" s="3"/>
    </row>
    <row r="1836" spans="2:19" x14ac:dyDescent="0.5">
      <c r="B1836" s="5" t="str">
        <f t="shared" ref="B1836:C1836" si="2029">B1835</f>
        <v>SPS1</v>
      </c>
      <c r="C1836" s="5" t="str">
        <f t="shared" si="2029"/>
        <v>CH</v>
      </c>
      <c r="D1836" t="s">
        <v>1872</v>
      </c>
      <c r="E1836" t="str">
        <f t="shared" si="2015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0.68962774190060872</v>
      </c>
      <c r="G1836" s="1" cm="1">
        <f t="array" ref="G1836">SUMPRODUCT(([1]OUT_FinalEnergyCons!$B$4:$B$10000="var_cap")*1, (ISNUMBER(SEARCH("RH*-SHWODBR",[1]OUT_FinalEnergyCons!$A$4:$A$10000)))*1,[1]OUT_FinalEnergyCons!E$4:E$10000)</f>
        <v>0.69791427608622125</v>
      </c>
      <c r="H1836" s="1" cm="1">
        <f t="array" ref="H1836">SUMPRODUCT(([1]OUT_FinalEnergyCons!$B$4:$B$10000="var_cap")*1, (ISNUMBER(SEARCH("RH*-SHWODBR",[1]OUT_FinalEnergyCons!$A$4:$A$10000)))*1,[1]OUT_FinalEnergyCons!F$4:F$10000)</f>
        <v>0.70410471362786764</v>
      </c>
      <c r="I1836" s="1" cm="1">
        <f t="array" ref="I1836">SUMPRODUCT(([1]OUT_FinalEnergyCons!$B$4:$B$10000="var_cap")*1, (ISNUMBER(SEARCH("RH*-SHWODBR",[1]OUT_FinalEnergyCons!$A$4:$A$10000)))*1,[1]OUT_FinalEnergyCons!G$4:G$10000)</f>
        <v>0.73121161871481299</v>
      </c>
      <c r="J1836" s="1" cm="1">
        <f t="array" ref="J1836">SUMPRODUCT(([1]OUT_FinalEnergyCons!$B$4:$B$10000="var_cap")*1, (ISNUMBER(SEARCH("RH*-SHWODBR",[1]OUT_FinalEnergyCons!$A$4:$A$10000)))*1,[1]OUT_FinalEnergyCons!H$4:H$10000)</f>
        <v>0.47779161608796827</v>
      </c>
      <c r="K1836" s="1" cm="1">
        <f t="array" ref="K1836">SUMPRODUCT(([1]OUT_FinalEnergyCons!$B$4:$B$10000="var_cap")*1, (ISNUMBER(SEARCH("RH*-SHWODBR",[1]OUT_FinalEnergyCons!$A$4:$A$10000)))*1,[1]OUT_FinalEnergyCons!I$4:I$10000)</f>
        <v>0.36399942470698177</v>
      </c>
      <c r="L1836" s="1" cm="1">
        <f t="array" ref="L1836">SUMPRODUCT(([1]OUT_FinalEnergyCons!$B$4:$B$10000="var_cap")*1, (ISNUMBER(SEARCH("RH*-SHWODBR",[1]OUT_FinalEnergyCons!$A$4:$A$10000)))*1,[1]OUT_FinalEnergyCons!J$4:J$10000)</f>
        <v>0.33523968297798029</v>
      </c>
      <c r="M1836" s="1" cm="1">
        <f t="array" ref="M1836">SUMPRODUCT(([1]OUT_FinalEnergyCons!$B$4:$B$10000="var_cap")*1, (ISNUMBER(SEARCH("RH*-SHWODBR",[1]OUT_FinalEnergyCons!$A$4:$A$10000)))*1,[1]OUT_FinalEnergyCons!K$4:K$10000)</f>
        <v>0.28743361185222888</v>
      </c>
      <c r="N1836" s="1" cm="1">
        <f t="array" ref="N1836">SUMPRODUCT(([1]OUT_FinalEnergyCons!$B$4:$B$10000="var_cap")*1, (ISNUMBER(SEARCH("RH*-SHWODBR",[1]OUT_FinalEnergyCons!$A$4:$A$10000)))*1,[1]OUT_FinalEnergyCons!L$4:L$10000)</f>
        <v>0.2593348095029942</v>
      </c>
      <c r="O1836" s="1" cm="1">
        <f t="array" ref="O1836">SUMPRODUCT(([1]OUT_FinalEnergyCons!$B$4:$B$10000="var_cap")*1, (ISNUMBER(SEARCH("RH*-SHWODBR",[1]OUT_FinalEnergyCons!$A$4:$A$10000)))*1,[1]OUT_FinalEnergyCons!M$4:M$10000)</f>
        <v>0.24797784142421991</v>
      </c>
      <c r="P1836" s="1" cm="1">
        <f t="array" ref="P1836">SUMPRODUCT(([1]OUT_FinalEnergyCons!$B$4:$B$10000="var_cap")*1, (ISNUMBER(SEARCH("RH*-SHWODBR",[1]OUT_FinalEnergyCons!$A$4:$A$10000)))*1,[1]OUT_FinalEnergyCons!N$4:N$10000)</f>
        <v>0.24104082452496123</v>
      </c>
      <c r="Q1836" s="1" cm="1">
        <f t="array" ref="Q1836">SUMPRODUCT(([1]OUT_FinalEnergyCons!$B$4:$B$10000="var_cap")*1, (ISNUMBER(SEARCH("RH*-SHWODBR",[1]OUT_FinalEnergyCons!$A$4:$A$10000)))*1,[1]OUT_FinalEnergyCons!O$4:O$10000)</f>
        <v>0.1891502310474075</v>
      </c>
      <c r="S1836" s="3"/>
    </row>
    <row r="1837" spans="2:19" x14ac:dyDescent="0.5">
      <c r="B1837" s="5" t="str">
        <f t="shared" ref="B1837:C1837" si="2030">B1836</f>
        <v>SPS1</v>
      </c>
      <c r="C1837" s="5" t="str">
        <f t="shared" si="2030"/>
        <v>CH</v>
      </c>
      <c r="D1837" t="s">
        <v>1873</v>
      </c>
      <c r="E1837" t="str">
        <f t="shared" si="2015"/>
        <v>GWth/yr.</v>
      </c>
      <c r="F1837" s="1">
        <f>F1838</f>
        <v>0.20447269251332567</v>
      </c>
      <c r="G1837" s="1">
        <f t="shared" ref="G1837:O1837" si="2031">G1838</f>
        <v>0.24063561009172962</v>
      </c>
      <c r="H1837" s="1">
        <f t="shared" si="2031"/>
        <v>0.24080623252473371</v>
      </c>
      <c r="I1837" s="1">
        <f t="shared" si="2031"/>
        <v>0.25156370891921243</v>
      </c>
      <c r="J1837" s="1">
        <f t="shared" si="2031"/>
        <v>0.2618571422617979</v>
      </c>
      <c r="K1837" s="1">
        <f t="shared" si="2031"/>
        <v>0.267054084172346</v>
      </c>
      <c r="L1837" s="1">
        <f t="shared" si="2031"/>
        <v>0.27363539665553283</v>
      </c>
      <c r="M1837" s="1">
        <f t="shared" si="2031"/>
        <v>0.28116557067246151</v>
      </c>
      <c r="N1837" s="1">
        <f t="shared" si="2031"/>
        <v>0.2841183132896698</v>
      </c>
      <c r="O1837" s="1">
        <f t="shared" si="2031"/>
        <v>0.28820001535803652</v>
      </c>
      <c r="P1837" s="1">
        <f>P1838</f>
        <v>0.28861860943852613</v>
      </c>
      <c r="Q1837" s="1">
        <f>Q1838</f>
        <v>0.28915891806231303</v>
      </c>
      <c r="S1837" s="3"/>
    </row>
    <row r="1838" spans="2:19" x14ac:dyDescent="0.5">
      <c r="B1838" s="5" t="str">
        <f t="shared" ref="B1838:C1838" si="2032">B1837</f>
        <v>SPS1</v>
      </c>
      <c r="C1838" s="5" t="str">
        <f t="shared" si="2032"/>
        <v>CH</v>
      </c>
      <c r="D1838" t="s">
        <v>1874</v>
      </c>
      <c r="E1838" t="str">
        <f t="shared" si="2015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0.20447269251332567</v>
      </c>
      <c r="G1838" s="1" cm="1">
        <f t="array" ref="G1838">SUMPRODUCT(([1]OUT_FinalEnergyCons!$B$4:$B$10000="var_cap")*1, (ISNUMBER(SEARCH("RH*-SHPLTBR",[1]OUT_FinalEnergyCons!$A$4:$A$10000)))*1,[1]OUT_FinalEnergyCons!E$4:E$10000)</f>
        <v>0.24063561009172962</v>
      </c>
      <c r="H1838" s="1" cm="1">
        <f t="array" ref="H1838">SUMPRODUCT(([1]OUT_FinalEnergyCons!$B$4:$B$10000="var_cap")*1, (ISNUMBER(SEARCH("RH*-SHPLTBR",[1]OUT_FinalEnergyCons!$A$4:$A$10000)))*1,[1]OUT_FinalEnergyCons!F$4:F$10000)</f>
        <v>0.24080623252473371</v>
      </c>
      <c r="I1838" s="1" cm="1">
        <f t="array" ref="I1838">SUMPRODUCT(([1]OUT_FinalEnergyCons!$B$4:$B$10000="var_cap")*1, (ISNUMBER(SEARCH("RH*-SHPLTBR",[1]OUT_FinalEnergyCons!$A$4:$A$10000)))*1,[1]OUT_FinalEnergyCons!G$4:G$10000)</f>
        <v>0.25156370891921243</v>
      </c>
      <c r="J1838" s="1" cm="1">
        <f t="array" ref="J1838">SUMPRODUCT(([1]OUT_FinalEnergyCons!$B$4:$B$10000="var_cap")*1, (ISNUMBER(SEARCH("RH*-SHPLTBR",[1]OUT_FinalEnergyCons!$A$4:$A$10000)))*1,[1]OUT_FinalEnergyCons!H$4:H$10000)</f>
        <v>0.2618571422617979</v>
      </c>
      <c r="K1838" s="1" cm="1">
        <f t="array" ref="K1838">SUMPRODUCT(([1]OUT_FinalEnergyCons!$B$4:$B$10000="var_cap")*1, (ISNUMBER(SEARCH("RH*-SHPLTBR",[1]OUT_FinalEnergyCons!$A$4:$A$10000)))*1,[1]OUT_FinalEnergyCons!I$4:I$10000)</f>
        <v>0.267054084172346</v>
      </c>
      <c r="L1838" s="1" cm="1">
        <f t="array" ref="L1838">SUMPRODUCT(([1]OUT_FinalEnergyCons!$B$4:$B$10000="var_cap")*1, (ISNUMBER(SEARCH("RH*-SHPLTBR",[1]OUT_FinalEnergyCons!$A$4:$A$10000)))*1,[1]OUT_FinalEnergyCons!J$4:J$10000)</f>
        <v>0.27363539665553283</v>
      </c>
      <c r="M1838" s="1" cm="1">
        <f t="array" ref="M1838">SUMPRODUCT(([1]OUT_FinalEnergyCons!$B$4:$B$10000="var_cap")*1, (ISNUMBER(SEARCH("RH*-SHPLTBR",[1]OUT_FinalEnergyCons!$A$4:$A$10000)))*1,[1]OUT_FinalEnergyCons!K$4:K$10000)</f>
        <v>0.28116557067246151</v>
      </c>
      <c r="N1838" s="1" cm="1">
        <f t="array" ref="N1838">SUMPRODUCT(([1]OUT_FinalEnergyCons!$B$4:$B$10000="var_cap")*1, (ISNUMBER(SEARCH("RH*-SHPLTBR",[1]OUT_FinalEnergyCons!$A$4:$A$10000)))*1,[1]OUT_FinalEnergyCons!L$4:L$10000)</f>
        <v>0.2841183132896698</v>
      </c>
      <c r="O1838" s="1" cm="1">
        <f t="array" ref="O1838">SUMPRODUCT(([1]OUT_FinalEnergyCons!$B$4:$B$10000="var_cap")*1, (ISNUMBER(SEARCH("RH*-SHPLTBR",[1]OUT_FinalEnergyCons!$A$4:$A$10000)))*1,[1]OUT_FinalEnergyCons!M$4:M$10000)</f>
        <v>0.28820001535803652</v>
      </c>
      <c r="P1838" s="1" cm="1">
        <f t="array" ref="P1838">SUMPRODUCT(([1]OUT_FinalEnergyCons!$B$4:$B$10000="var_cap")*1, (ISNUMBER(SEARCH("RH*-SHPLTBR",[1]OUT_FinalEnergyCons!$A$4:$A$10000)))*1,[1]OUT_FinalEnergyCons!N$4:N$10000)</f>
        <v>0.28861860943852613</v>
      </c>
      <c r="Q1838" s="1" cm="1">
        <f t="array" ref="Q1838">SUMPRODUCT(([1]OUT_FinalEnergyCons!$B$4:$B$10000="var_cap")*1, (ISNUMBER(SEARCH("RH*-SHPLTBR",[1]OUT_FinalEnergyCons!$A$4:$A$10000)))*1,[1]OUT_FinalEnergyCons!O$4:O$10000)</f>
        <v>0.28915891806231303</v>
      </c>
      <c r="S1838" s="3"/>
    </row>
    <row r="1839" spans="2:19" x14ac:dyDescent="0.5">
      <c r="B1839" s="5" t="str">
        <f t="shared" ref="B1839:C1839" si="2033">B1838</f>
        <v>SPS1</v>
      </c>
      <c r="C1839" s="5" t="str">
        <f t="shared" si="2033"/>
        <v>CH</v>
      </c>
      <c r="D1839" t="s">
        <v>1875</v>
      </c>
      <c r="E1839" t="str">
        <f t="shared" si="2015"/>
        <v>GWth/yr.</v>
      </c>
      <c r="F1839" s="1">
        <f>F1840</f>
        <v>0.11407013577010708</v>
      </c>
      <c r="G1839" s="1">
        <f t="shared" ref="G1839:O1839" si="2034">G1840</f>
        <v>0.13720465647838764</v>
      </c>
      <c r="H1839" s="1">
        <f t="shared" si="2034"/>
        <v>0.13729518821058534</v>
      </c>
      <c r="I1839" s="1">
        <f t="shared" si="2034"/>
        <v>0.13819621409699567</v>
      </c>
      <c r="J1839" s="1">
        <f t="shared" si="2034"/>
        <v>0.13476807454617484</v>
      </c>
      <c r="K1839" s="1">
        <f t="shared" si="2034"/>
        <v>0.13099533521650406</v>
      </c>
      <c r="L1839" s="1">
        <f t="shared" si="2034"/>
        <v>0.13059233295242531</v>
      </c>
      <c r="M1839" s="1">
        <f t="shared" si="2034"/>
        <v>0.47089755431913827</v>
      </c>
      <c r="N1839" s="1">
        <f t="shared" si="2034"/>
        <v>0.47465608905350021</v>
      </c>
      <c r="O1839" s="1">
        <f t="shared" si="2034"/>
        <v>0.4724219285163026</v>
      </c>
      <c r="P1839" s="1">
        <f>P1840</f>
        <v>0.4805221697226959</v>
      </c>
      <c r="Q1839" s="1">
        <f>Q1840</f>
        <v>0.47905599319378528</v>
      </c>
      <c r="S1839" s="3"/>
    </row>
    <row r="1840" spans="2:19" x14ac:dyDescent="0.5">
      <c r="B1840" s="5" t="str">
        <f t="shared" ref="B1840:C1840" si="2035">B1839</f>
        <v>SPS1</v>
      </c>
      <c r="C1840" s="5" t="str">
        <f t="shared" si="2035"/>
        <v>CH</v>
      </c>
      <c r="D1840" t="s">
        <v>1876</v>
      </c>
      <c r="E1840" t="str">
        <f t="shared" si="2015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0.11407013577010708</v>
      </c>
      <c r="G1840" s="1" cm="1">
        <f t="array" ref="G1840">SUMPRODUCT(([1]OUT_FinalEnergyCons!$B$4:$B$10000="var_cap")*1, (ISNUMBER(SEARCH("RH*-SHSOLBR",[1]OUT_FinalEnergyCons!$A$4:$A$10000)))*1,[1]OUT_FinalEnergyCons!E$4:E$10000)</f>
        <v>0.13720465647838764</v>
      </c>
      <c r="H1840" s="1" cm="1">
        <f t="array" ref="H1840">SUMPRODUCT(([1]OUT_FinalEnergyCons!$B$4:$B$10000="var_cap")*1, (ISNUMBER(SEARCH("RH*-SHSOLBR",[1]OUT_FinalEnergyCons!$A$4:$A$10000)))*1,[1]OUT_FinalEnergyCons!F$4:F$10000)</f>
        <v>0.13729518821058534</v>
      </c>
      <c r="I1840" s="1" cm="1">
        <f t="array" ref="I1840">SUMPRODUCT(([1]OUT_FinalEnergyCons!$B$4:$B$10000="var_cap")*1, (ISNUMBER(SEARCH("RH*-SHSOLBR",[1]OUT_FinalEnergyCons!$A$4:$A$10000)))*1,[1]OUT_FinalEnergyCons!G$4:G$10000)</f>
        <v>0.13819621409699567</v>
      </c>
      <c r="J1840" s="1" cm="1">
        <f t="array" ref="J1840">SUMPRODUCT(([1]OUT_FinalEnergyCons!$B$4:$B$10000="var_cap")*1, (ISNUMBER(SEARCH("RH*-SHSOLBR",[1]OUT_FinalEnergyCons!$A$4:$A$10000)))*1,[1]OUT_FinalEnergyCons!H$4:H$10000)</f>
        <v>0.13476807454617484</v>
      </c>
      <c r="K1840" s="1" cm="1">
        <f t="array" ref="K1840">SUMPRODUCT(([1]OUT_FinalEnergyCons!$B$4:$B$10000="var_cap")*1, (ISNUMBER(SEARCH("RH*-SHSOLBR",[1]OUT_FinalEnergyCons!$A$4:$A$10000)))*1,[1]OUT_FinalEnergyCons!I$4:I$10000)</f>
        <v>0.13099533521650406</v>
      </c>
      <c r="L1840" s="1" cm="1">
        <f t="array" ref="L1840">SUMPRODUCT(([1]OUT_FinalEnergyCons!$B$4:$B$10000="var_cap")*1, (ISNUMBER(SEARCH("RH*-SHSOLBR",[1]OUT_FinalEnergyCons!$A$4:$A$10000)))*1,[1]OUT_FinalEnergyCons!J$4:J$10000)</f>
        <v>0.13059233295242531</v>
      </c>
      <c r="M1840" s="1" cm="1">
        <f t="array" ref="M1840">SUMPRODUCT(([1]OUT_FinalEnergyCons!$B$4:$B$10000="var_cap")*1, (ISNUMBER(SEARCH("RH*-SHSOLBR",[1]OUT_FinalEnergyCons!$A$4:$A$10000)))*1,[1]OUT_FinalEnergyCons!K$4:K$10000)</f>
        <v>0.47089755431913827</v>
      </c>
      <c r="N1840" s="1" cm="1">
        <f t="array" ref="N1840">SUMPRODUCT(([1]OUT_FinalEnergyCons!$B$4:$B$10000="var_cap")*1, (ISNUMBER(SEARCH("RH*-SHSOLBR",[1]OUT_FinalEnergyCons!$A$4:$A$10000)))*1,[1]OUT_FinalEnergyCons!L$4:L$10000)</f>
        <v>0.47465608905350021</v>
      </c>
      <c r="O1840" s="1" cm="1">
        <f t="array" ref="O1840">SUMPRODUCT(([1]OUT_FinalEnergyCons!$B$4:$B$10000="var_cap")*1, (ISNUMBER(SEARCH("RH*-SHSOLBR",[1]OUT_FinalEnergyCons!$A$4:$A$10000)))*1,[1]OUT_FinalEnergyCons!M$4:M$10000)</f>
        <v>0.4724219285163026</v>
      </c>
      <c r="P1840" s="1" cm="1">
        <f t="array" ref="P1840">SUMPRODUCT(([1]OUT_FinalEnergyCons!$B$4:$B$10000="var_cap")*1, (ISNUMBER(SEARCH("RH*-SHSOLBR",[1]OUT_FinalEnergyCons!$A$4:$A$10000)))*1,[1]OUT_FinalEnergyCons!N$4:N$10000)</f>
        <v>0.4805221697226959</v>
      </c>
      <c r="Q1840" s="1" cm="1">
        <f t="array" ref="Q1840">SUMPRODUCT(([1]OUT_FinalEnergyCons!$B$4:$B$10000="var_cap")*1, (ISNUMBER(SEARCH("RH*-SHSOLBR",[1]OUT_FinalEnergyCons!$A$4:$A$10000)))*1,[1]OUT_FinalEnergyCons!O$4:O$10000)</f>
        <v>0.47905599319378528</v>
      </c>
      <c r="S1840" s="3"/>
    </row>
    <row r="1841" spans="2:19" x14ac:dyDescent="0.5">
      <c r="B1841" s="5" t="str">
        <f t="shared" ref="B1841:C1841" si="2036">B1840</f>
        <v>SPS1</v>
      </c>
      <c r="C1841" s="5" t="str">
        <f t="shared" si="2036"/>
        <v>CH</v>
      </c>
      <c r="D1841" t="s">
        <v>1877</v>
      </c>
      <c r="E1841" t="str">
        <f t="shared" si="2015"/>
        <v>GWth/yr.</v>
      </c>
      <c r="F1841" s="1">
        <f>F1842</f>
        <v>0</v>
      </c>
      <c r="G1841" s="1">
        <f t="shared" ref="G1841:O1841" si="2037">G1842</f>
        <v>0</v>
      </c>
      <c r="H1841" s="1">
        <f t="shared" si="2037"/>
        <v>0</v>
      </c>
      <c r="I1841" s="1">
        <f t="shared" si="2037"/>
        <v>0</v>
      </c>
      <c r="J1841" s="1">
        <f t="shared" si="2037"/>
        <v>0</v>
      </c>
      <c r="K1841" s="1">
        <f t="shared" si="2037"/>
        <v>0</v>
      </c>
      <c r="L1841" s="1">
        <f t="shared" si="2037"/>
        <v>0</v>
      </c>
      <c r="M1841" s="1">
        <f t="shared" si="2037"/>
        <v>0</v>
      </c>
      <c r="N1841" s="1">
        <f t="shared" si="2037"/>
        <v>0</v>
      </c>
      <c r="O1841" s="1">
        <f t="shared" si="2037"/>
        <v>0</v>
      </c>
      <c r="P1841" s="1">
        <f>P1842</f>
        <v>0</v>
      </c>
      <c r="Q1841" s="1">
        <f>Q1842</f>
        <v>0</v>
      </c>
      <c r="S1841" s="3"/>
    </row>
    <row r="1842" spans="2:19" x14ac:dyDescent="0.5">
      <c r="B1842" s="5" t="str">
        <f t="shared" ref="B1842:C1842" si="2038">B1841</f>
        <v>SPS1</v>
      </c>
      <c r="C1842" s="5" t="str">
        <f t="shared" si="2038"/>
        <v>CH</v>
      </c>
      <c r="D1842" t="s">
        <v>1878</v>
      </c>
      <c r="E1842" t="str">
        <f t="shared" si="2015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M1842" s="1" cm="1">
        <f t="array" ref="M1842">SUMPRODUCT(([1]OUT_FinalEnergyCons!$B$4:$B$10000="var_cap")*1, (ISNUMBER(SEARCH("RH*-SHH2BR",[1]OUT_FinalEnergyCons!$A$4:$A$10000)))*1,[1]OUT_FinalEnergyCons!K$4:K$10000)</f>
        <v>0</v>
      </c>
      <c r="N1842" s="1" cm="1">
        <f t="array" ref="N1842">SUMPRODUCT(([1]OUT_FinalEnergyCons!$B$4:$B$10000="var_cap")*1, (ISNUMBER(SEARCH("RH*-SHH2BR",[1]OUT_FinalEnergyCons!$A$4:$A$10000)))*1,[1]OUT_FinalEnergyCons!L$4:L$10000)</f>
        <v>0</v>
      </c>
      <c r="O1842" s="1" cm="1">
        <f t="array" ref="O1842">SUMPRODUCT(([1]OUT_FinalEnergyCons!$B$4:$B$10000="var_cap")*1, (ISNUMBER(SEARCH("RH*-SHH2BR",[1]OUT_FinalEnergyCons!$A$4:$A$10000)))*1,[1]OUT_FinalEnergyCons!M$4:M$10000)</f>
        <v>0</v>
      </c>
      <c r="P1842" s="1" cm="1">
        <f t="array" ref="P1842">SUMPRODUCT(([1]OUT_FinalEnergyCons!$B$4:$B$10000="var_cap")*1, (ISNUMBER(SEARCH("RH*-SHH2BR",[1]OUT_FinalEnergyCons!$A$4:$A$10000)))*1,[1]OUT_FinalEnergyCons!N$4:N$10000)</f>
        <v>0</v>
      </c>
      <c r="Q1842" s="1" cm="1">
        <f t="array" ref="Q1842">SUMPRODUCT(([1]OUT_FinalEnergyCons!$B$4:$B$10000="var_cap")*1, (ISNUMBER(SEARCH("RH*-SHH2BR",[1]OUT_FinalEnergyCons!$A$4:$A$10000)))*1,[1]OUT_FinalEnergyCons!O$4:O$10000)</f>
        <v>0</v>
      </c>
      <c r="S1842" s="3"/>
    </row>
    <row r="1843" spans="2:19" x14ac:dyDescent="0.5">
      <c r="B1843" s="5" t="str">
        <f t="shared" ref="B1843:C1843" si="2039">B1842</f>
        <v>SPS1</v>
      </c>
      <c r="C1843" s="5" t="str">
        <f t="shared" si="2039"/>
        <v>CH</v>
      </c>
      <c r="D1843" t="s">
        <v>1879</v>
      </c>
      <c r="E1843" t="str">
        <f t="shared" si="2015"/>
        <v>GWth/yr.</v>
      </c>
      <c r="F1843" s="1">
        <f>SUM(F1844,F1847,F1849,F1852,F1854,F1856,F1858,F1860)</f>
        <v>1.8609851993325495</v>
      </c>
      <c r="G1843" s="1">
        <f t="shared" ref="G1843" si="2040">SUM(G1844,G1847,G1849,G1852,G1854,G1856,G1858,G1860)</f>
        <v>2.0186165731489738</v>
      </c>
      <c r="H1843" s="1">
        <f t="shared" ref="H1843" si="2041">SUM(H1844,H1847,H1849,H1852,H1854,H1856,H1858,H1860)</f>
        <v>1.9058818366687005</v>
      </c>
      <c r="I1843" s="1">
        <f t="shared" ref="I1843" si="2042">SUM(I1844,I1847,I1849,I1852,I1854,I1856,I1858,I1860)</f>
        <v>2.1450367967308477</v>
      </c>
      <c r="J1843" s="1">
        <f t="shared" ref="J1843" si="2043">SUM(J1844,J1847,J1849,J1852,J1854,J1856,J1858,J1860)</f>
        <v>1.8886115638404783</v>
      </c>
      <c r="K1843" s="1">
        <f t="shared" ref="K1843" si="2044">SUM(K1844,K1847,K1849,K1852,K1854,K1856,K1858,K1860)</f>
        <v>1.7602949439860636</v>
      </c>
      <c r="L1843" s="1">
        <f t="shared" ref="L1843:O1843" si="2045">SUM(L1844,L1847,L1849,L1852,L1854,L1856,L1858,L1860)</f>
        <v>1.829614438692523</v>
      </c>
      <c r="M1843" s="1">
        <f t="shared" si="2045"/>
        <v>2.2411471671371137</v>
      </c>
      <c r="N1843" s="1">
        <f t="shared" si="2045"/>
        <v>2.1018926577455654</v>
      </c>
      <c r="O1843" s="1">
        <f t="shared" si="2045"/>
        <v>2.0365081038228841</v>
      </c>
      <c r="P1843" s="1">
        <f>SUM(P1844,P1847,P1849,P1852,P1854,P1856,P1858,P1860)</f>
        <v>1.8998918981140747</v>
      </c>
      <c r="Q1843" s="1">
        <f>SUM(Q1844,Q1847,Q1849,Q1852,Q1854,Q1856,Q1858,Q1860)</f>
        <v>1.8147433177327219</v>
      </c>
      <c r="S1843" s="3"/>
    </row>
    <row r="1844" spans="2:19" x14ac:dyDescent="0.5">
      <c r="B1844" s="5" t="str">
        <f t="shared" ref="B1844:C1844" si="2046">B1843</f>
        <v>SPS1</v>
      </c>
      <c r="C1844" s="5" t="str">
        <f t="shared" si="2046"/>
        <v>CH</v>
      </c>
      <c r="D1844" t="s">
        <v>1880</v>
      </c>
      <c r="E1844" t="str">
        <f t="shared" si="2015"/>
        <v>GWth/yr.</v>
      </c>
      <c r="F1844" s="1">
        <f>SUM(F1845:F1846)</f>
        <v>0.65092709081040501</v>
      </c>
      <c r="G1844" s="1">
        <f t="shared" ref="G1844" si="2047">SUM(G1845:G1846)</f>
        <v>0.71894291193083704</v>
      </c>
      <c r="H1844" s="1">
        <f t="shared" ref="H1844" si="2048">SUM(H1845:H1846)</f>
        <v>0.81239157722934308</v>
      </c>
      <c r="I1844" s="1">
        <f t="shared" ref="I1844" si="2049">SUM(I1845:I1846)</f>
        <v>0.98248918777387417</v>
      </c>
      <c r="J1844" s="1">
        <f t="shared" ref="J1844" si="2050">SUM(J1845:J1846)</f>
        <v>0.96912313574765907</v>
      </c>
      <c r="K1844" s="1">
        <f t="shared" ref="K1844" si="2051">SUM(K1845:K1846)</f>
        <v>0.77292583488725553</v>
      </c>
      <c r="L1844" s="1">
        <f t="shared" ref="L1844:O1844" si="2052">SUM(L1845:L1846)</f>
        <v>0.9801720512284664</v>
      </c>
      <c r="M1844" s="1">
        <f t="shared" si="2052"/>
        <v>1.2466304599160873</v>
      </c>
      <c r="N1844" s="1">
        <f t="shared" si="2052"/>
        <v>1.3713505494151008</v>
      </c>
      <c r="O1844" s="1">
        <f t="shared" si="2052"/>
        <v>1.3606972655052327</v>
      </c>
      <c r="P1844" s="1">
        <f>SUM(P1845:P1846)</f>
        <v>1.3368144415894934</v>
      </c>
      <c r="Q1844" s="1">
        <f>SUM(Q1845:Q1846)</f>
        <v>1.3641208829788496</v>
      </c>
      <c r="S1844" s="3"/>
    </row>
    <row r="1845" spans="2:19" x14ac:dyDescent="0.5">
      <c r="B1845" s="5" t="str">
        <f t="shared" ref="B1845:C1845" si="2053">B1844</f>
        <v>SPS1</v>
      </c>
      <c r="C1845" s="5" t="str">
        <f t="shared" si="2053"/>
        <v>CH</v>
      </c>
      <c r="D1845" t="s">
        <v>1881</v>
      </c>
      <c r="E1845" t="str">
        <f t="shared" si="2015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0.4375725957458021</v>
      </c>
      <c r="G1845" s="1" cm="1">
        <f t="array" ref="G1845">SUMPRODUCT(([1]OUT_FinalEnergyCons!$B$4:$B$10000="var_cap")*1,(ISNUMBER(SEARCH("RH*-WHELCBR",[1]OUT_FinalEnergyCons!$A$4:$A$10000)))*1,[1]OUT_FinalEnergyCons!E$4:E$10000)</f>
        <v>0.47281640859408691</v>
      </c>
      <c r="H1845" s="1" cm="1">
        <f t="array" ref="H1845">SUMPRODUCT(([1]OUT_FinalEnergyCons!$B$4:$B$10000="var_cap")*1,(ISNUMBER(SEARCH("RH*-WHELCBR",[1]OUT_FinalEnergyCons!$A$4:$A$10000)))*1,[1]OUT_FinalEnergyCons!F$4:F$10000)</f>
        <v>0.47281650058838381</v>
      </c>
      <c r="I1845" s="1" cm="1">
        <f t="array" ref="I1845">SUMPRODUCT(([1]OUT_FinalEnergyCons!$B$4:$B$10000="var_cap")*1,(ISNUMBER(SEARCH("RH*-WHELCBR",[1]OUT_FinalEnergyCons!$A$4:$A$10000)))*1,[1]OUT_FinalEnergyCons!G$4:G$10000)</f>
        <v>0.47281364791855068</v>
      </c>
      <c r="J1845" s="1" cm="1">
        <f t="array" ref="J1845">SUMPRODUCT(([1]OUT_FinalEnergyCons!$B$4:$B$10000="var_cap")*1,(ISNUMBER(SEARCH("RH*-WHELCBR",[1]OUT_FinalEnergyCons!$A$4:$A$10000)))*1,[1]OUT_FinalEnergyCons!H$4:H$10000)</f>
        <v>0.18028214815922444</v>
      </c>
      <c r="K1845" s="1" cm="1">
        <f t="array" ref="K1845">SUMPRODUCT(([1]OUT_FinalEnergyCons!$B$4:$B$10000="var_cap")*1,(ISNUMBER(SEARCH("RH*-WHELCBR",[1]OUT_FinalEnergyCons!$A$4:$A$10000)))*1,[1]OUT_FinalEnergyCons!I$4:I$10000)</f>
        <v>0.1107835726694026</v>
      </c>
      <c r="L1845" s="1" cm="1">
        <f t="array" ref="L1845">SUMPRODUCT(([1]OUT_FinalEnergyCons!$B$4:$B$10000="var_cap")*1,(ISNUMBER(SEARCH("RH*-WHELCBR",[1]OUT_FinalEnergyCons!$A$4:$A$10000)))*1,[1]OUT_FinalEnergyCons!J$4:J$10000)</f>
        <v>0.11077908193227377</v>
      </c>
      <c r="M1845" s="1" cm="1">
        <f t="array" ref="M1845">SUMPRODUCT(([1]OUT_FinalEnergyCons!$B$4:$B$10000="var_cap")*1,(ISNUMBER(SEARCH("RH*-WHELCBR",[1]OUT_FinalEnergyCons!$A$4:$A$10000)))*1,[1]OUT_FinalEnergyCons!K$4:K$10000)</f>
        <v>0.12288423306583837</v>
      </c>
      <c r="N1845" s="1" cm="1">
        <f t="array" ref="N1845">SUMPRODUCT(([1]OUT_FinalEnergyCons!$B$4:$B$10000="var_cap")*1,(ISNUMBER(SEARCH("RH*-WHELCBR",[1]OUT_FinalEnergyCons!$A$4:$A$10000)))*1,[1]OUT_FinalEnergyCons!L$4:L$10000)</f>
        <v>0.20900906483400344</v>
      </c>
      <c r="O1845" s="1" cm="1">
        <f t="array" ref="O1845">SUMPRODUCT(([1]OUT_FinalEnergyCons!$B$4:$B$10000="var_cap")*1,(ISNUMBER(SEARCH("RH*-WHELCBR",[1]OUT_FinalEnergyCons!$A$4:$A$10000)))*1,[1]OUT_FinalEnergyCons!M$4:M$10000)</f>
        <v>0.19949231498179096</v>
      </c>
      <c r="P1845" s="1" cm="1">
        <f t="array" ref="P1845">SUMPRODUCT(([1]OUT_FinalEnergyCons!$B$4:$B$10000="var_cap")*1,(ISNUMBER(SEARCH("RH*-WHELCBR",[1]OUT_FinalEnergyCons!$A$4:$A$10000)))*1,[1]OUT_FinalEnergyCons!N$4:N$10000)</f>
        <v>0.18334616566563294</v>
      </c>
      <c r="Q1845" s="1" cm="1">
        <f t="array" ref="Q1845">SUMPRODUCT(([1]OUT_FinalEnergyCons!$B$4:$B$10000="var_cap")*1,(ISNUMBER(SEARCH("RH*-WHELCBR",[1]OUT_FinalEnergyCons!$A$4:$A$10000)))*1,[1]OUT_FinalEnergyCons!O$4:O$10000)</f>
        <v>7.7899293229714714E-2</v>
      </c>
      <c r="S1845" s="3"/>
    </row>
    <row r="1846" spans="2:19" x14ac:dyDescent="0.5">
      <c r="B1846" s="5" t="str">
        <f t="shared" ref="B1846:C1846" si="2054">B1845</f>
        <v>SPS1</v>
      </c>
      <c r="C1846" s="5" t="str">
        <f t="shared" si="2054"/>
        <v>CH</v>
      </c>
      <c r="D1846" t="s">
        <v>1882</v>
      </c>
      <c r="E1846" t="str">
        <f t="shared" si="2015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0.21335449506460288</v>
      </c>
      <c r="G1846" s="1" cm="1">
        <f t="array" ref="G1846">SUMPRODUCT(([1]OUT_FinalEnergyCons!$B$4:$B$10000="var_cap")*1,ISNUMBER(SEARCH("RH*-WHELCHP",[1]OUT_FinalEnergyCons!$A$4:$A$10000))*1,[1]OUT_FinalEnergyCons!E$4:E$10000)</f>
        <v>0.24612650333675012</v>
      </c>
      <c r="H1846" s="1" cm="1">
        <f t="array" ref="H1846">SUMPRODUCT(([1]OUT_FinalEnergyCons!$B$4:$B$10000="var_cap")*1,ISNUMBER(SEARCH("RH*-WHELCHP",[1]OUT_FinalEnergyCons!$A$4:$A$10000))*1,[1]OUT_FinalEnergyCons!F$4:F$10000)</f>
        <v>0.33957507664095932</v>
      </c>
      <c r="I1846" s="1" cm="1">
        <f t="array" ref="I1846">SUMPRODUCT(([1]OUT_FinalEnergyCons!$B$4:$B$10000="var_cap")*1,ISNUMBER(SEARCH("RH*-WHELCHP",[1]OUT_FinalEnergyCons!$A$4:$A$10000))*1,[1]OUT_FinalEnergyCons!G$4:G$10000)</f>
        <v>0.50967553985532343</v>
      </c>
      <c r="J1846" s="1" cm="1">
        <f t="array" ref="J1846">SUMPRODUCT(([1]OUT_FinalEnergyCons!$B$4:$B$10000="var_cap")*1,ISNUMBER(SEARCH("RH*-WHELCHP",[1]OUT_FinalEnergyCons!$A$4:$A$10000))*1,[1]OUT_FinalEnergyCons!H$4:H$10000)</f>
        <v>0.78884098758843457</v>
      </c>
      <c r="K1846" s="1" cm="1">
        <f t="array" ref="K1846">SUMPRODUCT(([1]OUT_FinalEnergyCons!$B$4:$B$10000="var_cap")*1,ISNUMBER(SEARCH("RH*-WHELCHP",[1]OUT_FinalEnergyCons!$A$4:$A$10000))*1,[1]OUT_FinalEnergyCons!I$4:I$10000)</f>
        <v>0.66214226221785288</v>
      </c>
      <c r="L1846" s="1" cm="1">
        <f t="array" ref="L1846">SUMPRODUCT(([1]OUT_FinalEnergyCons!$B$4:$B$10000="var_cap")*1,ISNUMBER(SEARCH("RH*-WHELCHP",[1]OUT_FinalEnergyCons!$A$4:$A$10000))*1,[1]OUT_FinalEnergyCons!J$4:J$10000)</f>
        <v>0.86939296929619259</v>
      </c>
      <c r="M1846" s="1" cm="1">
        <f t="array" ref="M1846">SUMPRODUCT(([1]OUT_FinalEnergyCons!$B$4:$B$10000="var_cap")*1,ISNUMBER(SEARCH("RH*-WHELCHP",[1]OUT_FinalEnergyCons!$A$4:$A$10000))*1,[1]OUT_FinalEnergyCons!K$4:K$10000)</f>
        <v>1.1237462268502489</v>
      </c>
      <c r="N1846" s="1" cm="1">
        <f t="array" ref="N1846">SUMPRODUCT(([1]OUT_FinalEnergyCons!$B$4:$B$10000="var_cap")*1,ISNUMBER(SEARCH("RH*-WHELCHP",[1]OUT_FinalEnergyCons!$A$4:$A$10000))*1,[1]OUT_FinalEnergyCons!L$4:L$10000)</f>
        <v>1.1623414845810973</v>
      </c>
      <c r="O1846" s="1" cm="1">
        <f t="array" ref="O1846">SUMPRODUCT(([1]OUT_FinalEnergyCons!$B$4:$B$10000="var_cap")*1,ISNUMBER(SEARCH("RH*-WHELCHP",[1]OUT_FinalEnergyCons!$A$4:$A$10000))*1,[1]OUT_FinalEnergyCons!M$4:M$10000)</f>
        <v>1.1612049505234419</v>
      </c>
      <c r="P1846" s="1" cm="1">
        <f t="array" ref="P1846">SUMPRODUCT(([1]OUT_FinalEnergyCons!$B$4:$B$10000="var_cap")*1,ISNUMBER(SEARCH("RH*-WHELCHP",[1]OUT_FinalEnergyCons!$A$4:$A$10000))*1,[1]OUT_FinalEnergyCons!N$4:N$10000)</f>
        <v>1.1534682759238604</v>
      </c>
      <c r="Q1846" s="1" cm="1">
        <f t="array" ref="Q1846">SUMPRODUCT(([1]OUT_FinalEnergyCons!$B$4:$B$10000="var_cap")*1,ISNUMBER(SEARCH("RH*-WHELCHP",[1]OUT_FinalEnergyCons!$A$4:$A$10000))*1,[1]OUT_FinalEnergyCons!O$4:O$10000)</f>
        <v>1.2862215897491349</v>
      </c>
      <c r="S1846" s="3"/>
    </row>
    <row r="1847" spans="2:19" x14ac:dyDescent="0.5">
      <c r="B1847" s="5" t="str">
        <f t="shared" ref="B1847:C1847" si="2055">B1846</f>
        <v>SPS1</v>
      </c>
      <c r="C1847" s="5" t="str">
        <f t="shared" si="2055"/>
        <v>CH</v>
      </c>
      <c r="D1847" t="s">
        <v>1883</v>
      </c>
      <c r="E1847" t="str">
        <f t="shared" si="2015"/>
        <v>GWth/yr.</v>
      </c>
      <c r="F1847" s="1">
        <f>F1848</f>
        <v>0.47738433216181703</v>
      </c>
      <c r="G1847" s="1">
        <f t="shared" ref="G1847" si="2056">G1848</f>
        <v>0.47738172346788532</v>
      </c>
      <c r="H1847" s="1">
        <f t="shared" ref="H1847" si="2057">H1848</f>
        <v>0.2710684399087962</v>
      </c>
      <c r="I1847" s="1">
        <f t="shared" ref="I1847" si="2058">I1848</f>
        <v>0.10708180560213892</v>
      </c>
      <c r="J1847" s="1">
        <f t="shared" ref="J1847" si="2059">J1848</f>
        <v>2.7803706950638427E-2</v>
      </c>
      <c r="K1847" s="1">
        <f t="shared" ref="K1847:O1847" si="2060">K1848</f>
        <v>8.5992139026495895E-5</v>
      </c>
      <c r="L1847" s="1">
        <f t="shared" si="2060"/>
        <v>8.5481352472435343E-5</v>
      </c>
      <c r="M1847" s="1">
        <f t="shared" si="2060"/>
        <v>4.9341220332702117E-5</v>
      </c>
      <c r="N1847" s="1">
        <f t="shared" si="2060"/>
        <v>3.1395455690507186E-5</v>
      </c>
      <c r="O1847" s="1">
        <f t="shared" si="2060"/>
        <v>5.2058756258436959E-5</v>
      </c>
      <c r="P1847" s="1">
        <f>P1848</f>
        <v>4.5939516716546424E-5</v>
      </c>
      <c r="Q1847" s="1">
        <f>Q1848</f>
        <v>9.8498882897896643E-5</v>
      </c>
      <c r="S1847" s="3"/>
    </row>
    <row r="1848" spans="2:19" x14ac:dyDescent="0.5">
      <c r="B1848" s="5" t="str">
        <f t="shared" ref="B1848:C1848" si="2061">B1847</f>
        <v>SPS1</v>
      </c>
      <c r="C1848" s="5" t="str">
        <f t="shared" si="2061"/>
        <v>CH</v>
      </c>
      <c r="D1848" t="s">
        <v>1884</v>
      </c>
      <c r="E1848" t="str">
        <f t="shared" si="2015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0.47738172346788532</v>
      </c>
      <c r="H1848" s="1" cm="1">
        <f t="array" ref="H1848">SUMPRODUCT(([1]OUT_FinalEnergyCons!$B$4:$B$10000="var_cap")*1, (ISNUMBER(SEARCH("RH*-WHLFOBR",[1]OUT_FinalEnergyCons!$A$4:$A$10000)))*1,[1]OUT_FinalEnergyCons!F$4:F$10000)</f>
        <v>0.2710684399087962</v>
      </c>
      <c r="I1848" s="1" cm="1">
        <f t="array" ref="I1848">SUMPRODUCT(([1]OUT_FinalEnergyCons!$B$4:$B$10000="var_cap")*1, (ISNUMBER(SEARCH("RH*-WHLFOBR",[1]OUT_FinalEnergyCons!$A$4:$A$10000)))*1,[1]OUT_FinalEnergyCons!G$4:G$10000)</f>
        <v>0.10708180560213892</v>
      </c>
      <c r="J1848" s="1" cm="1">
        <f t="array" ref="J1848">SUMPRODUCT(([1]OUT_FinalEnergyCons!$B$4:$B$10000="var_cap")*1, (ISNUMBER(SEARCH("RH*-WHLFOBR",[1]OUT_FinalEnergyCons!$A$4:$A$10000)))*1,[1]OUT_FinalEnergyCons!H$4:H$10000)</f>
        <v>2.7803706950638427E-2</v>
      </c>
      <c r="K1848" s="1" cm="1">
        <f t="array" ref="K1848">SUMPRODUCT(([1]OUT_FinalEnergyCons!$B$4:$B$10000="var_cap")*1, (ISNUMBER(SEARCH("RH*-WHLFOBR",[1]OUT_FinalEnergyCons!$A$4:$A$10000)))*1,[1]OUT_FinalEnergyCons!I$4:I$10000)</f>
        <v>8.5992139026495895E-5</v>
      </c>
      <c r="L1848" s="1" cm="1">
        <f t="array" ref="L1848">SUMPRODUCT(([1]OUT_FinalEnergyCons!$B$4:$B$10000="var_cap")*1, (ISNUMBER(SEARCH("RH*-WHLFOBR",[1]OUT_FinalEnergyCons!$A$4:$A$10000)))*1,[1]OUT_FinalEnergyCons!J$4:J$10000)</f>
        <v>8.5481352472435343E-5</v>
      </c>
      <c r="M1848" s="1" cm="1">
        <f t="array" ref="M1848">SUMPRODUCT(([1]OUT_FinalEnergyCons!$B$4:$B$10000="var_cap")*1, (ISNUMBER(SEARCH("RH*-WHLFOBR",[1]OUT_FinalEnergyCons!$A$4:$A$10000)))*1,[1]OUT_FinalEnergyCons!K$4:K$10000)</f>
        <v>4.9341220332702117E-5</v>
      </c>
      <c r="N1848" s="1" cm="1">
        <f t="array" ref="N1848">SUMPRODUCT(([1]OUT_FinalEnergyCons!$B$4:$B$10000="var_cap")*1, (ISNUMBER(SEARCH("RH*-WHLFOBR",[1]OUT_FinalEnergyCons!$A$4:$A$10000)))*1,[1]OUT_FinalEnergyCons!L$4:L$10000)</f>
        <v>3.1395455690507186E-5</v>
      </c>
      <c r="O1848" s="1" cm="1">
        <f t="array" ref="O1848">SUMPRODUCT(([1]OUT_FinalEnergyCons!$B$4:$B$10000="var_cap")*1, (ISNUMBER(SEARCH("RH*-WHLFOBR",[1]OUT_FinalEnergyCons!$A$4:$A$10000)))*1,[1]OUT_FinalEnergyCons!M$4:M$10000)</f>
        <v>5.2058756258436959E-5</v>
      </c>
      <c r="P1848" s="1" cm="1">
        <f t="array" ref="P1848">SUMPRODUCT(([1]OUT_FinalEnergyCons!$B$4:$B$10000="var_cap")*1, (ISNUMBER(SEARCH("RH*-WHLFOBR",[1]OUT_FinalEnergyCons!$A$4:$A$10000)))*1,[1]OUT_FinalEnergyCons!N$4:N$10000)</f>
        <v>4.5939516716546424E-5</v>
      </c>
      <c r="Q1848" s="1" cm="1">
        <f t="array" ref="Q1848">SUMPRODUCT(([1]OUT_FinalEnergyCons!$B$4:$B$10000="var_cap")*1, (ISNUMBER(SEARCH("RH*-WHLFOBR",[1]OUT_FinalEnergyCons!$A$4:$A$10000)))*1,[1]OUT_FinalEnergyCons!O$4:O$10000)</f>
        <v>9.8498882897896643E-5</v>
      </c>
      <c r="S1848" s="3"/>
    </row>
    <row r="1849" spans="2:19" x14ac:dyDescent="0.5">
      <c r="B1849" s="5" t="str">
        <f t="shared" ref="B1849:C1849" si="2062">B1848</f>
        <v>SPS1</v>
      </c>
      <c r="C1849" s="5" t="str">
        <f t="shared" si="2062"/>
        <v>CH</v>
      </c>
      <c r="D1849" t="s">
        <v>1885</v>
      </c>
      <c r="E1849" t="str">
        <f t="shared" si="2015"/>
        <v>GWth/yr.</v>
      </c>
      <c r="F1849" s="1">
        <f>SUM(F1850:F1851)</f>
        <v>0.43610075806793741</v>
      </c>
      <c r="G1849" s="1">
        <f t="shared" ref="G1849" si="2063">SUM(G1850:G1851)</f>
        <v>0.43610184805591701</v>
      </c>
      <c r="H1849" s="1">
        <f t="shared" ref="H1849" si="2064">SUM(H1850:H1851)</f>
        <v>0.43627201602248672</v>
      </c>
      <c r="I1849" s="1">
        <f t="shared" ref="I1849" si="2065">SUM(I1850:I1851)</f>
        <v>0.66933649773563331</v>
      </c>
      <c r="J1849" s="1">
        <f t="shared" ref="J1849" si="2066">SUM(J1850:J1851)</f>
        <v>0.69824780696512567</v>
      </c>
      <c r="K1849" s="1">
        <f t="shared" ref="K1849" si="2067">SUM(K1850:K1851)</f>
        <v>0.80468646648434128</v>
      </c>
      <c r="L1849" s="1">
        <f t="shared" ref="L1849:O1849" si="2068">SUM(L1850:L1851)</f>
        <v>0.64235128119044571</v>
      </c>
      <c r="M1849" s="1">
        <f t="shared" si="2068"/>
        <v>0.29043371353724612</v>
      </c>
      <c r="N1849" s="1">
        <f t="shared" si="2068"/>
        <v>0.11606164652123746</v>
      </c>
      <c r="O1849" s="1">
        <f t="shared" si="2068"/>
        <v>9.8163155879509523E-2</v>
      </c>
      <c r="P1849" s="1">
        <f>SUM(P1850:P1851)</f>
        <v>9.8193797530756383E-2</v>
      </c>
      <c r="Q1849" s="1">
        <f>SUM(Q1850:Q1851)</f>
        <v>8.6378236597555738E-2</v>
      </c>
      <c r="S1849" s="3"/>
    </row>
    <row r="1850" spans="2:19" x14ac:dyDescent="0.5">
      <c r="B1850" s="5" t="str">
        <f t="shared" ref="B1850:C1850" si="2069">B1849</f>
        <v>SPS1</v>
      </c>
      <c r="C1850" s="5" t="str">
        <f t="shared" si="2069"/>
        <v>CH</v>
      </c>
      <c r="D1850" t="s">
        <v>1886</v>
      </c>
      <c r="E1850" t="str">
        <f t="shared" si="2015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0.43610114447254922</v>
      </c>
      <c r="H1850" s="1" cm="1">
        <f t="array" ref="H1850">SUMPRODUCT(([1]OUT_FinalEnergyCons!$B$4:$B$10000="var_cap")*1, (ISNUMBER(SEARCH("RH*-WHNGABR",[1]OUT_FinalEnergyCons!$A$4:$A$10000)))*1,[1]OUT_FinalEnergyCons!F$4:F$10000)</f>
        <v>0.43610217733860934</v>
      </c>
      <c r="I1850" s="1" cm="1">
        <f t="array" ref="I1850">SUMPRODUCT(([1]OUT_FinalEnergyCons!$B$4:$B$10000="var_cap")*1, (ISNUMBER(SEARCH("RH*-WHNGABR",[1]OUT_FinalEnergyCons!$A$4:$A$10000)))*1,[1]OUT_FinalEnergyCons!G$4:G$10000)</f>
        <v>0.66915987852623471</v>
      </c>
      <c r="J1850" s="1" cm="1">
        <f t="array" ref="J1850">SUMPRODUCT(([1]OUT_FinalEnergyCons!$B$4:$B$10000="var_cap")*1, (ISNUMBER(SEARCH("RH*-WHNGABR",[1]OUT_FinalEnergyCons!$A$4:$A$10000)))*1,[1]OUT_FinalEnergyCons!H$4:H$10000)</f>
        <v>0.57586745007491702</v>
      </c>
      <c r="K1850" s="1" cm="1">
        <f t="array" ref="K1850">SUMPRODUCT(([1]OUT_FinalEnergyCons!$B$4:$B$10000="var_cap")*1, (ISNUMBER(SEARCH("RH*-WHNGABR",[1]OUT_FinalEnergyCons!$A$4:$A$10000)))*1,[1]OUT_FinalEnergyCons!I$4:I$10000)</f>
        <v>0.57016007012491721</v>
      </c>
      <c r="L1850" s="1" cm="1">
        <f t="array" ref="L1850">SUMPRODUCT(([1]OUT_FinalEnergyCons!$B$4:$B$10000="var_cap")*1, (ISNUMBER(SEARCH("RH*-WHNGABR",[1]OUT_FinalEnergyCons!$A$4:$A$10000)))*1,[1]OUT_FinalEnergyCons!J$4:J$10000)</f>
        <v>0.38144030166646214</v>
      </c>
      <c r="M1850" s="1" cm="1">
        <f t="array" ref="M1850">SUMPRODUCT(([1]OUT_FinalEnergyCons!$B$4:$B$10000="var_cap")*1, (ISNUMBER(SEARCH("RH*-WHNGABR",[1]OUT_FinalEnergyCons!$A$4:$A$10000)))*1,[1]OUT_FinalEnergyCons!K$4:K$10000)</f>
        <v>0.15172632778700651</v>
      </c>
      <c r="N1850" s="1" cm="1">
        <f t="array" ref="N1850">SUMPRODUCT(([1]OUT_FinalEnergyCons!$B$4:$B$10000="var_cap")*1, (ISNUMBER(SEARCH("RH*-WHNGABR",[1]OUT_FinalEnergyCons!$A$4:$A$10000)))*1,[1]OUT_FinalEnergyCons!L$4:L$10000)</f>
        <v>5.1593041550279606E-2</v>
      </c>
      <c r="O1850" s="1" cm="1">
        <f t="array" ref="O1850">SUMPRODUCT(([1]OUT_FinalEnergyCons!$B$4:$B$10000="var_cap")*1, (ISNUMBER(SEARCH("RH*-WHNGABR",[1]OUT_FinalEnergyCons!$A$4:$A$10000)))*1,[1]OUT_FinalEnergyCons!M$4:M$10000)</f>
        <v>3.9861678811327315E-2</v>
      </c>
      <c r="P1850" s="1" cm="1">
        <f t="array" ref="P1850">SUMPRODUCT(([1]OUT_FinalEnergyCons!$B$4:$B$10000="var_cap")*1, (ISNUMBER(SEARCH("RH*-WHNGABR",[1]OUT_FinalEnergyCons!$A$4:$A$10000)))*1,[1]OUT_FinalEnergyCons!N$4:N$10000)</f>
        <v>3.9898470630653431E-2</v>
      </c>
      <c r="Q1850" s="1" cm="1">
        <f t="array" ref="Q1850">SUMPRODUCT(([1]OUT_FinalEnergyCons!$B$4:$B$10000="var_cap")*1, (ISNUMBER(SEARCH("RH*-WHNGABR",[1]OUT_FinalEnergyCons!$A$4:$A$10000)))*1,[1]OUT_FinalEnergyCons!O$4:O$10000)</f>
        <v>2.8063004093472399E-2</v>
      </c>
      <c r="S1850" s="3"/>
    </row>
    <row r="1851" spans="2:19" x14ac:dyDescent="0.5">
      <c r="B1851" s="5" t="str">
        <f t="shared" ref="B1851:C1851" si="2070">B1850</f>
        <v>SPS1</v>
      </c>
      <c r="C1851" s="5" t="str">
        <f t="shared" si="2070"/>
        <v>CH</v>
      </c>
      <c r="D1851" t="s">
        <v>1887</v>
      </c>
      <c r="E1851" t="str">
        <f t="shared" si="2015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7.0358336776856026E-7</v>
      </c>
      <c r="H1851" s="1" cm="1">
        <f t="array" ref="H1851">SUMPRODUCT(([1]OUT_FinalEnergyCons!$B$4:$B$10000="var_cap")*1,ISNUMBER(SEARCH("RH*-WHngahp",[1]OUT_FinalEnergyCons!$A$4:$A$10000))*1,[1]OUT_FinalEnergyCons!F$4:F$10000)</f>
        <v>1.6983868387736412E-4</v>
      </c>
      <c r="I1851" s="1" cm="1">
        <f t="array" ref="I1851">SUMPRODUCT(([1]OUT_FinalEnergyCons!$B$4:$B$10000="var_cap")*1,ISNUMBER(SEARCH("RH*-WHngahp",[1]OUT_FinalEnergyCons!$A$4:$A$10000))*1,[1]OUT_FinalEnergyCons!G$4:G$10000)</f>
        <v>1.7661920939855249E-4</v>
      </c>
      <c r="J1851" s="1" cm="1">
        <f t="array" ref="J1851">SUMPRODUCT(([1]OUT_FinalEnergyCons!$B$4:$B$10000="var_cap")*1,ISNUMBER(SEARCH("RH*-WHngahp",[1]OUT_FinalEnergyCons!$A$4:$A$10000))*1,[1]OUT_FinalEnergyCons!H$4:H$10000)</f>
        <v>0.12238035689020862</v>
      </c>
      <c r="K1851" s="1" cm="1">
        <f t="array" ref="K1851">SUMPRODUCT(([1]OUT_FinalEnergyCons!$B$4:$B$10000="var_cap")*1,ISNUMBER(SEARCH("RH*-WHngahp",[1]OUT_FinalEnergyCons!$A$4:$A$10000))*1,[1]OUT_FinalEnergyCons!I$4:I$10000)</f>
        <v>0.2345263963594241</v>
      </c>
      <c r="L1851" s="1" cm="1">
        <f t="array" ref="L1851">SUMPRODUCT(([1]OUT_FinalEnergyCons!$B$4:$B$10000="var_cap")*1,ISNUMBER(SEARCH("RH*-WHngahp",[1]OUT_FinalEnergyCons!$A$4:$A$10000))*1,[1]OUT_FinalEnergyCons!J$4:J$10000)</f>
        <v>0.26091097952398351</v>
      </c>
      <c r="M1851" s="1" cm="1">
        <f t="array" ref="M1851">SUMPRODUCT(([1]OUT_FinalEnergyCons!$B$4:$B$10000="var_cap")*1,ISNUMBER(SEARCH("RH*-WHngahp",[1]OUT_FinalEnergyCons!$A$4:$A$10000))*1,[1]OUT_FinalEnergyCons!K$4:K$10000)</f>
        <v>0.13870738575023964</v>
      </c>
      <c r="N1851" s="1" cm="1">
        <f t="array" ref="N1851">SUMPRODUCT(([1]OUT_FinalEnergyCons!$B$4:$B$10000="var_cap")*1,ISNUMBER(SEARCH("RH*-WHngahp",[1]OUT_FinalEnergyCons!$A$4:$A$10000))*1,[1]OUT_FinalEnergyCons!L$4:L$10000)</f>
        <v>6.4468604970957855E-2</v>
      </c>
      <c r="O1851" s="1" cm="1">
        <f t="array" ref="O1851">SUMPRODUCT(([1]OUT_FinalEnergyCons!$B$4:$B$10000="var_cap")*1,ISNUMBER(SEARCH("RH*-WHngahp",[1]OUT_FinalEnergyCons!$A$4:$A$10000))*1,[1]OUT_FinalEnergyCons!M$4:M$10000)</f>
        <v>5.8301477068182207E-2</v>
      </c>
      <c r="P1851" s="1" cm="1">
        <f t="array" ref="P1851">SUMPRODUCT(([1]OUT_FinalEnergyCons!$B$4:$B$10000="var_cap")*1,ISNUMBER(SEARCH("RH*-WHngahp",[1]OUT_FinalEnergyCons!$A$4:$A$10000))*1,[1]OUT_FinalEnergyCons!N$4:N$10000)</f>
        <v>5.8295326900102959E-2</v>
      </c>
      <c r="Q1851" s="1" cm="1">
        <f t="array" ref="Q1851">SUMPRODUCT(([1]OUT_FinalEnergyCons!$B$4:$B$10000="var_cap")*1,ISNUMBER(SEARCH("RH*-WHngahp",[1]OUT_FinalEnergyCons!$A$4:$A$10000))*1,[1]OUT_FinalEnergyCons!O$4:O$10000)</f>
        <v>5.8315232504083339E-2</v>
      </c>
      <c r="S1851" s="3"/>
    </row>
    <row r="1852" spans="2:19" x14ac:dyDescent="0.5">
      <c r="B1852" s="5" t="str">
        <f t="shared" ref="B1852:C1852" si="2071">B1851</f>
        <v>SPS1</v>
      </c>
      <c r="C1852" s="5" t="str">
        <f t="shared" si="2071"/>
        <v>CH</v>
      </c>
      <c r="D1852" t="s">
        <v>1888</v>
      </c>
      <c r="E1852" t="str">
        <f t="shared" si="2015"/>
        <v>GWth/yr.</v>
      </c>
      <c r="F1852" s="1">
        <f>F1853</f>
        <v>0</v>
      </c>
      <c r="G1852" s="1">
        <f t="shared" ref="G1852" si="2072">G1853</f>
        <v>0</v>
      </c>
      <c r="H1852" s="1">
        <f t="shared" ref="H1852" si="2073">H1853</f>
        <v>0</v>
      </c>
      <c r="I1852" s="1">
        <f t="shared" ref="I1852" si="2074">I1853</f>
        <v>0</v>
      </c>
      <c r="J1852" s="1">
        <f t="shared" ref="J1852" si="2075">J1853</f>
        <v>0</v>
      </c>
      <c r="K1852" s="1">
        <f t="shared" ref="K1852:O1852" si="2076">K1853</f>
        <v>0</v>
      </c>
      <c r="L1852" s="1">
        <f t="shared" si="2076"/>
        <v>0</v>
      </c>
      <c r="M1852" s="1">
        <f t="shared" si="2076"/>
        <v>0</v>
      </c>
      <c r="N1852" s="1">
        <f t="shared" si="2076"/>
        <v>0</v>
      </c>
      <c r="O1852" s="1">
        <f t="shared" si="2076"/>
        <v>0</v>
      </c>
      <c r="P1852" s="1">
        <f>P1853</f>
        <v>0</v>
      </c>
      <c r="Q1852" s="1">
        <f>Q1853</f>
        <v>0</v>
      </c>
      <c r="S1852" s="3"/>
    </row>
    <row r="1853" spans="2:19" x14ac:dyDescent="0.5">
      <c r="B1853" s="5" t="str">
        <f t="shared" ref="B1853:C1853" si="2077">B1852</f>
        <v>SPS1</v>
      </c>
      <c r="C1853" s="5" t="str">
        <f t="shared" si="2077"/>
        <v>CH</v>
      </c>
      <c r="D1853" t="s">
        <v>1889</v>
      </c>
      <c r="E1853" t="str">
        <f t="shared" si="2015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M1853" s="1" cm="1">
        <f t="array" ref="M1853">SUMPRODUCT(([1]OUT_FinalEnergyCons!$B$4:$B$10000="var_cap")*1, (ISNUMBER(SEARCH("RH*-WHCOABR",[1]OUT_FinalEnergyCons!$A$4:$A$10000)))*1,[1]OUT_FinalEnergyCons!K$4:K$10000)</f>
        <v>0</v>
      </c>
      <c r="N1853" s="1" cm="1">
        <f t="array" ref="N1853">SUMPRODUCT(([1]OUT_FinalEnergyCons!$B$4:$B$10000="var_cap")*1, (ISNUMBER(SEARCH("RH*-WHCOABR",[1]OUT_FinalEnergyCons!$A$4:$A$10000)))*1,[1]OUT_FinalEnergyCons!L$4:L$10000)</f>
        <v>0</v>
      </c>
      <c r="O1853" s="1" cm="1">
        <f t="array" ref="O1853">SUMPRODUCT(([1]OUT_FinalEnergyCons!$B$4:$B$10000="var_cap")*1, (ISNUMBER(SEARCH("RH*-WHCOABR",[1]OUT_FinalEnergyCons!$A$4:$A$10000)))*1,[1]OUT_FinalEnergyCons!M$4:M$10000)</f>
        <v>0</v>
      </c>
      <c r="P1853" s="1" cm="1">
        <f t="array" ref="P1853">SUMPRODUCT(([1]OUT_FinalEnergyCons!$B$4:$B$10000="var_cap")*1, (ISNUMBER(SEARCH("RH*-WHCOABR",[1]OUT_FinalEnergyCons!$A$4:$A$10000)))*1,[1]OUT_FinalEnergyCons!N$4:N$10000)</f>
        <v>0</v>
      </c>
      <c r="Q1853" s="1" cm="1">
        <f t="array" ref="Q1853">SUMPRODUCT(([1]OUT_FinalEnergyCons!$B$4:$B$10000="var_cap")*1, (ISNUMBER(SEARCH("RH*-WHCOABR",[1]OUT_FinalEnergyCons!$A$4:$A$10000)))*1,[1]OUT_FinalEnergyCons!O$4:O$10000)</f>
        <v>0</v>
      </c>
      <c r="S1853" s="3"/>
    </row>
    <row r="1854" spans="2:19" x14ac:dyDescent="0.5">
      <c r="B1854" s="5" t="str">
        <f t="shared" ref="B1854:C1854" si="2078">B1853</f>
        <v>SPS1</v>
      </c>
      <c r="C1854" s="5" t="str">
        <f t="shared" si="2078"/>
        <v>CH</v>
      </c>
      <c r="D1854" t="s">
        <v>1890</v>
      </c>
      <c r="E1854" t="str">
        <f t="shared" si="2015"/>
        <v>GWth/yr.</v>
      </c>
      <c r="F1854" s="1">
        <f>F1855</f>
        <v>3.5322010722483803E-2</v>
      </c>
      <c r="G1854" s="1">
        <f t="shared" ref="G1854" si="2079">G1855</f>
        <v>4.0436190741869008E-2</v>
      </c>
      <c r="H1854" s="1">
        <f t="shared" ref="H1854" si="2080">H1855</f>
        <v>4.0397383499967111E-2</v>
      </c>
      <c r="I1854" s="1">
        <f t="shared" ref="I1854" si="2081">I1855</f>
        <v>4.0375499047287849E-2</v>
      </c>
      <c r="J1854" s="1">
        <f t="shared" ref="J1854" si="2082">J1855</f>
        <v>1.8281953084734386E-2</v>
      </c>
      <c r="K1854" s="1">
        <f t="shared" ref="K1854:O1854" si="2083">K1855</f>
        <v>1.3165179362928223E-2</v>
      </c>
      <c r="L1854" s="1">
        <f t="shared" si="2083"/>
        <v>1.3164843915677597E-2</v>
      </c>
      <c r="M1854" s="1">
        <f t="shared" si="2083"/>
        <v>1.0345268731261762E-2</v>
      </c>
      <c r="N1854" s="1">
        <f t="shared" si="2083"/>
        <v>9.4188473206572258E-3</v>
      </c>
      <c r="O1854" s="1">
        <f t="shared" si="2083"/>
        <v>8.9069717548850465E-3</v>
      </c>
      <c r="P1854" s="1">
        <f>P1855</f>
        <v>8.6317230429597738E-3</v>
      </c>
      <c r="Q1854" s="1">
        <f>Q1855</f>
        <v>6.5981520265292392E-3</v>
      </c>
      <c r="S1854" s="3"/>
    </row>
    <row r="1855" spans="2:19" x14ac:dyDescent="0.5">
      <c r="B1855" s="5" t="str">
        <f t="shared" ref="B1855:C1855" si="2084">B1854</f>
        <v>SPS1</v>
      </c>
      <c r="C1855" s="5" t="str">
        <f t="shared" si="2084"/>
        <v>CH</v>
      </c>
      <c r="D1855" t="s">
        <v>1891</v>
      </c>
      <c r="E1855" t="str">
        <f t="shared" si="2015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4.0436190741869008E-2</v>
      </c>
      <c r="H1855" s="1" cm="1">
        <f t="array" ref="H1855">SUMPRODUCT(([1]OUT_FinalEnergyCons!$B$4:$B$10000="var_cap")*1, (ISNUMBER(SEARCH("RH*-WHWODBR",[1]OUT_FinalEnergyCons!$A$4:$A$10000)))*1,[1]OUT_FinalEnergyCons!F$4:F$10000)</f>
        <v>4.0397383499967111E-2</v>
      </c>
      <c r="I1855" s="1" cm="1">
        <f t="array" ref="I1855">SUMPRODUCT(([1]OUT_FinalEnergyCons!$B$4:$B$10000="var_cap")*1, (ISNUMBER(SEARCH("RH*-WHWODBR",[1]OUT_FinalEnergyCons!$A$4:$A$10000)))*1,[1]OUT_FinalEnergyCons!G$4:G$10000)</f>
        <v>4.0375499047287849E-2</v>
      </c>
      <c r="J1855" s="1" cm="1">
        <f t="array" ref="J1855">SUMPRODUCT(([1]OUT_FinalEnergyCons!$B$4:$B$10000="var_cap")*1, (ISNUMBER(SEARCH("RH*-WHWODBR",[1]OUT_FinalEnergyCons!$A$4:$A$10000)))*1,[1]OUT_FinalEnergyCons!H$4:H$10000)</f>
        <v>1.8281953084734386E-2</v>
      </c>
      <c r="K1855" s="1" cm="1">
        <f t="array" ref="K1855">SUMPRODUCT(([1]OUT_FinalEnergyCons!$B$4:$B$10000="var_cap")*1, (ISNUMBER(SEARCH("RH*-WHWODBR",[1]OUT_FinalEnergyCons!$A$4:$A$10000)))*1,[1]OUT_FinalEnergyCons!I$4:I$10000)</f>
        <v>1.3165179362928223E-2</v>
      </c>
      <c r="L1855" s="1" cm="1">
        <f t="array" ref="L1855">SUMPRODUCT(([1]OUT_FinalEnergyCons!$B$4:$B$10000="var_cap")*1, (ISNUMBER(SEARCH("RH*-WHWODBR",[1]OUT_FinalEnergyCons!$A$4:$A$10000)))*1,[1]OUT_FinalEnergyCons!J$4:J$10000)</f>
        <v>1.3164843915677597E-2</v>
      </c>
      <c r="M1855" s="1" cm="1">
        <f t="array" ref="M1855">SUMPRODUCT(([1]OUT_FinalEnergyCons!$B$4:$B$10000="var_cap")*1, (ISNUMBER(SEARCH("RH*-WHWODBR",[1]OUT_FinalEnergyCons!$A$4:$A$10000)))*1,[1]OUT_FinalEnergyCons!K$4:K$10000)</f>
        <v>1.0345268731261762E-2</v>
      </c>
      <c r="N1855" s="1" cm="1">
        <f t="array" ref="N1855">SUMPRODUCT(([1]OUT_FinalEnergyCons!$B$4:$B$10000="var_cap")*1, (ISNUMBER(SEARCH("RH*-WHWODBR",[1]OUT_FinalEnergyCons!$A$4:$A$10000)))*1,[1]OUT_FinalEnergyCons!L$4:L$10000)</f>
        <v>9.4188473206572258E-3</v>
      </c>
      <c r="O1855" s="1" cm="1">
        <f t="array" ref="O1855">SUMPRODUCT(([1]OUT_FinalEnergyCons!$B$4:$B$10000="var_cap")*1, (ISNUMBER(SEARCH("RH*-WHWODBR",[1]OUT_FinalEnergyCons!$A$4:$A$10000)))*1,[1]OUT_FinalEnergyCons!M$4:M$10000)</f>
        <v>8.9069717548850465E-3</v>
      </c>
      <c r="P1855" s="1" cm="1">
        <f t="array" ref="P1855">SUMPRODUCT(([1]OUT_FinalEnergyCons!$B$4:$B$10000="var_cap")*1, (ISNUMBER(SEARCH("RH*-WHWODBR",[1]OUT_FinalEnergyCons!$A$4:$A$10000)))*1,[1]OUT_FinalEnergyCons!N$4:N$10000)</f>
        <v>8.6317230429597738E-3</v>
      </c>
      <c r="Q1855" s="1" cm="1">
        <f t="array" ref="Q1855">SUMPRODUCT(([1]OUT_FinalEnergyCons!$B$4:$B$10000="var_cap")*1, (ISNUMBER(SEARCH("RH*-WHWODBR",[1]OUT_FinalEnergyCons!$A$4:$A$10000)))*1,[1]OUT_FinalEnergyCons!O$4:O$10000)</f>
        <v>6.5981520265292392E-3</v>
      </c>
      <c r="S1855" s="3"/>
    </row>
    <row r="1856" spans="2:19" x14ac:dyDescent="0.5">
      <c r="B1856" s="5" t="str">
        <f t="shared" ref="B1856:C1856" si="2085">B1855</f>
        <v>SPS1</v>
      </c>
      <c r="C1856" s="5" t="str">
        <f t="shared" si="2085"/>
        <v>CH</v>
      </c>
      <c r="D1856" t="s">
        <v>1892</v>
      </c>
      <c r="E1856" t="str">
        <f t="shared" si="2015"/>
        <v>GWth/yr.</v>
      </c>
      <c r="F1856" s="1">
        <f>F1857</f>
        <v>1.12410901121583E-2</v>
      </c>
      <c r="G1856" s="1">
        <f t="shared" ref="G1856" si="2086">G1857</f>
        <v>1.3192769979336695E-2</v>
      </c>
      <c r="H1856" s="1">
        <f t="shared" ref="H1856" si="2087">H1857</f>
        <v>1.3190673252429728E-2</v>
      </c>
      <c r="I1856" s="1">
        <f t="shared" ref="I1856" si="2088">I1857</f>
        <v>1.3189731067839319E-2</v>
      </c>
      <c r="J1856" s="1">
        <f t="shared" ref="J1856" si="2089">J1857</f>
        <v>9.5149120725704899E-3</v>
      </c>
      <c r="K1856" s="1">
        <f t="shared" ref="K1856:O1856" si="2090">K1857</f>
        <v>9.7757105385103821E-3</v>
      </c>
      <c r="L1856" s="1">
        <f t="shared" si="2090"/>
        <v>9.9935999661860536E-3</v>
      </c>
      <c r="M1856" s="1">
        <f t="shared" si="2090"/>
        <v>1.0214255518426847E-2</v>
      </c>
      <c r="N1856" s="1">
        <f t="shared" si="2090"/>
        <v>1.0350189099481592E-2</v>
      </c>
      <c r="O1856" s="1">
        <f t="shared" si="2090"/>
        <v>1.0527602408873111E-2</v>
      </c>
      <c r="P1856" s="1">
        <f>P1857</f>
        <v>1.0522765567091717E-2</v>
      </c>
      <c r="Q1856" s="1">
        <f>Q1857</f>
        <v>1.0583185330725475E-2</v>
      </c>
      <c r="S1856" s="3"/>
    </row>
    <row r="1857" spans="2:19" x14ac:dyDescent="0.5">
      <c r="B1857" s="5" t="str">
        <f t="shared" ref="B1857:C1857" si="2091">B1856</f>
        <v>SPS1</v>
      </c>
      <c r="C1857" s="5" t="str">
        <f t="shared" si="2091"/>
        <v>CH</v>
      </c>
      <c r="D1857" t="s">
        <v>1893</v>
      </c>
      <c r="E1857" t="str">
        <f t="shared" si="2015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1.3192769979336695E-2</v>
      </c>
      <c r="H1857" s="1" cm="1">
        <f t="array" ref="H1857">SUMPRODUCT(([1]OUT_FinalEnergyCons!$B$4:$B$10000="var_cap")*1, (ISNUMBER(SEARCH("RH*-WHPLTBR",[1]OUT_FinalEnergyCons!$A$4:$A$10000)))*1,[1]OUT_FinalEnergyCons!F$4:F$10000)</f>
        <v>1.3190673252429728E-2</v>
      </c>
      <c r="I1857" s="1" cm="1">
        <f t="array" ref="I1857">SUMPRODUCT(([1]OUT_FinalEnergyCons!$B$4:$B$10000="var_cap")*1, (ISNUMBER(SEARCH("RH*-WHPLTBR",[1]OUT_FinalEnergyCons!$A$4:$A$10000)))*1,[1]OUT_FinalEnergyCons!G$4:G$10000)</f>
        <v>1.3189731067839319E-2</v>
      </c>
      <c r="J1857" s="1" cm="1">
        <f t="array" ref="J1857">SUMPRODUCT(([1]OUT_FinalEnergyCons!$B$4:$B$10000="var_cap")*1, (ISNUMBER(SEARCH("RH*-WHPLTBR",[1]OUT_FinalEnergyCons!$A$4:$A$10000)))*1,[1]OUT_FinalEnergyCons!H$4:H$10000)</f>
        <v>9.5149120725704899E-3</v>
      </c>
      <c r="K1857" s="1" cm="1">
        <f t="array" ref="K1857">SUMPRODUCT(([1]OUT_FinalEnergyCons!$B$4:$B$10000="var_cap")*1, (ISNUMBER(SEARCH("RH*-WHPLTBR",[1]OUT_FinalEnergyCons!$A$4:$A$10000)))*1,[1]OUT_FinalEnergyCons!I$4:I$10000)</f>
        <v>9.7757105385103821E-3</v>
      </c>
      <c r="L1857" s="1" cm="1">
        <f t="array" ref="L1857">SUMPRODUCT(([1]OUT_FinalEnergyCons!$B$4:$B$10000="var_cap")*1, (ISNUMBER(SEARCH("RH*-WHPLTBR",[1]OUT_FinalEnergyCons!$A$4:$A$10000)))*1,[1]OUT_FinalEnergyCons!J$4:J$10000)</f>
        <v>9.9935999661860536E-3</v>
      </c>
      <c r="M1857" s="1" cm="1">
        <f t="array" ref="M1857">SUMPRODUCT(([1]OUT_FinalEnergyCons!$B$4:$B$10000="var_cap")*1, (ISNUMBER(SEARCH("RH*-WHPLTBR",[1]OUT_FinalEnergyCons!$A$4:$A$10000)))*1,[1]OUT_FinalEnergyCons!K$4:K$10000)</f>
        <v>1.0214255518426847E-2</v>
      </c>
      <c r="N1857" s="1" cm="1">
        <f t="array" ref="N1857">SUMPRODUCT(([1]OUT_FinalEnergyCons!$B$4:$B$10000="var_cap")*1, (ISNUMBER(SEARCH("RH*-WHPLTBR",[1]OUT_FinalEnergyCons!$A$4:$A$10000)))*1,[1]OUT_FinalEnergyCons!L$4:L$10000)</f>
        <v>1.0350189099481592E-2</v>
      </c>
      <c r="O1857" s="1" cm="1">
        <f t="array" ref="O1857">SUMPRODUCT(([1]OUT_FinalEnergyCons!$B$4:$B$10000="var_cap")*1, (ISNUMBER(SEARCH("RH*-WHPLTBR",[1]OUT_FinalEnergyCons!$A$4:$A$10000)))*1,[1]OUT_FinalEnergyCons!M$4:M$10000)</f>
        <v>1.0527602408873111E-2</v>
      </c>
      <c r="P1857" s="1" cm="1">
        <f t="array" ref="P1857">SUMPRODUCT(([1]OUT_FinalEnergyCons!$B$4:$B$10000="var_cap")*1, (ISNUMBER(SEARCH("RH*-WHPLTBR",[1]OUT_FinalEnergyCons!$A$4:$A$10000)))*1,[1]OUT_FinalEnergyCons!N$4:N$10000)</f>
        <v>1.0522765567091717E-2</v>
      </c>
      <c r="Q1857" s="1" cm="1">
        <f t="array" ref="Q1857">SUMPRODUCT(([1]OUT_FinalEnergyCons!$B$4:$B$10000="var_cap")*1, (ISNUMBER(SEARCH("RH*-WHPLTBR",[1]OUT_FinalEnergyCons!$A$4:$A$10000)))*1,[1]OUT_FinalEnergyCons!O$4:O$10000)</f>
        <v>1.0583185330725475E-2</v>
      </c>
      <c r="S1857" s="3"/>
    </row>
    <row r="1858" spans="2:19" x14ac:dyDescent="0.5">
      <c r="B1858" s="5" t="str">
        <f t="shared" ref="B1858:C1858" si="2092">B1857</f>
        <v>SPS1</v>
      </c>
      <c r="C1858" s="5" t="str">
        <f t="shared" si="2092"/>
        <v>CH</v>
      </c>
      <c r="D1858" t="s">
        <v>1894</v>
      </c>
      <c r="E1858" t="str">
        <f t="shared" si="2015"/>
        <v>GWth/yr.</v>
      </c>
      <c r="F1858" s="1">
        <f>F1859</f>
        <v>0.25000991745774798</v>
      </c>
      <c r="G1858" s="1">
        <f t="shared" ref="G1858" si="2093">G1859</f>
        <v>0.33256112897312889</v>
      </c>
      <c r="H1858" s="1">
        <f t="shared" ref="H1858" si="2094">H1859</f>
        <v>0.33256174675567785</v>
      </c>
      <c r="I1858" s="1">
        <f t="shared" ref="I1858" si="2095">I1859</f>
        <v>0.33256407550407407</v>
      </c>
      <c r="J1858" s="1">
        <f t="shared" ref="J1858" si="2096">J1859</f>
        <v>0.16564004901975038</v>
      </c>
      <c r="K1858" s="1">
        <f t="shared" ref="K1858:O1858" si="2097">K1859</f>
        <v>0.15965576057400199</v>
      </c>
      <c r="L1858" s="1">
        <f t="shared" si="2097"/>
        <v>0.183847181039275</v>
      </c>
      <c r="M1858" s="1">
        <f t="shared" si="2097"/>
        <v>0.68347412821375897</v>
      </c>
      <c r="N1858" s="1">
        <f t="shared" si="2097"/>
        <v>0.59468002993339797</v>
      </c>
      <c r="O1858" s="1">
        <f t="shared" si="2097"/>
        <v>0.55816104951812495</v>
      </c>
      <c r="P1858" s="1">
        <f>P1859</f>
        <v>0.44568323086705702</v>
      </c>
      <c r="Q1858" s="1">
        <f>Q1859</f>
        <v>0.34696436191616398</v>
      </c>
      <c r="S1858" s="3"/>
    </row>
    <row r="1859" spans="2:19" x14ac:dyDescent="0.5">
      <c r="B1859" s="5" t="str">
        <f t="shared" ref="B1859:C1859" si="2098">B1858</f>
        <v>SPS1</v>
      </c>
      <c r="C1859" s="5" t="str">
        <f t="shared" si="2098"/>
        <v>CH</v>
      </c>
      <c r="D1859" t="s">
        <v>1895</v>
      </c>
      <c r="E1859" t="str">
        <f t="shared" si="2015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0.33256112897312889</v>
      </c>
      <c r="H1859" s="1" cm="1">
        <f t="array" ref="H1859">SUMPRODUCT(([1]OUT_FinalEnergyCons!$B$4:$B$10000="var_cap")*1, (ISNUMBER(SEARCH("RH*-WHSOLBR",[1]OUT_FinalEnergyCons!$A$4:$A$10000)))*1,[1]OUT_FinalEnergyCons!F$4:F$10000)</f>
        <v>0.33256174675567785</v>
      </c>
      <c r="I1859" s="1" cm="1">
        <f t="array" ref="I1859">SUMPRODUCT(([1]OUT_FinalEnergyCons!$B$4:$B$10000="var_cap")*1, (ISNUMBER(SEARCH("RH*-WHSOLBR",[1]OUT_FinalEnergyCons!$A$4:$A$10000)))*1,[1]OUT_FinalEnergyCons!G$4:G$10000)</f>
        <v>0.33256407550407407</v>
      </c>
      <c r="J1859" s="1" cm="1">
        <f t="array" ref="J1859">SUMPRODUCT(([1]OUT_FinalEnergyCons!$B$4:$B$10000="var_cap")*1, (ISNUMBER(SEARCH("RH*-WHSOLBR",[1]OUT_FinalEnergyCons!$A$4:$A$10000)))*1,[1]OUT_FinalEnergyCons!H$4:H$10000)</f>
        <v>0.16564004901975038</v>
      </c>
      <c r="K1859" s="1" cm="1">
        <f t="array" ref="K1859">SUMPRODUCT(([1]OUT_FinalEnergyCons!$B$4:$B$10000="var_cap")*1, (ISNUMBER(SEARCH("RH*-WHSOLBR",[1]OUT_FinalEnergyCons!$A$4:$A$10000)))*1,[1]OUT_FinalEnergyCons!I$4:I$10000)</f>
        <v>0.15965576057400199</v>
      </c>
      <c r="L1859" s="1" cm="1">
        <f t="array" ref="L1859">SUMPRODUCT(([1]OUT_FinalEnergyCons!$B$4:$B$10000="var_cap")*1, (ISNUMBER(SEARCH("RH*-WHSOLBR",[1]OUT_FinalEnergyCons!$A$4:$A$10000)))*1,[1]OUT_FinalEnergyCons!J$4:J$10000)</f>
        <v>0.183847181039275</v>
      </c>
      <c r="M1859" s="1" cm="1">
        <f t="array" ref="M1859">SUMPRODUCT(([1]OUT_FinalEnergyCons!$B$4:$B$10000="var_cap")*1, (ISNUMBER(SEARCH("RH*-WHSOLBR",[1]OUT_FinalEnergyCons!$A$4:$A$10000)))*1,[1]OUT_FinalEnergyCons!K$4:K$10000)</f>
        <v>0.68347412821375897</v>
      </c>
      <c r="N1859" s="1" cm="1">
        <f t="array" ref="N1859">SUMPRODUCT(([1]OUT_FinalEnergyCons!$B$4:$B$10000="var_cap")*1, (ISNUMBER(SEARCH("RH*-WHSOLBR",[1]OUT_FinalEnergyCons!$A$4:$A$10000)))*1,[1]OUT_FinalEnergyCons!L$4:L$10000)</f>
        <v>0.59468002993339797</v>
      </c>
      <c r="O1859" s="1" cm="1">
        <f t="array" ref="O1859">SUMPRODUCT(([1]OUT_FinalEnergyCons!$B$4:$B$10000="var_cap")*1, (ISNUMBER(SEARCH("RH*-WHSOLBR",[1]OUT_FinalEnergyCons!$A$4:$A$10000)))*1,[1]OUT_FinalEnergyCons!M$4:M$10000)</f>
        <v>0.55816104951812495</v>
      </c>
      <c r="P1859" s="1" cm="1">
        <f t="array" ref="P1859">SUMPRODUCT(([1]OUT_FinalEnergyCons!$B$4:$B$10000="var_cap")*1, (ISNUMBER(SEARCH("RH*-WHSOLBR",[1]OUT_FinalEnergyCons!$A$4:$A$10000)))*1,[1]OUT_FinalEnergyCons!N$4:N$10000)</f>
        <v>0.44568323086705702</v>
      </c>
      <c r="Q1859" s="1" cm="1">
        <f t="array" ref="Q1859">SUMPRODUCT(([1]OUT_FinalEnergyCons!$B$4:$B$10000="var_cap")*1, (ISNUMBER(SEARCH("RH*-WHSOLBR",[1]OUT_FinalEnergyCons!$A$4:$A$10000)))*1,[1]OUT_FinalEnergyCons!O$4:O$10000)</f>
        <v>0.34696436191616398</v>
      </c>
      <c r="S1859" s="3"/>
    </row>
    <row r="1860" spans="2:19" x14ac:dyDescent="0.5">
      <c r="B1860" s="5" t="str">
        <f t="shared" ref="B1860:C1860" si="2099">B1859</f>
        <v>SPS1</v>
      </c>
      <c r="C1860" s="5" t="str">
        <f t="shared" si="2099"/>
        <v>CH</v>
      </c>
      <c r="D1860" t="s">
        <v>1896</v>
      </c>
      <c r="E1860" t="str">
        <f t="shared" si="2015"/>
        <v>GWth/yr.</v>
      </c>
      <c r="F1860" s="1">
        <f>F1861</f>
        <v>0</v>
      </c>
      <c r="G1860" s="1">
        <f t="shared" ref="G1860" si="2100">G1861</f>
        <v>0</v>
      </c>
      <c r="H1860" s="1">
        <f t="shared" ref="H1860" si="2101">H1861</f>
        <v>0</v>
      </c>
      <c r="I1860" s="1">
        <f t="shared" ref="I1860" si="2102">I1861</f>
        <v>0</v>
      </c>
      <c r="J1860" s="1">
        <f t="shared" ref="J1860" si="2103">J1861</f>
        <v>0</v>
      </c>
      <c r="K1860" s="1">
        <f t="shared" ref="K1860:O1860" si="2104">K1861</f>
        <v>0</v>
      </c>
      <c r="L1860" s="1">
        <f t="shared" si="2104"/>
        <v>0</v>
      </c>
      <c r="M1860" s="1">
        <f t="shared" si="2104"/>
        <v>0</v>
      </c>
      <c r="N1860" s="1">
        <f t="shared" si="2104"/>
        <v>0</v>
      </c>
      <c r="O1860" s="1">
        <f t="shared" si="2104"/>
        <v>0</v>
      </c>
      <c r="P1860" s="1">
        <f>P1861</f>
        <v>0</v>
      </c>
      <c r="Q1860" s="1">
        <f>Q1861</f>
        <v>0</v>
      </c>
      <c r="S1860" s="3"/>
    </row>
    <row r="1861" spans="2:19" x14ac:dyDescent="0.5">
      <c r="B1861" s="5" t="str">
        <f t="shared" ref="B1861:C1865" si="2105">B1860</f>
        <v>SPS1</v>
      </c>
      <c r="C1861" s="5" t="str">
        <f t="shared" si="2105"/>
        <v>CH</v>
      </c>
      <c r="D1861" t="s">
        <v>1897</v>
      </c>
      <c r="E1861" t="str">
        <f t="shared" si="2015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M1861" s="1" cm="1">
        <f t="array" ref="M1861">SUMPRODUCT(([1]OUT_FinalEnergyCons!$B$4:$B$10000="var_cap")*1, (ISNUMBER(SEARCH("RH*-WHH2BR",[1]OUT_FinalEnergyCons!$A$4:$A$10000)))*1,[1]OUT_FinalEnergyCons!K$4:K$10000)</f>
        <v>0</v>
      </c>
      <c r="N1861" s="1" cm="1">
        <f t="array" ref="N1861">SUMPRODUCT(([1]OUT_FinalEnergyCons!$B$4:$B$10000="var_cap")*1, (ISNUMBER(SEARCH("RH*-WHH2BR",[1]OUT_FinalEnergyCons!$A$4:$A$10000)))*1,[1]OUT_FinalEnergyCons!L$4:L$10000)</f>
        <v>0</v>
      </c>
      <c r="O1861" s="1" cm="1">
        <f t="array" ref="O1861">SUMPRODUCT(([1]OUT_FinalEnergyCons!$B$4:$B$10000="var_cap")*1, (ISNUMBER(SEARCH("RH*-WHH2BR",[1]OUT_FinalEnergyCons!$A$4:$A$10000)))*1,[1]OUT_FinalEnergyCons!M$4:M$10000)</f>
        <v>0</v>
      </c>
      <c r="P1861" s="1" cm="1">
        <f t="array" ref="P1861">SUMPRODUCT(([1]OUT_FinalEnergyCons!$B$4:$B$10000="var_cap")*1, (ISNUMBER(SEARCH("RH*-WHH2BR",[1]OUT_FinalEnergyCons!$A$4:$A$10000)))*1,[1]OUT_FinalEnergyCons!N$4:N$10000)</f>
        <v>0</v>
      </c>
      <c r="Q1861" s="1" cm="1">
        <f t="array" ref="Q1861">SUMPRODUCT(([1]OUT_FinalEnergyCons!$B$4:$B$10000="var_cap")*1, (ISNUMBER(SEARCH("RH*-WHH2BR",[1]OUT_FinalEnergyCons!$A$4:$A$10000)))*1,[1]OUT_FinalEnergyCons!O$4:O$10000)</f>
        <v>0</v>
      </c>
      <c r="S1861" s="3"/>
    </row>
    <row r="1862" spans="2:19" x14ac:dyDescent="0.5">
      <c r="B1862" s="9" t="str">
        <f t="shared" si="2105"/>
        <v>SPS1</v>
      </c>
      <c r="C1862" s="9" t="str">
        <f t="shared" si="2105"/>
        <v>CH</v>
      </c>
      <c r="D1862" s="2" t="s">
        <v>1899</v>
      </c>
      <c r="E1862" s="9" t="str">
        <f t="shared" si="2015"/>
        <v>GWth/yr.</v>
      </c>
      <c r="F1862" s="17">
        <f>SUM(F1863,F1866,F1869,F1873,F1875,F1877,F1879,F1881,F1883)</f>
        <v>3.600342231778018</v>
      </c>
      <c r="G1862" s="17">
        <f t="shared" ref="G1862:K1862" si="2106">SUM(G1863,G1866,G1869,G1873,G1875,G1877,G1879,G1881,G1883)</f>
        <v>3.663263797019217</v>
      </c>
      <c r="H1862" s="17">
        <f t="shared" si="2106"/>
        <v>3.5706373751854943</v>
      </c>
      <c r="I1862" s="17">
        <f t="shared" si="2106"/>
        <v>3.7908650632668901</v>
      </c>
      <c r="J1862" s="17">
        <f t="shared" si="2106"/>
        <v>4.1090684853947259</v>
      </c>
      <c r="K1862" s="17">
        <f t="shared" si="2106"/>
        <v>3.7637310728776256</v>
      </c>
      <c r="L1862" s="17">
        <f t="shared" ref="L1862:O1862" si="2107">SUM(L1863,L1866,L1869,L1873,L1875,L1877,L1879,L1881,L1883)</f>
        <v>3.6998427883567988</v>
      </c>
      <c r="M1862" s="17">
        <f t="shared" si="2107"/>
        <v>3.6990487987125391</v>
      </c>
      <c r="N1862" s="17">
        <f t="shared" si="2107"/>
        <v>3.5210831425911282</v>
      </c>
      <c r="O1862" s="17">
        <f t="shared" si="2107"/>
        <v>3.4613846369484609</v>
      </c>
      <c r="P1862" s="17">
        <f>SUM(P1863,P1866,P1869,P1873,P1875,P1877,P1879,P1881,P1883)</f>
        <v>3.4826161837257237</v>
      </c>
      <c r="Q1862" s="17">
        <f>SUM(Q1863,Q1866,Q1869,Q1873,Q1875,Q1877,Q1879,Q1881,Q1883)</f>
        <v>3.4927677542386468</v>
      </c>
      <c r="S1862" s="3"/>
    </row>
    <row r="1863" spans="2:19" x14ac:dyDescent="0.5">
      <c r="B1863" s="5" t="str">
        <f>B1862</f>
        <v>SPS1</v>
      </c>
      <c r="C1863" s="5" t="str">
        <f t="shared" si="2105"/>
        <v>CH</v>
      </c>
      <c r="D1863" t="s">
        <v>2093</v>
      </c>
      <c r="E1863" t="str">
        <f t="shared" si="2015"/>
        <v>GWth/yr.</v>
      </c>
      <c r="F1863" s="18">
        <f>SUM(F1864:F1865)</f>
        <v>0.61671309762324311</v>
      </c>
      <c r="G1863" s="18">
        <f t="shared" ref="G1863:K1863" si="2108">SUM(G1864:G1865)</f>
        <v>0.80000664931143528</v>
      </c>
      <c r="H1863" s="18">
        <f t="shared" si="2108"/>
        <v>0.9195502684188529</v>
      </c>
      <c r="I1863" s="18">
        <f t="shared" si="2108"/>
        <v>1.2088552088102529</v>
      </c>
      <c r="J1863" s="18">
        <f t="shared" si="2108"/>
        <v>1.6189816870248914</v>
      </c>
      <c r="K1863" s="18">
        <f t="shared" si="2108"/>
        <v>1.608142455181659</v>
      </c>
      <c r="L1863" s="18">
        <f t="shared" ref="L1863:O1863" si="2109">SUM(L1864:L1865)</f>
        <v>1.7842886060812073</v>
      </c>
      <c r="M1863" s="18">
        <f t="shared" si="2109"/>
        <v>1.9305457180440571</v>
      </c>
      <c r="N1863" s="18">
        <f t="shared" si="2109"/>
        <v>1.858610942018097</v>
      </c>
      <c r="O1863" s="18">
        <f t="shared" si="2109"/>
        <v>1.7245443857135672</v>
      </c>
      <c r="P1863" s="18">
        <f>SUM(P1864:P1865)</f>
        <v>1.7796502199667577</v>
      </c>
      <c r="Q1863" s="18">
        <f>SUM(Q1864:Q1865)</f>
        <v>1.7745353048464612</v>
      </c>
      <c r="S1863" s="3"/>
    </row>
    <row r="1864" spans="2:19" x14ac:dyDescent="0.5">
      <c r="B1864" s="5" t="str">
        <f t="shared" ref="B1864:B1865" si="2110">B1863</f>
        <v>SPS1</v>
      </c>
      <c r="C1864" s="5" t="str">
        <f t="shared" si="2105"/>
        <v>CH</v>
      </c>
      <c r="D1864" t="s">
        <v>2094</v>
      </c>
      <c r="E1864" t="str">
        <f t="shared" si="2015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0.72373361387098434</v>
      </c>
      <c r="H1864" s="1" cm="1">
        <f t="array" ref="H1864">SUMPRODUCT(([1]OUT_FinalEnergyCons!$B$4:$B$10000="Var_cap")*1,  (ISNUMBER(SEARCH("ITOT-SWHELCBR",[1]OUT_FinalEnergyCons!$A$4:$A$10000)))*1,[1]OUT_FinalEnergyCons!F$4:F$10000)</f>
        <v>0.72391885789479615</v>
      </c>
      <c r="I1864" s="1" cm="1">
        <f t="array" ref="I1864">SUMPRODUCT(([1]OUT_FinalEnergyCons!$B$4:$B$10000="Var_cap")*1,  (ISNUMBER(SEARCH("ITOT-SWHELCBR",[1]OUT_FinalEnergyCons!$A$4:$A$10000)))*1,[1]OUT_FinalEnergyCons!G$4:G$10000)</f>
        <v>0.88556404141075029</v>
      </c>
      <c r="J1864" s="1" cm="1">
        <f t="array" ref="J1864">SUMPRODUCT(([1]OUT_FinalEnergyCons!$B$4:$B$10000="Var_cap")*1,  (ISNUMBER(SEARCH("ITOT-SWHELCBR",[1]OUT_FinalEnergyCons!$A$4:$A$10000)))*1,[1]OUT_FinalEnergyCons!H$4:H$10000)</f>
        <v>1.1705259159343235</v>
      </c>
      <c r="K1864" s="1" cm="1">
        <f t="array" ref="K1864">SUMPRODUCT(([1]OUT_FinalEnergyCons!$B$4:$B$10000="Var_cap")*1,  (ISNUMBER(SEARCH("ITOT-SWHELCBR",[1]OUT_FinalEnergyCons!$A$4:$A$10000)))*1,[1]OUT_FinalEnergyCons!I$4:I$10000)</f>
        <v>1.1600782051806053</v>
      </c>
      <c r="L1864" s="1" cm="1">
        <f t="array" ref="L1864">SUMPRODUCT(([1]OUT_FinalEnergyCons!$B$4:$B$10000="Var_cap")*1,  (ISNUMBER(SEARCH("ITOT-SWHELCBR",[1]OUT_FinalEnergyCons!$A$4:$A$10000)))*1,[1]OUT_FinalEnergyCons!J$4:J$10000)</f>
        <v>1.1856794103972774</v>
      </c>
      <c r="M1864" s="1" cm="1">
        <f t="array" ref="M1864">SUMPRODUCT(([1]OUT_FinalEnergyCons!$B$4:$B$10000="Var_cap")*1,  (ISNUMBER(SEARCH("ITOT-SWHELCBR",[1]OUT_FinalEnergyCons!$A$4:$A$10000)))*1,[1]OUT_FinalEnergyCons!K$4:K$10000)</f>
        <v>1.1865657637973264</v>
      </c>
      <c r="N1864" s="1" cm="1">
        <f t="array" ref="N1864">SUMPRODUCT(([1]OUT_FinalEnergyCons!$B$4:$B$10000="Var_cap")*1,  (ISNUMBER(SEARCH("ITOT-SWHELCBR",[1]OUT_FinalEnergyCons!$A$4:$A$10000)))*1,[1]OUT_FinalEnergyCons!L$4:L$10000)</f>
        <v>1.1315369753370055</v>
      </c>
      <c r="O1864" s="1" cm="1">
        <f t="array" ref="O1864">SUMPRODUCT(([1]OUT_FinalEnergyCons!$B$4:$B$10000="Var_cap")*1,  (ISNUMBER(SEARCH("ITOT-SWHELCBR",[1]OUT_FinalEnergyCons!$A$4:$A$10000)))*1,[1]OUT_FinalEnergyCons!M$4:M$10000)</f>
        <v>0.99932687943035281</v>
      </c>
      <c r="P1864" s="1" cm="1">
        <f t="array" ref="P1864">SUMPRODUCT(([1]OUT_FinalEnergyCons!$B$4:$B$10000="Var_cap")*1,  (ISNUMBER(SEARCH("ITOT-SWHELCBR",[1]OUT_FinalEnergyCons!$A$4:$A$10000)))*1,[1]OUT_FinalEnergyCons!N$4:N$10000)</f>
        <v>1.0541094893322931</v>
      </c>
      <c r="Q1864" s="1" cm="1">
        <f t="array" ref="Q1864">SUMPRODUCT(([1]OUT_FinalEnergyCons!$B$4:$B$10000="Var_cap")*1,  (ISNUMBER(SEARCH("ITOT-SWHELCBR",[1]OUT_FinalEnergyCons!$A$4:$A$10000)))*1,[1]OUT_FinalEnergyCons!O$4:O$10000)</f>
        <v>1.0497604592044854</v>
      </c>
      <c r="S1864" s="3"/>
    </row>
    <row r="1865" spans="2:19" x14ac:dyDescent="0.5">
      <c r="B1865" s="5" t="str">
        <f t="shared" si="2110"/>
        <v>SPS1</v>
      </c>
      <c r="C1865" s="5" t="str">
        <f t="shared" si="2105"/>
        <v>CH</v>
      </c>
      <c r="D1865" t="s">
        <v>2095</v>
      </c>
      <c r="E1865" t="str">
        <f t="shared" si="2015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7.6273035440450943E-2</v>
      </c>
      <c r="H1865" s="1" cm="1">
        <f t="array" ref="H1865">SUMPRODUCT(([1]OUT_FinalEnergyCons!$B$4:$B$10000="Var_cap")*1,  (ISNUMBER(SEARCH("ITOT-SWHELCHP",[1]OUT_FinalEnergyCons!$A$4:$A$10000)))*1,[1]OUT_FinalEnergyCons!F$4:F$10000)</f>
        <v>0.19563141052405678</v>
      </c>
      <c r="I1865" s="1" cm="1">
        <f t="array" ref="I1865">SUMPRODUCT(([1]OUT_FinalEnergyCons!$B$4:$B$10000="Var_cap")*1,  (ISNUMBER(SEARCH("ITOT-SWHELCHP",[1]OUT_FinalEnergyCons!$A$4:$A$10000)))*1,[1]OUT_FinalEnergyCons!G$4:G$10000)</f>
        <v>0.3232911673995027</v>
      </c>
      <c r="J1865" s="1" cm="1">
        <f t="array" ref="J1865">SUMPRODUCT(([1]OUT_FinalEnergyCons!$B$4:$B$10000="Var_cap")*1,  (ISNUMBER(SEARCH("ITOT-SWHELCHP",[1]OUT_FinalEnergyCons!$A$4:$A$10000)))*1,[1]OUT_FinalEnergyCons!H$4:H$10000)</f>
        <v>0.44845577109056778</v>
      </c>
      <c r="K1865" s="1" cm="1">
        <f t="array" ref="K1865">SUMPRODUCT(([1]OUT_FinalEnergyCons!$B$4:$B$10000="Var_cap")*1,  (ISNUMBER(SEARCH("ITOT-SWHELCHP",[1]OUT_FinalEnergyCons!$A$4:$A$10000)))*1,[1]OUT_FinalEnergyCons!I$4:I$10000)</f>
        <v>0.44806425000105371</v>
      </c>
      <c r="L1865" s="1" cm="1">
        <f t="array" ref="L1865">SUMPRODUCT(([1]OUT_FinalEnergyCons!$B$4:$B$10000="Var_cap")*1,  (ISNUMBER(SEARCH("ITOT-SWHELCHP",[1]OUT_FinalEnergyCons!$A$4:$A$10000)))*1,[1]OUT_FinalEnergyCons!J$4:J$10000)</f>
        <v>0.5986091956839299</v>
      </c>
      <c r="M1865" s="1" cm="1">
        <f t="array" ref="M1865">SUMPRODUCT(([1]OUT_FinalEnergyCons!$B$4:$B$10000="Var_cap")*1,  (ISNUMBER(SEARCH("ITOT-SWHELCHP",[1]OUT_FinalEnergyCons!$A$4:$A$10000)))*1,[1]OUT_FinalEnergyCons!K$4:K$10000)</f>
        <v>0.74397995424673058</v>
      </c>
      <c r="N1865" s="1" cm="1">
        <f t="array" ref="N1865">SUMPRODUCT(([1]OUT_FinalEnergyCons!$B$4:$B$10000="Var_cap")*1,  (ISNUMBER(SEARCH("ITOT-SWHELCHP",[1]OUT_FinalEnergyCons!$A$4:$A$10000)))*1,[1]OUT_FinalEnergyCons!L$4:L$10000)</f>
        <v>0.72707396668109137</v>
      </c>
      <c r="O1865" s="1" cm="1">
        <f t="array" ref="O1865">SUMPRODUCT(([1]OUT_FinalEnergyCons!$B$4:$B$10000="Var_cap")*1,  (ISNUMBER(SEARCH("ITOT-SWHELCHP",[1]OUT_FinalEnergyCons!$A$4:$A$10000)))*1,[1]OUT_FinalEnergyCons!M$4:M$10000)</f>
        <v>0.72521750628321435</v>
      </c>
      <c r="P1865" s="1" cm="1">
        <f t="array" ref="P1865">SUMPRODUCT(([1]OUT_FinalEnergyCons!$B$4:$B$10000="Var_cap")*1,  (ISNUMBER(SEARCH("ITOT-SWHELCHP",[1]OUT_FinalEnergyCons!$A$4:$A$10000)))*1,[1]OUT_FinalEnergyCons!N$4:N$10000)</f>
        <v>0.72554073063446456</v>
      </c>
      <c r="Q1865" s="1" cm="1">
        <f t="array" ref="Q1865">SUMPRODUCT(([1]OUT_FinalEnergyCons!$B$4:$B$10000="Var_cap")*1,  (ISNUMBER(SEARCH("ITOT-SWHELCHP",[1]OUT_FinalEnergyCons!$A$4:$A$10000)))*1,[1]OUT_FinalEnergyCons!O$4:O$10000)</f>
        <v>0.7247748456419757</v>
      </c>
      <c r="S1865" s="3"/>
    </row>
    <row r="1866" spans="2:19" x14ac:dyDescent="0.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2015"/>
        <v>GWth/yr.</v>
      </c>
      <c r="F1866" s="18">
        <f>SUM(F1867:F1868)</f>
        <v>0.47726292582864849</v>
      </c>
      <c r="G1866" s="18">
        <f t="shared" ref="G1866:K1866" si="2111">SUM(G1867:G1868)</f>
        <v>0.47734399524702154</v>
      </c>
      <c r="H1866" s="18">
        <f t="shared" si="2111"/>
        <v>0.37662240440020961</v>
      </c>
      <c r="I1866" s="18">
        <f t="shared" si="2111"/>
        <v>0.37643059082355201</v>
      </c>
      <c r="J1866" s="18">
        <f t="shared" si="2111"/>
        <v>0.23113509102770885</v>
      </c>
      <c r="K1866" s="18">
        <f t="shared" si="2111"/>
        <v>0.20946960823376881</v>
      </c>
      <c r="L1866" s="18">
        <f t="shared" ref="L1866:O1866" si="2112">SUM(L1867:L1868)</f>
        <v>0.12406472343439</v>
      </c>
      <c r="M1866" s="18">
        <f t="shared" si="2112"/>
        <v>9.6108007085663957E-2</v>
      </c>
      <c r="N1866" s="18">
        <f t="shared" si="2112"/>
        <v>5.6472523825785603E-2</v>
      </c>
      <c r="O1866" s="18">
        <f t="shared" si="2112"/>
        <v>5.590645777538477E-2</v>
      </c>
      <c r="P1866" s="18">
        <f>SUM(P1867:P1868)</f>
        <v>4.4579689370589481E-2</v>
      </c>
      <c r="Q1866" s="18">
        <f>SUM(Q1867:Q1868)</f>
        <v>5.0294085119258647E-2</v>
      </c>
      <c r="S1866" s="3"/>
    </row>
    <row r="1867" spans="2:19" x14ac:dyDescent="0.5">
      <c r="B1867" s="5" t="str">
        <f t="shared" ref="B1867:B1884" si="2113">B1866</f>
        <v>SPS1</v>
      </c>
      <c r="C1867" s="5" t="str">
        <f t="shared" ref="C1867:C1884" si="2114">C1866</f>
        <v>CH</v>
      </c>
      <c r="D1867" t="s">
        <v>2097</v>
      </c>
      <c r="E1867" t="str">
        <f t="shared" si="2015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0.37647287376054483</v>
      </c>
      <c r="H1867" s="1" cm="1">
        <f t="array" ref="H1867">SUMPRODUCT(([1]OUT_FinalEnergyCons!$B$4:$B$10000="Var_cap")*1,  (ISNUMBER(SEARCH("ITOT-SWHLFOBR",[1]OUT_FinalEnergyCons!$A$4:$A$10000)))*1,[1]OUT_FinalEnergyCons!F$4:F$10000)</f>
        <v>0.37646837423479346</v>
      </c>
      <c r="I1867" s="1" cm="1">
        <f t="array" ref="I1867">SUMPRODUCT(([1]OUT_FinalEnergyCons!$B$4:$B$10000="Var_cap")*1,  (ISNUMBER(SEARCH("ITOT-SWHLFOBR",[1]OUT_FinalEnergyCons!$A$4:$A$10000)))*1,[1]OUT_FinalEnergyCons!G$4:G$10000)</f>
        <v>0.37640821150752707</v>
      </c>
      <c r="J1867" s="1" cm="1">
        <f t="array" ref="J1867">SUMPRODUCT(([1]OUT_FinalEnergyCons!$B$4:$B$10000="Var_cap")*1,  (ISNUMBER(SEARCH("ITOT-SWHLFOBR",[1]OUT_FinalEnergyCons!$A$4:$A$10000)))*1,[1]OUT_FinalEnergyCons!H$4:H$10000)</f>
        <v>0.23112014908158504</v>
      </c>
      <c r="K1867" s="1" cm="1">
        <f t="array" ref="K1867">SUMPRODUCT(([1]OUT_FinalEnergyCons!$B$4:$B$10000="Var_cap")*1,  (ISNUMBER(SEARCH("ITOT-SWHLFOBR",[1]OUT_FinalEnergyCons!$A$4:$A$10000)))*1,[1]OUT_FinalEnergyCons!I$4:I$10000)</f>
        <v>0.20938845922608471</v>
      </c>
      <c r="L1867" s="1" cm="1">
        <f t="array" ref="L1867">SUMPRODUCT(([1]OUT_FinalEnergyCons!$B$4:$B$10000="Var_cap")*1,  (ISNUMBER(SEARCH("ITOT-SWHLFOBR",[1]OUT_FinalEnergyCons!$A$4:$A$10000)))*1,[1]OUT_FinalEnergyCons!J$4:J$10000)</f>
        <v>0.12400713714795859</v>
      </c>
      <c r="M1867" s="1" cm="1">
        <f t="array" ref="M1867">SUMPRODUCT(([1]OUT_FinalEnergyCons!$B$4:$B$10000="Var_cap")*1,  (ISNUMBER(SEARCH("ITOT-SWHLFOBR",[1]OUT_FinalEnergyCons!$A$4:$A$10000)))*1,[1]OUT_FinalEnergyCons!K$4:K$10000)</f>
        <v>9.6108007085663957E-2</v>
      </c>
      <c r="N1867" s="1" cm="1">
        <f t="array" ref="N1867">SUMPRODUCT(([1]OUT_FinalEnergyCons!$B$4:$B$10000="Var_cap")*1,  (ISNUMBER(SEARCH("ITOT-SWHLFOBR",[1]OUT_FinalEnergyCons!$A$4:$A$10000)))*1,[1]OUT_FinalEnergyCons!L$4:L$10000)</f>
        <v>5.6472523825785603E-2</v>
      </c>
      <c r="O1867" s="1" cm="1">
        <f t="array" ref="O1867">SUMPRODUCT(([1]OUT_FinalEnergyCons!$B$4:$B$10000="Var_cap")*1,  (ISNUMBER(SEARCH("ITOT-SWHLFOBR",[1]OUT_FinalEnergyCons!$A$4:$A$10000)))*1,[1]OUT_FinalEnergyCons!M$4:M$10000)</f>
        <v>5.590645777538477E-2</v>
      </c>
      <c r="P1867" s="1" cm="1">
        <f t="array" ref="P1867">SUMPRODUCT(([1]OUT_FinalEnergyCons!$B$4:$B$10000="Var_cap")*1,  (ISNUMBER(SEARCH("ITOT-SWHLFOBR",[1]OUT_FinalEnergyCons!$A$4:$A$10000)))*1,[1]OUT_FinalEnergyCons!N$4:N$10000)</f>
        <v>4.4579689370589481E-2</v>
      </c>
      <c r="Q1867" s="1" cm="1">
        <f t="array" ref="Q1867">SUMPRODUCT(([1]OUT_FinalEnergyCons!$B$4:$B$10000="Var_cap")*1,  (ISNUMBER(SEARCH("ITOT-SWHLFOBR",[1]OUT_FinalEnergyCons!$A$4:$A$10000)))*1,[1]OUT_FinalEnergyCons!O$4:O$10000)</f>
        <v>5.0294085119258647E-2</v>
      </c>
      <c r="S1867" s="3"/>
    </row>
    <row r="1868" spans="2:19" x14ac:dyDescent="0.5">
      <c r="B1868" s="5" t="str">
        <f t="shared" si="2113"/>
        <v>SPS1</v>
      </c>
      <c r="C1868" s="5" t="str">
        <f t="shared" si="2114"/>
        <v>CH</v>
      </c>
      <c r="D1868" t="s">
        <v>2098</v>
      </c>
      <c r="E1868" t="str">
        <f t="shared" si="2015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0.10092748619781651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0.10087112148647673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1.5403016541616632E-4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2.2379316024917495E-5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1.4941946123815664E-5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8.1149007684092246E-5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5.7586286431400605E-5</v>
      </c>
      <c r="M1868" s="1" cm="1">
        <f t="array" ref="M1868">IF(SUMPRODUCT(([1]OUT_FinalEnergyCons!$B$4:$B$10000="Var_cap")*1,  (ISNUMBER(SEARCH("ITOT-SWHHFOBR",[1]OUT_FinalEnergyCons!$A$4:$A$10000)))*1,[1]OUT_FinalEnergyCons!K$4:K$10000)&lt;0,0,SUMPRODUCT(([1]OUT_FinalEnergyCons!$B$4:$B$10000="Var_cap")*1,  (ISNUMBER(SEARCH("ITOT-SWHHFOBR",[1]OUT_FinalEnergyCons!$A$4:$A$10000)))*1,[1]OUT_FinalEnergyCons!K$4:K$10000))</f>
        <v>0</v>
      </c>
      <c r="N1868" s="1" cm="1">
        <f t="array" ref="N1868">IF(SUMPRODUCT(([1]OUT_FinalEnergyCons!$B$4:$B$10000="Var_cap")*1,  (ISNUMBER(SEARCH("ITOT-SWHHFOBR",[1]OUT_FinalEnergyCons!$A$4:$A$10000)))*1,[1]OUT_FinalEnergyCons!L$4:L$10000)&lt;0,0,SUMPRODUCT(([1]OUT_FinalEnergyCons!$B$4:$B$10000="Var_cap")*1,  (ISNUMBER(SEARCH("ITOT-SWHHFOBR",[1]OUT_FinalEnergyCons!$A$4:$A$10000)))*1,[1]OUT_FinalEnergyCons!L$4:L$10000))</f>
        <v>0</v>
      </c>
      <c r="O1868" s="1" cm="1">
        <f t="array" ref="O1868">IF(SUMPRODUCT(([1]OUT_FinalEnergyCons!$B$4:$B$10000="Var_cap")*1,  (ISNUMBER(SEARCH("ITOT-SWHHFOBR",[1]OUT_FinalEnergyCons!$A$4:$A$10000)))*1,[1]OUT_FinalEnergyCons!M$4:M$10000)&lt;0,0,SUMPRODUCT(([1]OUT_FinalEnergyCons!$B$4:$B$10000="Var_cap")*1,  (ISNUMBER(SEARCH("ITOT-SWHHFOBR",[1]OUT_FinalEnergyCons!$A$4:$A$10000)))*1,[1]OUT_FinalEnergyCons!M$4:M$10000))</f>
        <v>0</v>
      </c>
      <c r="P1868" s="1" cm="1">
        <f t="array" ref="P1868">IF(SUMPRODUCT(([1]OUT_FinalEnergyCons!$B$4:$B$10000="Var_cap")*1,  (ISNUMBER(SEARCH("ITOT-SWHHFOBR",[1]OUT_FinalEnergyCons!$A$4:$A$10000)))*1,[1]OUT_FinalEnergyCons!N$4:N$10000)&lt;0,0,SUMPRODUCT(([1]OUT_FinalEnergyCons!$B$4:$B$10000="Var_cap")*1,  (ISNUMBER(SEARCH("ITOT-SWHHFOBR",[1]OUT_FinalEnergyCons!$A$4:$A$10000)))*1,[1]OUT_FinalEnergyCons!N$4:N$10000))</f>
        <v>0</v>
      </c>
      <c r="Q1868" s="1" cm="1">
        <f t="array" ref="Q1868">IF(SUMPRODUCT(([1]OUT_FinalEnergyCons!$B$4:$B$10000="Var_cap")*1,  (ISNUMBER(SEARCH("ITOT-SWHHFOBR",[1]OUT_FinalEnergyCons!$A$4:$A$10000)))*1,[1]OUT_FinalEnergyCons!O$4:O$10000)&lt;0,0,SUMPRODUCT(([1]OUT_FinalEnergyCons!$B$4:$B$10000="Var_cap")*1,  (ISNUMBER(SEARCH("ITOT-SWHHFOBR",[1]OUT_FinalEnergyCons!$A$4:$A$10000)))*1,[1]OUT_FinalEnergyCons!O$4:O$10000))</f>
        <v>0</v>
      </c>
      <c r="S1868" s="3"/>
    </row>
    <row r="1869" spans="2:19" x14ac:dyDescent="0.5">
      <c r="B1869" s="5" t="str">
        <f t="shared" si="2113"/>
        <v>SPS1</v>
      </c>
      <c r="C1869" s="5" t="str">
        <f t="shared" si="2114"/>
        <v>CH</v>
      </c>
      <c r="D1869" t="s">
        <v>2099</v>
      </c>
      <c r="E1869" t="str">
        <f t="shared" si="2015"/>
        <v>GWth/yr.</v>
      </c>
      <c r="F1869" s="18">
        <f>SUM(F1870:F1871)</f>
        <v>1.556581895256</v>
      </c>
      <c r="G1869" s="18">
        <f t="shared" ref="G1869:K1869" si="2115">SUM(G1870:G1871)</f>
        <v>1.5569740599412993</v>
      </c>
      <c r="H1869" s="18">
        <f t="shared" si="2115"/>
        <v>1.5569711001774713</v>
      </c>
      <c r="I1869" s="18">
        <f t="shared" si="2115"/>
        <v>1.5086898576964571</v>
      </c>
      <c r="J1869" s="18">
        <f t="shared" si="2115"/>
        <v>0.71194899346504348</v>
      </c>
      <c r="K1869" s="18">
        <f t="shared" si="2115"/>
        <v>0.64056657087132352</v>
      </c>
      <c r="L1869" s="18">
        <f t="shared" ref="L1869:O1869" si="2116">SUM(L1870:L1871)</f>
        <v>0.6429066445129703</v>
      </c>
      <c r="M1869" s="18">
        <f t="shared" si="2116"/>
        <v>0.21814494374319437</v>
      </c>
      <c r="N1869" s="18">
        <f t="shared" si="2116"/>
        <v>3.5544372083627707E-2</v>
      </c>
      <c r="O1869" s="18">
        <f t="shared" si="2116"/>
        <v>4.7573803818934793E-2</v>
      </c>
      <c r="P1869" s="18">
        <f>SUM(P1870:P1871)</f>
        <v>4.7304381352980603E-2</v>
      </c>
      <c r="Q1869" s="18">
        <f>SUM(Q1870:Q1871)</f>
        <v>4.7450937014178053E-2</v>
      </c>
      <c r="S1869" s="3"/>
    </row>
    <row r="1870" spans="2:19" x14ac:dyDescent="0.5">
      <c r="B1870" s="5" t="str">
        <f t="shared" si="2113"/>
        <v>SPS1</v>
      </c>
      <c r="C1870" s="5" t="str">
        <f t="shared" si="2114"/>
        <v>CH</v>
      </c>
      <c r="D1870" t="s">
        <v>2100</v>
      </c>
      <c r="E1870" t="str">
        <f t="shared" si="2015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1.5565805605794487</v>
      </c>
      <c r="H1870" s="1" cm="1">
        <f t="array" ref="H1870">SUMPRODUCT(([1]OUT_FinalEnergyCons!$B$4:$B$10000="Var_cap")*1,  (ISNUMBER(SEARCH("ITOT-SWHNGA*BR",[1]OUT_FinalEnergyCons!$A$4:$A$10000)))*1,[1]OUT_FinalEnergyCons!F$4:F$10000)</f>
        <v>1.5565745704290312</v>
      </c>
      <c r="I1870" s="1" cm="1">
        <f t="array" ref="I1870">SUMPRODUCT(([1]OUT_FinalEnergyCons!$B$4:$B$10000="Var_cap")*1,  (ISNUMBER(SEARCH("ITOT-SWHNGA*BR",[1]OUT_FinalEnergyCons!$A$4:$A$10000)))*1,[1]OUT_FinalEnergyCons!G$4:G$10000)</f>
        <v>1.5084018805305373</v>
      </c>
      <c r="J1870" s="1" cm="1">
        <f t="array" ref="J1870">SUMPRODUCT(([1]OUT_FinalEnergyCons!$B$4:$B$10000="Var_cap")*1,  (ISNUMBER(SEARCH("ITOT-SWHNGA*BR",[1]OUT_FinalEnergyCons!$A$4:$A$10000)))*1,[1]OUT_FinalEnergyCons!H$4:H$10000)</f>
        <v>0.71166485036720961</v>
      </c>
      <c r="K1870" s="1" cm="1">
        <f t="array" ref="K1870">SUMPRODUCT(([1]OUT_FinalEnergyCons!$B$4:$B$10000="Var_cap")*1,  (ISNUMBER(SEARCH("ITOT-SWHNGA*BR",[1]OUT_FinalEnergyCons!$A$4:$A$10000)))*1,[1]OUT_FinalEnergyCons!I$4:I$10000)</f>
        <v>0.53380938450661064</v>
      </c>
      <c r="L1870" s="1" cm="1">
        <f t="array" ref="L1870">SUMPRODUCT(([1]OUT_FinalEnergyCons!$B$4:$B$10000="Var_cap")*1,  (ISNUMBER(SEARCH("ITOT-SWHNGA*BR",[1]OUT_FinalEnergyCons!$A$4:$A$10000)))*1,[1]OUT_FinalEnergyCons!J$4:J$10000)</f>
        <v>0.53377146875451942</v>
      </c>
      <c r="M1870" s="1" cm="1">
        <f t="array" ref="M1870">SUMPRODUCT(([1]OUT_FinalEnergyCons!$B$4:$B$10000="Var_cap")*1,  (ISNUMBER(SEARCH("ITOT-SWHNGA*BR",[1]OUT_FinalEnergyCons!$A$4:$A$10000)))*1,[1]OUT_FinalEnergyCons!K$4:K$10000)</f>
        <v>0.2132924605418034</v>
      </c>
      <c r="N1870" s="1" cm="1">
        <f t="array" ref="N1870">SUMPRODUCT(([1]OUT_FinalEnergyCons!$B$4:$B$10000="Var_cap")*1,  (ISNUMBER(SEARCH("ITOT-SWHNGA*BR",[1]OUT_FinalEnergyCons!$A$4:$A$10000)))*1,[1]OUT_FinalEnergyCons!L$4:L$10000)</f>
        <v>3.2991055077303003E-2</v>
      </c>
      <c r="O1870" s="1" cm="1">
        <f t="array" ref="O1870">SUMPRODUCT(([1]OUT_FinalEnergyCons!$B$4:$B$10000="Var_cap")*1,  (ISNUMBER(SEARCH("ITOT-SWHNGA*BR",[1]OUT_FinalEnergyCons!$A$4:$A$10000)))*1,[1]OUT_FinalEnergyCons!M$4:M$10000)</f>
        <v>4.4929715811749531E-2</v>
      </c>
      <c r="P1870" s="1" cm="1">
        <f t="array" ref="P1870">SUMPRODUCT(([1]OUT_FinalEnergyCons!$B$4:$B$10000="Var_cap")*1,  (ISNUMBER(SEARCH("ITOT-SWHNGA*BR",[1]OUT_FinalEnergyCons!$A$4:$A$10000)))*1,[1]OUT_FinalEnergyCons!N$4:N$10000)</f>
        <v>4.4661590347670942E-2</v>
      </c>
      <c r="Q1870" s="1" cm="1">
        <f t="array" ref="Q1870">SUMPRODUCT(([1]OUT_FinalEnergyCons!$B$4:$B$10000="Var_cap")*1,  (ISNUMBER(SEARCH("ITOT-SWHNGA*BR",[1]OUT_FinalEnergyCons!$A$4:$A$10000)))*1,[1]OUT_FinalEnergyCons!O$4:O$10000)</f>
        <v>4.4486532393539197E-2</v>
      </c>
      <c r="S1870" s="3"/>
    </row>
    <row r="1871" spans="2:19" x14ac:dyDescent="0.5">
      <c r="B1871" s="5" t="str">
        <f t="shared" si="2113"/>
        <v>SPS1</v>
      </c>
      <c r="C1871" s="5" t="str">
        <f t="shared" si="2114"/>
        <v>CH</v>
      </c>
      <c r="D1871" t="s">
        <v>2101</v>
      </c>
      <c r="E1871" t="str">
        <f t="shared" si="2015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3.9349936185063898E-4</v>
      </c>
      <c r="H1871" s="1" cm="1">
        <f t="array" ref="H1871">SUMPRODUCT(([1]OUT_FinalEnergyCons!$B$4:$B$10000="Var_cap")*1,  (ISNUMBER(SEARCH("ITOT-SWHNGAHP",[1]OUT_FinalEnergyCons!$A$4:$A$10000)))*1,[1]OUT_FinalEnergyCons!F$4:F$10000)</f>
        <v>3.9652974844002622E-4</v>
      </c>
      <c r="I1871" s="1" cm="1">
        <f t="array" ref="I1871">SUMPRODUCT(([1]OUT_FinalEnergyCons!$B$4:$B$10000="Var_cap")*1,  (ISNUMBER(SEARCH("ITOT-SWHNGAHP",[1]OUT_FinalEnergyCons!$A$4:$A$10000)))*1,[1]OUT_FinalEnergyCons!G$4:G$10000)</f>
        <v>2.8797716591995098E-4</v>
      </c>
      <c r="J1871" s="1" cm="1">
        <f t="array" ref="J1871">SUMPRODUCT(([1]OUT_FinalEnergyCons!$B$4:$B$10000="Var_cap")*1,  (ISNUMBER(SEARCH("ITOT-SWHNGAHP",[1]OUT_FinalEnergyCons!$A$4:$A$10000)))*1,[1]OUT_FinalEnergyCons!H$4:H$10000)</f>
        <v>2.8414309783392032E-4</v>
      </c>
      <c r="K1871" s="1" cm="1">
        <f t="array" ref="K1871">SUMPRODUCT(([1]OUT_FinalEnergyCons!$B$4:$B$10000="Var_cap")*1,  (ISNUMBER(SEARCH("ITOT-SWHNGAHP",[1]OUT_FinalEnergyCons!$A$4:$A$10000)))*1,[1]OUT_FinalEnergyCons!I$4:I$10000)</f>
        <v>0.10675718636471292</v>
      </c>
      <c r="L1871" s="1" cm="1">
        <f t="array" ref="L1871">SUMPRODUCT(([1]OUT_FinalEnergyCons!$B$4:$B$10000="Var_cap")*1,  (ISNUMBER(SEARCH("ITOT-SWHNGAHP",[1]OUT_FinalEnergyCons!$A$4:$A$10000)))*1,[1]OUT_FinalEnergyCons!J$4:J$10000)</f>
        <v>0.10913517575845094</v>
      </c>
      <c r="M1871" s="1" cm="1">
        <f t="array" ref="M1871">SUMPRODUCT(([1]OUT_FinalEnergyCons!$B$4:$B$10000="Var_cap")*1,  (ISNUMBER(SEARCH("ITOT-SWHNGAHP",[1]OUT_FinalEnergyCons!$A$4:$A$10000)))*1,[1]OUT_FinalEnergyCons!K$4:K$10000)</f>
        <v>4.8524832013909919E-3</v>
      </c>
      <c r="N1871" s="1" cm="1">
        <f t="array" ref="N1871">SUMPRODUCT(([1]OUT_FinalEnergyCons!$B$4:$B$10000="Var_cap")*1,  (ISNUMBER(SEARCH("ITOT-SWHNGAHP",[1]OUT_FinalEnergyCons!$A$4:$A$10000)))*1,[1]OUT_FinalEnergyCons!L$4:L$10000)</f>
        <v>2.5533170063247006E-3</v>
      </c>
      <c r="O1871" s="1" cm="1">
        <f t="array" ref="O1871">SUMPRODUCT(([1]OUT_FinalEnergyCons!$B$4:$B$10000="Var_cap")*1,  (ISNUMBER(SEARCH("ITOT-SWHNGAHP",[1]OUT_FinalEnergyCons!$A$4:$A$10000)))*1,[1]OUT_FinalEnergyCons!M$4:M$10000)</f>
        <v>2.6440880071852608E-3</v>
      </c>
      <c r="P1871" s="1" cm="1">
        <f t="array" ref="P1871">SUMPRODUCT(([1]OUT_FinalEnergyCons!$B$4:$B$10000="Var_cap")*1,  (ISNUMBER(SEARCH("ITOT-SWHNGAHP",[1]OUT_FinalEnergyCons!$A$4:$A$10000)))*1,[1]OUT_FinalEnergyCons!N$4:N$10000)</f>
        <v>2.6427910053096583E-3</v>
      </c>
      <c r="Q1871" s="1" cm="1">
        <f t="array" ref="Q1871">SUMPRODUCT(([1]OUT_FinalEnergyCons!$B$4:$B$10000="Var_cap")*1,  (ISNUMBER(SEARCH("ITOT-SWHNGAHP",[1]OUT_FinalEnergyCons!$A$4:$A$10000)))*1,[1]OUT_FinalEnergyCons!O$4:O$10000)</f>
        <v>2.9644046206388584E-3</v>
      </c>
      <c r="S1871" s="3"/>
    </row>
    <row r="1872" spans="2:19" x14ac:dyDescent="0.5">
      <c r="B1872" s="5" t="str">
        <f t="shared" si="2113"/>
        <v>SPS1</v>
      </c>
      <c r="C1872" s="5" t="str">
        <f t="shared" si="2114"/>
        <v>CH</v>
      </c>
      <c r="D1872" t="s">
        <v>2102</v>
      </c>
      <c r="E1872" t="str">
        <f t="shared" si="2015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2.6536992920821702E-2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0.13651295917759732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0.25238449314826378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0.26984226669920053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0.3943910610310743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0.353753930289467</v>
      </c>
      <c r="M1872" s="1" cm="1">
        <f t="array" ref="M1872">SUMPRODUCT(([1]OUT_FinalEnergyCons!$B$4:$B$10000="Var_cap")*1,  (("ITOT-SWHBIOBR"=[1]OUT_FinalEnergyCons!$A$4:$A$10000)*1+("ITOT-SWHBNGABR"=[1]OUT_FinalEnergyCons!$A$4:$A$10000))*1,[1]OUT_FinalEnergyCons!K$4:K$10000)</f>
        <v>0.36246877778987813</v>
      </c>
      <c r="N1872" s="1" cm="1">
        <f t="array" ref="N1872">SUMPRODUCT(([1]OUT_FinalEnergyCons!$B$4:$B$10000="Var_cap")*1,  (("ITOT-SWHBIOBR"=[1]OUT_FinalEnergyCons!$A$4:$A$10000)*1+("ITOT-SWHBNGABR"=[1]OUT_FinalEnergyCons!$A$4:$A$10000))*1,[1]OUT_FinalEnergyCons!L$4:L$10000)</f>
        <v>0.31579931749523582</v>
      </c>
      <c r="O1872" s="1" cm="1">
        <f t="array" ref="O1872">SUMPRODUCT(([1]OUT_FinalEnergyCons!$B$4:$B$10000="Var_cap")*1,  (("ITOT-SWHBIOBR"=[1]OUT_FinalEnergyCons!$A$4:$A$10000)*1+("ITOT-SWHBNGABR"=[1]OUT_FinalEnergyCons!$A$4:$A$10000))*1,[1]OUT_FinalEnergyCons!M$4:M$10000)</f>
        <v>0.29752544855340662</v>
      </c>
      <c r="P1872" s="1" cm="1">
        <f t="array" ref="P1872">SUMPRODUCT(([1]OUT_FinalEnergyCons!$B$4:$B$10000="Var_cap")*1,  (("ITOT-SWHBIOBR"=[1]OUT_FinalEnergyCons!$A$4:$A$10000)*1+("ITOT-SWHBNGABR"=[1]OUT_FinalEnergyCons!$A$4:$A$10000))*1,[1]OUT_FinalEnergyCons!N$4:N$10000)</f>
        <v>0.3024184768241221</v>
      </c>
      <c r="Q1872" s="1" cm="1">
        <f t="array" ref="Q1872">SUMPRODUCT(([1]OUT_FinalEnergyCons!$B$4:$B$10000="Var_cap")*1,  (("ITOT-SWHBIOBR"=[1]OUT_FinalEnergyCons!$A$4:$A$10000)*1+("ITOT-SWHBNGABR"=[1]OUT_FinalEnergyCons!$A$4:$A$10000))*1,[1]OUT_FinalEnergyCons!O$4:O$10000)</f>
        <v>0.30266969560366513</v>
      </c>
      <c r="S1872" s="3"/>
    </row>
    <row r="1873" spans="2:19" x14ac:dyDescent="0.5">
      <c r="B1873" s="5" t="str">
        <f t="shared" si="2113"/>
        <v>SPS1</v>
      </c>
      <c r="C1873" s="5" t="str">
        <f t="shared" si="2114"/>
        <v>CH</v>
      </c>
      <c r="D1873" t="s">
        <v>2103</v>
      </c>
      <c r="E1873" t="str">
        <f t="shared" si="2015"/>
        <v>GWth/yr.</v>
      </c>
      <c r="F1873" s="1">
        <f>F1874</f>
        <v>0.26172155007150499</v>
      </c>
      <c r="G1873" s="1">
        <f t="shared" ref="G1873:O1873" si="2117">G1874</f>
        <v>0.14331935166633</v>
      </c>
      <c r="H1873" s="1">
        <f t="shared" si="2117"/>
        <v>3.6124437757901473E-2</v>
      </c>
      <c r="I1873" s="1">
        <f t="shared" si="2117"/>
        <v>1.6996328363827473E-5</v>
      </c>
      <c r="J1873" s="1">
        <f t="shared" si="2117"/>
        <v>1.0370508939566703E-5</v>
      </c>
      <c r="K1873" s="1">
        <f t="shared" si="2117"/>
        <v>6.4385869573132645E-5</v>
      </c>
      <c r="L1873" s="1">
        <f t="shared" si="2117"/>
        <v>4.0326793359779605E-5</v>
      </c>
      <c r="M1873" s="1">
        <f t="shared" si="2117"/>
        <v>2.4215138928426195E-5</v>
      </c>
      <c r="N1873" s="1">
        <f t="shared" si="2117"/>
        <v>1.8640665538828703E-5</v>
      </c>
      <c r="O1873" s="1">
        <f t="shared" si="2117"/>
        <v>3.9930005614314873E-5</v>
      </c>
      <c r="P1873" s="1">
        <f>P1874</f>
        <v>2.1072962744488298E-5</v>
      </c>
      <c r="Q1873" s="1">
        <f>Q1874</f>
        <v>8.3006987884947014E-6</v>
      </c>
      <c r="S1873" s="3"/>
    </row>
    <row r="1874" spans="2:19" x14ac:dyDescent="0.5">
      <c r="B1874" s="5" t="str">
        <f t="shared" si="2113"/>
        <v>SPS1</v>
      </c>
      <c r="C1874" s="5" t="str">
        <f t="shared" si="2114"/>
        <v>CH</v>
      </c>
      <c r="D1874" t="s">
        <v>2104</v>
      </c>
      <c r="E1874" t="str">
        <f t="shared" si="2015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0.14331935166633</v>
      </c>
      <c r="H1874" s="1" cm="1">
        <f t="array" ref="H1874">SUMPRODUCT(([1]OUT_FinalEnergyCons!$B$4:$B$10000="Var_cap")*1,  (ISNUMBER(SEARCH("ITOT-SWHCOA*BR",[1]OUT_FinalEnergyCons!$A$4:$A$10000)))*1,[1]OUT_FinalEnergyCons!F$4:F$10000)</f>
        <v>3.6124437757901473E-2</v>
      </c>
      <c r="I1874" s="1" cm="1">
        <f t="array" ref="I1874">SUMPRODUCT(([1]OUT_FinalEnergyCons!$B$4:$B$10000="Var_cap")*1,  (ISNUMBER(SEARCH("ITOT-SWHCOA*BR",[1]OUT_FinalEnergyCons!$A$4:$A$10000)))*1,[1]OUT_FinalEnergyCons!G$4:G$10000)</f>
        <v>1.6996328363827473E-5</v>
      </c>
      <c r="J1874" s="1" cm="1">
        <f t="array" ref="J1874">SUMPRODUCT(([1]OUT_FinalEnergyCons!$B$4:$B$10000="Var_cap")*1,  (ISNUMBER(SEARCH("ITOT-SWHCOA*BR",[1]OUT_FinalEnergyCons!$A$4:$A$10000)))*1,[1]OUT_FinalEnergyCons!H$4:H$10000)</f>
        <v>1.0370508939566703E-5</v>
      </c>
      <c r="K1874" s="1" cm="1">
        <f t="array" ref="K1874">SUMPRODUCT(([1]OUT_FinalEnergyCons!$B$4:$B$10000="Var_cap")*1,  (ISNUMBER(SEARCH("ITOT-SWHCOA*BR",[1]OUT_FinalEnergyCons!$A$4:$A$10000)))*1,[1]OUT_FinalEnergyCons!I$4:I$10000)</f>
        <v>6.4385869573132645E-5</v>
      </c>
      <c r="L1874" s="1" cm="1">
        <f t="array" ref="L1874">SUMPRODUCT(([1]OUT_FinalEnergyCons!$B$4:$B$10000="Var_cap")*1,  (ISNUMBER(SEARCH("ITOT-SWHCOA*BR",[1]OUT_FinalEnergyCons!$A$4:$A$10000)))*1,[1]OUT_FinalEnergyCons!J$4:J$10000)</f>
        <v>4.0326793359779605E-5</v>
      </c>
      <c r="M1874" s="1" cm="1">
        <f t="array" ref="M1874">SUMPRODUCT(([1]OUT_FinalEnergyCons!$B$4:$B$10000="Var_cap")*1,  (ISNUMBER(SEARCH("ITOT-SWHCOA*BR",[1]OUT_FinalEnergyCons!$A$4:$A$10000)))*1,[1]OUT_FinalEnergyCons!K$4:K$10000)</f>
        <v>2.4215138928426195E-5</v>
      </c>
      <c r="N1874" s="1" cm="1">
        <f t="array" ref="N1874">SUMPRODUCT(([1]OUT_FinalEnergyCons!$B$4:$B$10000="Var_cap")*1,  (ISNUMBER(SEARCH("ITOT-SWHCOA*BR",[1]OUT_FinalEnergyCons!$A$4:$A$10000)))*1,[1]OUT_FinalEnergyCons!L$4:L$10000)</f>
        <v>1.8640665538828703E-5</v>
      </c>
      <c r="O1874" s="1" cm="1">
        <f t="array" ref="O1874">SUMPRODUCT(([1]OUT_FinalEnergyCons!$B$4:$B$10000="Var_cap")*1,  (ISNUMBER(SEARCH("ITOT-SWHCOA*BR",[1]OUT_FinalEnergyCons!$A$4:$A$10000)))*1,[1]OUT_FinalEnergyCons!M$4:M$10000)</f>
        <v>3.9930005614314873E-5</v>
      </c>
      <c r="P1874" s="1" cm="1">
        <f t="array" ref="P1874">SUMPRODUCT(([1]OUT_FinalEnergyCons!$B$4:$B$10000="Var_cap")*1,  (ISNUMBER(SEARCH("ITOT-SWHCOA*BR",[1]OUT_FinalEnergyCons!$A$4:$A$10000)))*1,[1]OUT_FinalEnergyCons!N$4:N$10000)</f>
        <v>2.1072962744488298E-5</v>
      </c>
      <c r="Q1874" s="1" cm="1">
        <f t="array" ref="Q1874">SUMPRODUCT(([1]OUT_FinalEnergyCons!$B$4:$B$10000="Var_cap")*1,  (ISNUMBER(SEARCH("ITOT-SWHCOA*BR",[1]OUT_FinalEnergyCons!$A$4:$A$10000)))*1,[1]OUT_FinalEnergyCons!O$4:O$10000)</f>
        <v>8.3006987884947014E-6</v>
      </c>
      <c r="S1874" s="3"/>
    </row>
    <row r="1875" spans="2:19" x14ac:dyDescent="0.5">
      <c r="B1875" s="5" t="str">
        <f t="shared" si="2113"/>
        <v>SPS1</v>
      </c>
      <c r="C1875" s="5" t="str">
        <f t="shared" si="2114"/>
        <v>CH</v>
      </c>
      <c r="D1875" t="s">
        <v>2105</v>
      </c>
      <c r="E1875" t="str">
        <f t="shared" si="2015"/>
        <v>GWth/yr.</v>
      </c>
      <c r="F1875" s="1">
        <f>F1876</f>
        <v>0.28883369534761499</v>
      </c>
      <c r="G1875" s="1">
        <f t="shared" ref="G1875:O1875" si="2118">G1876</f>
        <v>0.34125046646988211</v>
      </c>
      <c r="H1875" s="1">
        <f t="shared" si="2118"/>
        <v>0.34126464107430349</v>
      </c>
      <c r="I1875" s="1">
        <f t="shared" si="2118"/>
        <v>0.3709608469463857</v>
      </c>
      <c r="J1875" s="1">
        <f t="shared" si="2118"/>
        <v>0.42106840294722364</v>
      </c>
      <c r="K1875" s="1">
        <f t="shared" si="2118"/>
        <v>0.35871041558075833</v>
      </c>
      <c r="L1875" s="1">
        <f t="shared" si="2118"/>
        <v>0.36204526649795687</v>
      </c>
      <c r="M1875" s="1">
        <f t="shared" si="2118"/>
        <v>0.36261565447874355</v>
      </c>
      <c r="N1875" s="1">
        <f t="shared" si="2118"/>
        <v>0.36582496874123721</v>
      </c>
      <c r="O1875" s="1">
        <f t="shared" si="2118"/>
        <v>0.40462655961827337</v>
      </c>
      <c r="P1875" s="1">
        <f>P1876</f>
        <v>0.37452174177358338</v>
      </c>
      <c r="Q1875" s="1">
        <f>Q1876</f>
        <v>0.37368793923674187</v>
      </c>
      <c r="S1875" s="3"/>
    </row>
    <row r="1876" spans="2:19" x14ac:dyDescent="0.5">
      <c r="B1876" s="5" t="str">
        <f t="shared" si="2113"/>
        <v>SPS1</v>
      </c>
      <c r="C1876" s="5" t="str">
        <f t="shared" si="2114"/>
        <v>CH</v>
      </c>
      <c r="D1876" t="s">
        <v>2106</v>
      </c>
      <c r="E1876" t="str">
        <f t="shared" si="2015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0.34125046646988211</v>
      </c>
      <c r="H1876" s="1" cm="1">
        <f t="array" ref="H1876">SUMPRODUCT(([1]OUT_FinalEnergyCons!$B$4:$B$10000="Var_cap")*1,  (ISNUMBER(SEARCH("ITOT-SWHWOD*BR",[1]OUT_FinalEnergyCons!$A$4:$A$10000)))*1,[1]OUT_FinalEnergyCons!F$4:F$10000)</f>
        <v>0.34126464107430349</v>
      </c>
      <c r="I1876" s="1" cm="1">
        <f t="array" ref="I1876">SUMPRODUCT(([1]OUT_FinalEnergyCons!$B$4:$B$10000="Var_cap")*1,  (ISNUMBER(SEARCH("ITOT-SWHWOD*BR",[1]OUT_FinalEnergyCons!$A$4:$A$10000)))*1,[1]OUT_FinalEnergyCons!G$4:G$10000)</f>
        <v>0.3709608469463857</v>
      </c>
      <c r="J1876" s="1" cm="1">
        <f t="array" ref="J1876">SUMPRODUCT(([1]OUT_FinalEnergyCons!$B$4:$B$10000="Var_cap")*1,  (ISNUMBER(SEARCH("ITOT-SWHWOD*BR",[1]OUT_FinalEnergyCons!$A$4:$A$10000)))*1,[1]OUT_FinalEnergyCons!H$4:H$10000)</f>
        <v>0.42106840294722364</v>
      </c>
      <c r="K1876" s="1" cm="1">
        <f t="array" ref="K1876">SUMPRODUCT(([1]OUT_FinalEnergyCons!$B$4:$B$10000="Var_cap")*1,  (ISNUMBER(SEARCH("ITOT-SWHWOD*BR",[1]OUT_FinalEnergyCons!$A$4:$A$10000)))*1,[1]OUT_FinalEnergyCons!I$4:I$10000)</f>
        <v>0.35871041558075833</v>
      </c>
      <c r="L1876" s="1" cm="1">
        <f t="array" ref="L1876">SUMPRODUCT(([1]OUT_FinalEnergyCons!$B$4:$B$10000="Var_cap")*1,  (ISNUMBER(SEARCH("ITOT-SWHWOD*BR",[1]OUT_FinalEnergyCons!$A$4:$A$10000)))*1,[1]OUT_FinalEnergyCons!J$4:J$10000)</f>
        <v>0.36204526649795687</v>
      </c>
      <c r="M1876" s="1" cm="1">
        <f t="array" ref="M1876">SUMPRODUCT(([1]OUT_FinalEnergyCons!$B$4:$B$10000="Var_cap")*1,  (ISNUMBER(SEARCH("ITOT-SWHWOD*BR",[1]OUT_FinalEnergyCons!$A$4:$A$10000)))*1,[1]OUT_FinalEnergyCons!K$4:K$10000)</f>
        <v>0.36261565447874355</v>
      </c>
      <c r="N1876" s="1" cm="1">
        <f t="array" ref="N1876">SUMPRODUCT(([1]OUT_FinalEnergyCons!$B$4:$B$10000="Var_cap")*1,  (ISNUMBER(SEARCH("ITOT-SWHWOD*BR",[1]OUT_FinalEnergyCons!$A$4:$A$10000)))*1,[1]OUT_FinalEnergyCons!L$4:L$10000)</f>
        <v>0.36582496874123721</v>
      </c>
      <c r="O1876" s="1" cm="1">
        <f t="array" ref="O1876">SUMPRODUCT(([1]OUT_FinalEnergyCons!$B$4:$B$10000="Var_cap")*1,  (ISNUMBER(SEARCH("ITOT-SWHWOD*BR",[1]OUT_FinalEnergyCons!$A$4:$A$10000)))*1,[1]OUT_FinalEnergyCons!M$4:M$10000)</f>
        <v>0.40462655961827337</v>
      </c>
      <c r="P1876" s="1" cm="1">
        <f t="array" ref="P1876">SUMPRODUCT(([1]OUT_FinalEnergyCons!$B$4:$B$10000="Var_cap")*1,  (ISNUMBER(SEARCH("ITOT-SWHWOD*BR",[1]OUT_FinalEnergyCons!$A$4:$A$10000)))*1,[1]OUT_FinalEnergyCons!N$4:N$10000)</f>
        <v>0.37452174177358338</v>
      </c>
      <c r="Q1876" s="1" cm="1">
        <f t="array" ref="Q1876">SUMPRODUCT(([1]OUT_FinalEnergyCons!$B$4:$B$10000="Var_cap")*1,  (ISNUMBER(SEARCH("ITOT-SWHWOD*BR",[1]OUT_FinalEnergyCons!$A$4:$A$10000)))*1,[1]OUT_FinalEnergyCons!O$4:O$10000)</f>
        <v>0.37368793923674187</v>
      </c>
      <c r="S1876" s="3"/>
    </row>
    <row r="1877" spans="2:19" x14ac:dyDescent="0.5">
      <c r="B1877" s="5" t="str">
        <f t="shared" si="2113"/>
        <v>SPS1</v>
      </c>
      <c r="C1877" s="5" t="str">
        <f t="shared" si="2114"/>
        <v>CH</v>
      </c>
      <c r="D1877" t="s">
        <v>2107</v>
      </c>
      <c r="E1877" t="str">
        <f t="shared" si="2015"/>
        <v>GWth/yr.</v>
      </c>
      <c r="F1877" s="1">
        <f>F1878</f>
        <v>2.9860759506449799E-2</v>
      </c>
      <c r="G1877" s="1">
        <f t="shared" ref="G1877:O1877" si="2119">G1878</f>
        <v>3.7930427075675864E-2</v>
      </c>
      <c r="H1877" s="1">
        <f t="shared" si="2119"/>
        <v>3.7946511619316177E-2</v>
      </c>
      <c r="I1877" s="1">
        <f t="shared" si="2119"/>
        <v>4.1634652768170563E-2</v>
      </c>
      <c r="J1877" s="1">
        <f t="shared" si="2119"/>
        <v>4.1730611204569203E-2</v>
      </c>
      <c r="K1877" s="1">
        <f t="shared" si="2119"/>
        <v>3.8069141805760966E-2</v>
      </c>
      <c r="L1877" s="1">
        <f t="shared" si="2119"/>
        <v>4.4142627611518166E-2</v>
      </c>
      <c r="M1877" s="1">
        <f t="shared" si="2119"/>
        <v>4.0052335876316847E-2</v>
      </c>
      <c r="N1877" s="1">
        <f t="shared" si="2119"/>
        <v>4.3527798438252503E-2</v>
      </c>
      <c r="O1877" s="1">
        <f t="shared" si="2119"/>
        <v>4.0898856045805503E-2</v>
      </c>
      <c r="P1877" s="1">
        <f>P1878</f>
        <v>4.3390283586549588E-2</v>
      </c>
      <c r="Q1877" s="1">
        <f>Q1878</f>
        <v>3.3587492938584658E-2</v>
      </c>
      <c r="S1877" s="3"/>
    </row>
    <row r="1878" spans="2:19" x14ac:dyDescent="0.5">
      <c r="B1878" s="5" t="str">
        <f t="shared" si="2113"/>
        <v>SPS1</v>
      </c>
      <c r="C1878" s="5" t="str">
        <f t="shared" si="2114"/>
        <v>CH</v>
      </c>
      <c r="D1878" t="s">
        <v>2108</v>
      </c>
      <c r="E1878" t="str">
        <f t="shared" si="2015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3.7930427075675864E-2</v>
      </c>
      <c r="H1878" s="1" cm="1">
        <f t="array" ref="H1878">SUMPRODUCT(([1]OUT_FinalEnergyCons!$B$4:$B$10000="Var_cap")*1,  (ISNUMBER(SEARCH("ITOT-SWHPLT*BR",[1]OUT_FinalEnergyCons!$A$4:$A$10000)))*1,[1]OUT_FinalEnergyCons!F$4:F$10000)</f>
        <v>3.7946511619316177E-2</v>
      </c>
      <c r="I1878" s="1" cm="1">
        <f t="array" ref="I1878">SUMPRODUCT(([1]OUT_FinalEnergyCons!$B$4:$B$10000="Var_cap")*1,  (ISNUMBER(SEARCH("ITOT-SWHPLT*BR",[1]OUT_FinalEnergyCons!$A$4:$A$10000)))*1,[1]OUT_FinalEnergyCons!G$4:G$10000)</f>
        <v>4.1634652768170563E-2</v>
      </c>
      <c r="J1878" s="1" cm="1">
        <f t="array" ref="J1878">SUMPRODUCT(([1]OUT_FinalEnergyCons!$B$4:$B$10000="Var_cap")*1,  (ISNUMBER(SEARCH("ITOT-SWHPLT*BR",[1]OUT_FinalEnergyCons!$A$4:$A$10000)))*1,[1]OUT_FinalEnergyCons!H$4:H$10000)</f>
        <v>4.1730611204569203E-2</v>
      </c>
      <c r="K1878" s="1" cm="1">
        <f t="array" ref="K1878">SUMPRODUCT(([1]OUT_FinalEnergyCons!$B$4:$B$10000="Var_cap")*1,  (ISNUMBER(SEARCH("ITOT-SWHPLT*BR",[1]OUT_FinalEnergyCons!$A$4:$A$10000)))*1,[1]OUT_FinalEnergyCons!I$4:I$10000)</f>
        <v>3.8069141805760966E-2</v>
      </c>
      <c r="L1878" s="1" cm="1">
        <f t="array" ref="L1878">SUMPRODUCT(([1]OUT_FinalEnergyCons!$B$4:$B$10000="Var_cap")*1,  (ISNUMBER(SEARCH("ITOT-SWHPLT*BR",[1]OUT_FinalEnergyCons!$A$4:$A$10000)))*1,[1]OUT_FinalEnergyCons!J$4:J$10000)</f>
        <v>4.4142627611518166E-2</v>
      </c>
      <c r="M1878" s="1" cm="1">
        <f t="array" ref="M1878">SUMPRODUCT(([1]OUT_FinalEnergyCons!$B$4:$B$10000="Var_cap")*1,  (ISNUMBER(SEARCH("ITOT-SWHPLT*BR",[1]OUT_FinalEnergyCons!$A$4:$A$10000)))*1,[1]OUT_FinalEnergyCons!K$4:K$10000)</f>
        <v>4.0052335876316847E-2</v>
      </c>
      <c r="N1878" s="1" cm="1">
        <f t="array" ref="N1878">SUMPRODUCT(([1]OUT_FinalEnergyCons!$B$4:$B$10000="Var_cap")*1,  (ISNUMBER(SEARCH("ITOT-SWHPLT*BR",[1]OUT_FinalEnergyCons!$A$4:$A$10000)))*1,[1]OUT_FinalEnergyCons!L$4:L$10000)</f>
        <v>4.3527798438252503E-2</v>
      </c>
      <c r="O1878" s="1" cm="1">
        <f t="array" ref="O1878">SUMPRODUCT(([1]OUT_FinalEnergyCons!$B$4:$B$10000="Var_cap")*1,  (ISNUMBER(SEARCH("ITOT-SWHPLT*BR",[1]OUT_FinalEnergyCons!$A$4:$A$10000)))*1,[1]OUT_FinalEnergyCons!M$4:M$10000)</f>
        <v>4.0898856045805503E-2</v>
      </c>
      <c r="P1878" s="1" cm="1">
        <f t="array" ref="P1878">SUMPRODUCT(([1]OUT_FinalEnergyCons!$B$4:$B$10000="Var_cap")*1,  (ISNUMBER(SEARCH("ITOT-SWHPLT*BR",[1]OUT_FinalEnergyCons!$A$4:$A$10000)))*1,[1]OUT_FinalEnergyCons!N$4:N$10000)</f>
        <v>4.3390283586549588E-2</v>
      </c>
      <c r="Q1878" s="1" cm="1">
        <f t="array" ref="Q1878">SUMPRODUCT(([1]OUT_FinalEnergyCons!$B$4:$B$10000="Var_cap")*1,  (ISNUMBER(SEARCH("ITOT-SWHPLT*BR",[1]OUT_FinalEnergyCons!$A$4:$A$10000)))*1,[1]OUT_FinalEnergyCons!O$4:O$10000)</f>
        <v>3.3587492938584658E-2</v>
      </c>
      <c r="S1878" s="3"/>
    </row>
    <row r="1879" spans="2:19" x14ac:dyDescent="0.5">
      <c r="B1879" s="5" t="str">
        <f t="shared" si="2113"/>
        <v>SPS1</v>
      </c>
      <c r="C1879" s="5" t="str">
        <f t="shared" si="2114"/>
        <v>CH</v>
      </c>
      <c r="D1879" t="s">
        <v>2109</v>
      </c>
      <c r="E1879" t="str">
        <f t="shared" si="2015"/>
        <v>GWth/yr.</v>
      </c>
      <c r="F1879" s="1">
        <f>F1880</f>
        <v>0.35954682816669398</v>
      </c>
      <c r="G1879" s="1">
        <f t="shared" ref="G1879:O1879" si="2120">G1880</f>
        <v>0.29396748447226184</v>
      </c>
      <c r="H1879" s="1">
        <f t="shared" si="2120"/>
        <v>0.28968661447921396</v>
      </c>
      <c r="I1879" s="1">
        <f t="shared" si="2120"/>
        <v>0.2700921257168844</v>
      </c>
      <c r="J1879" s="1">
        <f t="shared" si="2120"/>
        <v>0.2194489166778153</v>
      </c>
      <c r="K1879" s="1">
        <f t="shared" si="2120"/>
        <v>0.16657723406008249</v>
      </c>
      <c r="L1879" s="1">
        <f t="shared" si="2120"/>
        <v>3.0389595139798664E-4</v>
      </c>
      <c r="M1879" s="1">
        <f t="shared" si="2120"/>
        <v>2.6080115474301502E-5</v>
      </c>
      <c r="N1879" s="1">
        <f t="shared" si="2120"/>
        <v>4.0018142386750132E-5</v>
      </c>
      <c r="O1879" s="1">
        <f t="shared" si="2120"/>
        <v>1.034045269536667E-4</v>
      </c>
      <c r="P1879" s="1">
        <f>P1880</f>
        <v>3.8160352754893601E-5</v>
      </c>
      <c r="Q1879" s="1">
        <f>Q1880</f>
        <v>7.5813944141070948E-6</v>
      </c>
      <c r="S1879" s="3"/>
    </row>
    <row r="1880" spans="2:19" x14ac:dyDescent="0.5">
      <c r="B1880" s="5" t="str">
        <f t="shared" si="2113"/>
        <v>SPS1</v>
      </c>
      <c r="C1880" s="5" t="str">
        <f t="shared" si="2114"/>
        <v>CH</v>
      </c>
      <c r="D1880" t="s">
        <v>2110</v>
      </c>
      <c r="E1880" t="str">
        <f t="shared" si="2015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0.29396748447226184</v>
      </c>
      <c r="H1880" s="1" cm="1">
        <f t="array" ref="H1880">SUMPRODUCT(([1]OUT_FinalEnergyCons!$B$4:$B$10000="Var_cap")*1,  (ISNUMBER(SEARCH("ITOT-SWHWST*BR",[1]OUT_FinalEnergyCons!$A$4:$A$10000)))*1,[1]OUT_FinalEnergyCons!F$4:F$10000)</f>
        <v>0.28968661447921396</v>
      </c>
      <c r="I1880" s="1" cm="1">
        <f t="array" ref="I1880">SUMPRODUCT(([1]OUT_FinalEnergyCons!$B$4:$B$10000="Var_cap")*1,  (ISNUMBER(SEARCH("ITOT-SWHWST*BR",[1]OUT_FinalEnergyCons!$A$4:$A$10000)))*1,[1]OUT_FinalEnergyCons!G$4:G$10000)</f>
        <v>0.2700921257168844</v>
      </c>
      <c r="J1880" s="1" cm="1">
        <f t="array" ref="J1880">SUMPRODUCT(([1]OUT_FinalEnergyCons!$B$4:$B$10000="Var_cap")*1,  (ISNUMBER(SEARCH("ITOT-SWHWST*BR",[1]OUT_FinalEnergyCons!$A$4:$A$10000)))*1,[1]OUT_FinalEnergyCons!H$4:H$10000)</f>
        <v>0.2194489166778153</v>
      </c>
      <c r="K1880" s="1" cm="1">
        <f t="array" ref="K1880">SUMPRODUCT(([1]OUT_FinalEnergyCons!$B$4:$B$10000="Var_cap")*1,  (ISNUMBER(SEARCH("ITOT-SWHWST*BR",[1]OUT_FinalEnergyCons!$A$4:$A$10000)))*1,[1]OUT_FinalEnergyCons!I$4:I$10000)</f>
        <v>0.16657723406008249</v>
      </c>
      <c r="L1880" s="1" cm="1">
        <f t="array" ref="L1880">SUMPRODUCT(([1]OUT_FinalEnergyCons!$B$4:$B$10000="Var_cap")*1,  (ISNUMBER(SEARCH("ITOT-SWHWST*BR",[1]OUT_FinalEnergyCons!$A$4:$A$10000)))*1,[1]OUT_FinalEnergyCons!J$4:J$10000)</f>
        <v>3.0389595139798664E-4</v>
      </c>
      <c r="M1880" s="1" cm="1">
        <f t="array" ref="M1880">SUMPRODUCT(([1]OUT_FinalEnergyCons!$B$4:$B$10000="Var_cap")*1,  (ISNUMBER(SEARCH("ITOT-SWHWST*BR",[1]OUT_FinalEnergyCons!$A$4:$A$10000)))*1,[1]OUT_FinalEnergyCons!K$4:K$10000)</f>
        <v>2.6080115474301502E-5</v>
      </c>
      <c r="N1880" s="1" cm="1">
        <f t="array" ref="N1880">SUMPRODUCT(([1]OUT_FinalEnergyCons!$B$4:$B$10000="Var_cap")*1,  (ISNUMBER(SEARCH("ITOT-SWHWST*BR",[1]OUT_FinalEnergyCons!$A$4:$A$10000)))*1,[1]OUT_FinalEnergyCons!L$4:L$10000)</f>
        <v>4.0018142386750132E-5</v>
      </c>
      <c r="O1880" s="1" cm="1">
        <f t="array" ref="O1880">SUMPRODUCT(([1]OUT_FinalEnergyCons!$B$4:$B$10000="Var_cap")*1,  (ISNUMBER(SEARCH("ITOT-SWHWST*BR",[1]OUT_FinalEnergyCons!$A$4:$A$10000)))*1,[1]OUT_FinalEnergyCons!M$4:M$10000)</f>
        <v>1.034045269536667E-4</v>
      </c>
      <c r="P1880" s="1" cm="1">
        <f t="array" ref="P1880">SUMPRODUCT(([1]OUT_FinalEnergyCons!$B$4:$B$10000="Var_cap")*1,  (ISNUMBER(SEARCH("ITOT-SWHWST*BR",[1]OUT_FinalEnergyCons!$A$4:$A$10000)))*1,[1]OUT_FinalEnergyCons!N$4:N$10000)</f>
        <v>3.8160352754893601E-5</v>
      </c>
      <c r="Q1880" s="1" cm="1">
        <f t="array" ref="Q1880">SUMPRODUCT(([1]OUT_FinalEnergyCons!$B$4:$B$10000="Var_cap")*1,  (ISNUMBER(SEARCH("ITOT-SWHWST*BR",[1]OUT_FinalEnergyCons!$A$4:$A$10000)))*1,[1]OUT_FinalEnergyCons!O$4:O$10000)</f>
        <v>7.5813944141070948E-6</v>
      </c>
      <c r="S1880" s="3"/>
    </row>
    <row r="1881" spans="2:19" x14ac:dyDescent="0.5">
      <c r="B1881" s="5" t="str">
        <f t="shared" si="2113"/>
        <v>SPS1</v>
      </c>
      <c r="C1881" s="5" t="str">
        <f t="shared" si="2114"/>
        <v>CH</v>
      </c>
      <c r="D1881" t="s">
        <v>2111</v>
      </c>
      <c r="E1881" t="str">
        <f t="shared" si="2015"/>
        <v>GWth/yr.</v>
      </c>
      <c r="F1881" s="1">
        <f>F1882</f>
        <v>9.8214799778629808E-3</v>
      </c>
      <c r="G1881" s="1">
        <f t="shared" ref="G1881:O1881" si="2121">G1882</f>
        <v>1.2471362835311712E-2</v>
      </c>
      <c r="H1881" s="1">
        <f t="shared" si="2121"/>
        <v>1.2471397258225731E-2</v>
      </c>
      <c r="I1881" s="1">
        <f t="shared" si="2121"/>
        <v>1.247149049859712E-2</v>
      </c>
      <c r="J1881" s="1">
        <f t="shared" si="2121"/>
        <v>1.2471198246699311E-2</v>
      </c>
      <c r="K1881" s="1">
        <f t="shared" si="2121"/>
        <v>1.24710288047834E-2</v>
      </c>
      <c r="L1881" s="1">
        <f t="shared" si="2121"/>
        <v>1.2471205371302301E-2</v>
      </c>
      <c r="M1881" s="1">
        <f t="shared" si="2121"/>
        <v>1.2471711344764101E-2</v>
      </c>
      <c r="N1881" s="1">
        <f t="shared" si="2121"/>
        <v>1.247158574896E-2</v>
      </c>
      <c r="O1881" s="1">
        <f t="shared" si="2121"/>
        <v>1.2474349355016E-2</v>
      </c>
      <c r="P1881" s="1">
        <f>P1882</f>
        <v>1.24741161345231E-2</v>
      </c>
      <c r="Q1881" s="1">
        <f>Q1882</f>
        <v>3.7130980753432498E-2</v>
      </c>
      <c r="S1881" s="3"/>
    </row>
    <row r="1882" spans="2:19" x14ac:dyDescent="0.5">
      <c r="B1882" s="5" t="str">
        <f t="shared" si="2113"/>
        <v>SPS1</v>
      </c>
      <c r="C1882" s="5" t="str">
        <f t="shared" si="2114"/>
        <v>CH</v>
      </c>
      <c r="D1882" t="s">
        <v>2112</v>
      </c>
      <c r="E1882" t="str">
        <f t="shared" si="2015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1.2471362835311712E-2</v>
      </c>
      <c r="H1882" s="1" cm="1">
        <f t="array" ref="H1882">SUMPRODUCT(([1]OUT_FinalEnergyCons!$B$4:$B$10000="Var_cap")*1, (ISNUMBER(SEARCH("ITOT-SWHSOLBR",[1]OUT_FinalEnergyCons!$A$4:$A$10000)))*1,[1]OUT_FinalEnergyCons!F$4:F$10000)</f>
        <v>1.2471397258225731E-2</v>
      </c>
      <c r="I1882" s="1" cm="1">
        <f t="array" ref="I1882">SUMPRODUCT(([1]OUT_FinalEnergyCons!$B$4:$B$10000="Var_cap")*1, (ISNUMBER(SEARCH("ITOT-SWHSOLBR",[1]OUT_FinalEnergyCons!$A$4:$A$10000)))*1,[1]OUT_FinalEnergyCons!G$4:G$10000)</f>
        <v>1.247149049859712E-2</v>
      </c>
      <c r="J1882" s="1" cm="1">
        <f t="array" ref="J1882">SUMPRODUCT(([1]OUT_FinalEnergyCons!$B$4:$B$10000="Var_cap")*1, (ISNUMBER(SEARCH("ITOT-SWHSOLBR",[1]OUT_FinalEnergyCons!$A$4:$A$10000)))*1,[1]OUT_FinalEnergyCons!H$4:H$10000)</f>
        <v>1.2471198246699311E-2</v>
      </c>
      <c r="K1882" s="1" cm="1">
        <f t="array" ref="K1882">SUMPRODUCT(([1]OUT_FinalEnergyCons!$B$4:$B$10000="Var_cap")*1, (ISNUMBER(SEARCH("ITOT-SWHSOLBR",[1]OUT_FinalEnergyCons!$A$4:$A$10000)))*1,[1]OUT_FinalEnergyCons!I$4:I$10000)</f>
        <v>1.24710288047834E-2</v>
      </c>
      <c r="L1882" s="1" cm="1">
        <f t="array" ref="L1882">SUMPRODUCT(([1]OUT_FinalEnergyCons!$B$4:$B$10000="Var_cap")*1, (ISNUMBER(SEARCH("ITOT-SWHSOLBR",[1]OUT_FinalEnergyCons!$A$4:$A$10000)))*1,[1]OUT_FinalEnergyCons!J$4:J$10000)</f>
        <v>1.2471205371302301E-2</v>
      </c>
      <c r="M1882" s="1" cm="1">
        <f t="array" ref="M1882">SUMPRODUCT(([1]OUT_FinalEnergyCons!$B$4:$B$10000="Var_cap")*1, (ISNUMBER(SEARCH("ITOT-SWHSOLBR",[1]OUT_FinalEnergyCons!$A$4:$A$10000)))*1,[1]OUT_FinalEnergyCons!K$4:K$10000)</f>
        <v>1.2471711344764101E-2</v>
      </c>
      <c r="N1882" s="1" cm="1">
        <f t="array" ref="N1882">SUMPRODUCT(([1]OUT_FinalEnergyCons!$B$4:$B$10000="Var_cap")*1, (ISNUMBER(SEARCH("ITOT-SWHSOLBR",[1]OUT_FinalEnergyCons!$A$4:$A$10000)))*1,[1]OUT_FinalEnergyCons!L$4:L$10000)</f>
        <v>1.247158574896E-2</v>
      </c>
      <c r="O1882" s="1" cm="1">
        <f t="array" ref="O1882">SUMPRODUCT(([1]OUT_FinalEnergyCons!$B$4:$B$10000="Var_cap")*1, (ISNUMBER(SEARCH("ITOT-SWHSOLBR",[1]OUT_FinalEnergyCons!$A$4:$A$10000)))*1,[1]OUT_FinalEnergyCons!M$4:M$10000)</f>
        <v>1.2474349355016E-2</v>
      </c>
      <c r="P1882" s="1" cm="1">
        <f t="array" ref="P1882">SUMPRODUCT(([1]OUT_FinalEnergyCons!$B$4:$B$10000="Var_cap")*1, (ISNUMBER(SEARCH("ITOT-SWHSOLBR",[1]OUT_FinalEnergyCons!$A$4:$A$10000)))*1,[1]OUT_FinalEnergyCons!N$4:N$10000)</f>
        <v>1.24741161345231E-2</v>
      </c>
      <c r="Q1882" s="1" cm="1">
        <f t="array" ref="Q1882">SUMPRODUCT(([1]OUT_FinalEnergyCons!$B$4:$B$10000="Var_cap")*1, (ISNUMBER(SEARCH("ITOT-SWHSOLBR",[1]OUT_FinalEnergyCons!$A$4:$A$10000)))*1,[1]OUT_FinalEnergyCons!O$4:O$10000)</f>
        <v>3.7130980753432498E-2</v>
      </c>
      <c r="S1882" s="3"/>
    </row>
    <row r="1883" spans="2:19" x14ac:dyDescent="0.5">
      <c r="B1883" s="5" t="str">
        <f t="shared" si="2113"/>
        <v>SPS1</v>
      </c>
      <c r="C1883" s="5" t="str">
        <f t="shared" si="2114"/>
        <v>CH</v>
      </c>
      <c r="D1883" t="s">
        <v>2113</v>
      </c>
      <c r="E1883" t="str">
        <f t="shared" si="2015"/>
        <v>GWth/yr.</v>
      </c>
      <c r="F1883" s="1">
        <f>F1884</f>
        <v>0</v>
      </c>
      <c r="G1883" s="1">
        <f t="shared" ref="G1883:O1883" si="2122">G1884</f>
        <v>0</v>
      </c>
      <c r="H1883" s="1">
        <f t="shared" si="2122"/>
        <v>0</v>
      </c>
      <c r="I1883" s="1">
        <f t="shared" si="2122"/>
        <v>1.71329367822736E-3</v>
      </c>
      <c r="J1883" s="1">
        <f t="shared" si="2122"/>
        <v>0.85227321429183578</v>
      </c>
      <c r="K1883" s="1">
        <f t="shared" si="2122"/>
        <v>0.72966023246991596</v>
      </c>
      <c r="L1883" s="1">
        <f t="shared" si="2122"/>
        <v>0.7295794921026959</v>
      </c>
      <c r="M1883" s="1">
        <f t="shared" si="2122"/>
        <v>1.0390601328853963</v>
      </c>
      <c r="N1883" s="1">
        <f t="shared" si="2122"/>
        <v>1.1485722929272419</v>
      </c>
      <c r="O1883" s="1">
        <f t="shared" si="2122"/>
        <v>1.1752168900889113</v>
      </c>
      <c r="P1883" s="1">
        <f>P1884</f>
        <v>1.1806365182252407</v>
      </c>
      <c r="Q1883" s="1">
        <f>Q1884</f>
        <v>1.1760651322367872</v>
      </c>
      <c r="S1883" s="3"/>
    </row>
    <row r="1884" spans="2:19" x14ac:dyDescent="0.5">
      <c r="B1884" s="5" t="str">
        <f t="shared" si="2113"/>
        <v>SPS1</v>
      </c>
      <c r="C1884" s="5" t="str">
        <f t="shared" si="2114"/>
        <v>CH</v>
      </c>
      <c r="D1884" t="s">
        <v>2114</v>
      </c>
      <c r="E1884" t="str">
        <f t="shared" si="2015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1.71329367822736E-3</v>
      </c>
      <c r="J1884" s="1" cm="1">
        <f t="array" ref="J1884">SUMPRODUCT(([1]OUT_FinalEnergyCons!$B$4:$B$10000="Var_cap")*1, (ISNUMBER(SEARCH("ITOT-SWHH2BR",[1]OUT_FinalEnergyCons!$A$4:$A$10000)))*1,[1]OUT_FinalEnergyCons!H$4:H$10000)</f>
        <v>0.85227321429183578</v>
      </c>
      <c r="K1884" s="1" cm="1">
        <f t="array" ref="K1884">SUMPRODUCT(([1]OUT_FinalEnergyCons!$B$4:$B$10000="Var_cap")*1, (ISNUMBER(SEARCH("ITOT-SWHH2BR",[1]OUT_FinalEnergyCons!$A$4:$A$10000)))*1,[1]OUT_FinalEnergyCons!I$4:I$10000)</f>
        <v>0.72966023246991596</v>
      </c>
      <c r="L1884" s="1" cm="1">
        <f t="array" ref="L1884">SUMPRODUCT(([1]OUT_FinalEnergyCons!$B$4:$B$10000="Var_cap")*1, (ISNUMBER(SEARCH("ITOT-SWHH2BR",[1]OUT_FinalEnergyCons!$A$4:$A$10000)))*1,[1]OUT_FinalEnergyCons!J$4:J$10000)</f>
        <v>0.7295794921026959</v>
      </c>
      <c r="M1884" s="1" cm="1">
        <f t="array" ref="M1884">SUMPRODUCT(([1]OUT_FinalEnergyCons!$B$4:$B$10000="Var_cap")*1, (ISNUMBER(SEARCH("ITOT-SWHH2BR",[1]OUT_FinalEnergyCons!$A$4:$A$10000)))*1,[1]OUT_FinalEnergyCons!K$4:K$10000)</f>
        <v>1.0390601328853963</v>
      </c>
      <c r="N1884" s="1" cm="1">
        <f t="array" ref="N1884">SUMPRODUCT(([1]OUT_FinalEnergyCons!$B$4:$B$10000="Var_cap")*1, (ISNUMBER(SEARCH("ITOT-SWHH2BR",[1]OUT_FinalEnergyCons!$A$4:$A$10000)))*1,[1]OUT_FinalEnergyCons!L$4:L$10000)</f>
        <v>1.1485722929272419</v>
      </c>
      <c r="O1884" s="1" cm="1">
        <f t="array" ref="O1884">SUMPRODUCT(([1]OUT_FinalEnergyCons!$B$4:$B$10000="Var_cap")*1, (ISNUMBER(SEARCH("ITOT-SWHH2BR",[1]OUT_FinalEnergyCons!$A$4:$A$10000)))*1,[1]OUT_FinalEnergyCons!M$4:M$10000)</f>
        <v>1.1752168900889113</v>
      </c>
      <c r="P1884" s="1" cm="1">
        <f t="array" ref="P1884">SUMPRODUCT(([1]OUT_FinalEnergyCons!$B$4:$B$10000="Var_cap")*1, (ISNUMBER(SEARCH("ITOT-SWHH2BR",[1]OUT_FinalEnergyCons!$A$4:$A$10000)))*1,[1]OUT_FinalEnergyCons!N$4:N$10000)</f>
        <v>1.1806365182252407</v>
      </c>
      <c r="Q1884" s="1" cm="1">
        <f t="array" ref="Q1884">SUMPRODUCT(([1]OUT_FinalEnergyCons!$B$4:$B$10000="Var_cap")*1, (ISNUMBER(SEARCH("ITOT-SWHH2BR",[1]OUT_FinalEnergyCons!$A$4:$A$10000)))*1,[1]OUT_FinalEnergyCons!O$4:O$10000)</f>
        <v>1.1760651322367872</v>
      </c>
      <c r="S1884" s="3"/>
    </row>
    <row r="1885" spans="2:19" x14ac:dyDescent="0.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2015"/>
        <v>GWth/yr.</v>
      </c>
      <c r="F1885" s="17">
        <f>SUM(F1886,F1889,F1891,F1895,F1897,F1899,F1901)</f>
        <v>6.14422259921575</v>
      </c>
      <c r="G1885" s="17">
        <f t="shared" ref="G1885:K1885" si="2123">SUM(G1886,G1889,G1891,G1895,G1897,G1899,G1901)</f>
        <v>6.0344214084981793</v>
      </c>
      <c r="H1885" s="17">
        <f t="shared" si="2123"/>
        <v>6.1547058866279265</v>
      </c>
      <c r="I1885" s="17">
        <f t="shared" si="2123"/>
        <v>6.0646141014934312</v>
      </c>
      <c r="J1885" s="17">
        <f t="shared" si="2123"/>
        <v>4.5436755304237186</v>
      </c>
      <c r="K1885" s="17">
        <f t="shared" si="2123"/>
        <v>4.6486674667870886</v>
      </c>
      <c r="L1885" s="17">
        <f t="shared" ref="L1885:O1885" si="2124">SUM(L1886,L1889,L1891,L1895,L1897,L1899,L1901)</f>
        <v>4.5832754661916502</v>
      </c>
      <c r="M1885" s="17">
        <f t="shared" si="2124"/>
        <v>3.7896354479652969</v>
      </c>
      <c r="N1885" s="17">
        <f t="shared" si="2124"/>
        <v>3.6388018293590139</v>
      </c>
      <c r="O1885" s="17">
        <f t="shared" si="2124"/>
        <v>3.5014391401931935</v>
      </c>
      <c r="P1885" s="17">
        <f>SUM(P1886,P1889,P1891,P1895,P1897,P1899,P1901)</f>
        <v>3.4382286711301737</v>
      </c>
      <c r="Q1885" s="17">
        <f>SUM(Q1886,Q1889,Q1891,Q1895,Q1897,Q1899,Q1901)</f>
        <v>3.6688392268274681</v>
      </c>
      <c r="S1885" s="3"/>
    </row>
    <row r="1886" spans="2:19" x14ac:dyDescent="0.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2015"/>
        <v>GWth/yr.</v>
      </c>
      <c r="F1886" s="1">
        <f>SUM(F1887:F1888)</f>
        <v>0.61560617431683184</v>
      </c>
      <c r="G1886" s="1">
        <f t="shared" ref="G1886:K1886" si="2125">SUM(G1887:G1888)</f>
        <v>0.47906495220622375</v>
      </c>
      <c r="H1886" s="1">
        <f t="shared" si="2125"/>
        <v>0.60731170379341748</v>
      </c>
      <c r="I1886" s="1">
        <f t="shared" si="2125"/>
        <v>0.6073324267336675</v>
      </c>
      <c r="J1886" s="1">
        <f t="shared" si="2125"/>
        <v>0.59009118914636161</v>
      </c>
      <c r="K1886" s="1">
        <f t="shared" si="2125"/>
        <v>0.55977777707691456</v>
      </c>
      <c r="L1886" s="1">
        <f t="shared" ref="L1886:O1886" si="2126">SUM(L1887:L1888)</f>
        <v>0.52798631888999159</v>
      </c>
      <c r="M1886" s="1">
        <f t="shared" si="2126"/>
        <v>1.046948107187597</v>
      </c>
      <c r="N1886" s="1">
        <f t="shared" si="2126"/>
        <v>0.9833225952169935</v>
      </c>
      <c r="O1886" s="1">
        <f t="shared" si="2126"/>
        <v>0.89414214368772482</v>
      </c>
      <c r="P1886" s="1">
        <f>SUM(P1887:P1888)</f>
        <v>0.88678533655327751</v>
      </c>
      <c r="Q1886" s="1">
        <f>SUM(Q1887:Q1888)</f>
        <v>0.91471518571300192</v>
      </c>
      <c r="S1886" s="3"/>
    </row>
    <row r="1887" spans="2:19" x14ac:dyDescent="0.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2015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0.18498881594928263</v>
      </c>
      <c r="G1887" s="1" cm="1">
        <f t="array" ref="G1887">SUMPRODUCT(([1]OUT_FinalEnergyCons!$B$4:$B$10000="Var_cap")*1, (ISNUMBER(SEARCH("SCOM-SHELCBR",[1]OUT_FinalEnergyCons!$A$4:$A$10000)))*1,[1]OUT_FinalEnergyCons!E$4:E$10000)</f>
        <v>4.8448378914049073E-2</v>
      </c>
      <c r="H1887" s="1" cm="1">
        <f t="array" ref="H1887">SUMPRODUCT(([1]OUT_FinalEnergyCons!$B$4:$B$10000="Var_cap")*1, (ISNUMBER(SEARCH("SCOM-SHELCBR",[1]OUT_FinalEnergyCons!$A$4:$A$10000)))*1,[1]OUT_FinalEnergyCons!F$4:F$10000)</f>
        <v>0.17669597519446595</v>
      </c>
      <c r="I1887" s="1" cm="1">
        <f t="array" ref="I1887">SUMPRODUCT(([1]OUT_FinalEnergyCons!$B$4:$B$10000="Var_cap")*1, (ISNUMBER(SEARCH("SCOM-SHELCBR",[1]OUT_FinalEnergyCons!$A$4:$A$10000)))*1,[1]OUT_FinalEnergyCons!G$4:G$10000)</f>
        <v>0.17671679921059499</v>
      </c>
      <c r="J1887" s="1" cm="1">
        <f t="array" ref="J1887">SUMPRODUCT(([1]OUT_FinalEnergyCons!$B$4:$B$10000="Var_cap")*1, (ISNUMBER(SEARCH("SCOM-SHELCBR",[1]OUT_FinalEnergyCons!$A$4:$A$10000)))*1,[1]OUT_FinalEnergyCons!H$4:H$10000)</f>
        <v>0.18272414116051319</v>
      </c>
      <c r="K1887" s="1" cm="1">
        <f t="array" ref="K1887">SUMPRODUCT(([1]OUT_FinalEnergyCons!$B$4:$B$10000="Var_cap")*1, (ISNUMBER(SEARCH("SCOM-SHELCBR",[1]OUT_FinalEnergyCons!$A$4:$A$10000)))*1,[1]OUT_FinalEnergyCons!I$4:I$10000)</f>
        <v>0.15240171316587578</v>
      </c>
      <c r="L1887" s="1" cm="1">
        <f t="array" ref="L1887">SUMPRODUCT(([1]OUT_FinalEnergyCons!$B$4:$B$10000="Var_cap")*1, (ISNUMBER(SEARCH("SCOM-SHELCBR",[1]OUT_FinalEnergyCons!$A$4:$A$10000)))*1,[1]OUT_FinalEnergyCons!J$4:J$10000)</f>
        <v>0.12055559317476083</v>
      </c>
      <c r="M1887" s="1" cm="1">
        <f t="array" ref="M1887">SUMPRODUCT(([1]OUT_FinalEnergyCons!$B$4:$B$10000="Var_cap")*1, (ISNUMBER(SEARCH("SCOM-SHELCBR",[1]OUT_FinalEnergyCons!$A$4:$A$10000)))*1,[1]OUT_FinalEnergyCons!K$4:K$10000)</f>
        <v>0.23219476642876546</v>
      </c>
      <c r="N1887" s="1" cm="1">
        <f t="array" ref="N1887">SUMPRODUCT(([1]OUT_FinalEnergyCons!$B$4:$B$10000="Var_cap")*1, (ISNUMBER(SEARCH("SCOM-SHELCBR",[1]OUT_FinalEnergyCons!$A$4:$A$10000)))*1,[1]OUT_FinalEnergyCons!L$4:L$10000)</f>
        <v>0.17129321106157752</v>
      </c>
      <c r="O1887" s="1" cm="1">
        <f t="array" ref="O1887">SUMPRODUCT(([1]OUT_FinalEnergyCons!$B$4:$B$10000="Var_cap")*1, (ISNUMBER(SEARCH("SCOM-SHELCBR",[1]OUT_FinalEnergyCons!$A$4:$A$10000)))*1,[1]OUT_FinalEnergyCons!M$4:M$10000)</f>
        <v>8.9710921123232507E-2</v>
      </c>
      <c r="P1887" s="1" cm="1">
        <f t="array" ref="P1887">SUMPRODUCT(([1]OUT_FinalEnergyCons!$B$4:$B$10000="Var_cap")*1, (ISNUMBER(SEARCH("SCOM-SHELCBR",[1]OUT_FinalEnergyCons!$A$4:$A$10000)))*1,[1]OUT_FinalEnergyCons!N$4:N$10000)</f>
        <v>8.3063149537751596E-2</v>
      </c>
      <c r="Q1887" s="1" cm="1">
        <f t="array" ref="Q1887">SUMPRODUCT(([1]OUT_FinalEnergyCons!$B$4:$B$10000="Var_cap")*1, (ISNUMBER(SEARCH("SCOM-SHELCBR",[1]OUT_FinalEnergyCons!$A$4:$A$10000)))*1,[1]OUT_FinalEnergyCons!O$4:O$10000)</f>
        <v>7.4112573053103287E-2</v>
      </c>
      <c r="S1887" s="3"/>
    </row>
    <row r="1888" spans="2:19" x14ac:dyDescent="0.5">
      <c r="B1888" s="5" t="str">
        <f t="shared" ref="B1888:C1888" si="2127">B1887</f>
        <v>SPS1</v>
      </c>
      <c r="C1888" s="5" t="str">
        <f t="shared" si="2127"/>
        <v>CH</v>
      </c>
      <c r="D1888" t="s">
        <v>1903</v>
      </c>
      <c r="E1888" t="str">
        <f t="shared" si="2015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0.43061735836754922</v>
      </c>
      <c r="G1888" s="1" cm="1">
        <f t="array" ref="G1888">SUMPRODUCT(([1]OUT_FinalEnergyCons!$B$4:$B$10000="Var_cap")*1, (ISNUMBER(SEARCH("SCOM-SHELCHP",[1]OUT_FinalEnergyCons!$A$4:$A$10000)))*1,[1]OUT_FinalEnergyCons!E$4:E$10000)</f>
        <v>0.43061657329217468</v>
      </c>
      <c r="H1888" s="1" cm="1">
        <f t="array" ref="H1888">SUMPRODUCT(([1]OUT_FinalEnergyCons!$B$4:$B$10000="Var_cap")*1, (ISNUMBER(SEARCH("SCOM-SHELCHP",[1]OUT_FinalEnergyCons!$A$4:$A$10000)))*1,[1]OUT_FinalEnergyCons!F$4:F$10000)</f>
        <v>0.43061572859895147</v>
      </c>
      <c r="I1888" s="1" cm="1">
        <f t="array" ref="I1888">SUMPRODUCT(([1]OUT_FinalEnergyCons!$B$4:$B$10000="Var_cap")*1, (ISNUMBER(SEARCH("SCOM-SHELCHP",[1]OUT_FinalEnergyCons!$A$4:$A$10000)))*1,[1]OUT_FinalEnergyCons!G$4:G$10000)</f>
        <v>0.43061562752307253</v>
      </c>
      <c r="J1888" s="1" cm="1">
        <f t="array" ref="J1888">SUMPRODUCT(([1]OUT_FinalEnergyCons!$B$4:$B$10000="Var_cap")*1, (ISNUMBER(SEARCH("SCOM-SHELCHP",[1]OUT_FinalEnergyCons!$A$4:$A$10000)))*1,[1]OUT_FinalEnergyCons!H$4:H$10000)</f>
        <v>0.40736704798584839</v>
      </c>
      <c r="K1888" s="1" cm="1">
        <f t="array" ref="K1888">SUMPRODUCT(([1]OUT_FinalEnergyCons!$B$4:$B$10000="Var_cap")*1, (ISNUMBER(SEARCH("SCOM-SHELCHP",[1]OUT_FinalEnergyCons!$A$4:$A$10000)))*1,[1]OUT_FinalEnergyCons!I$4:I$10000)</f>
        <v>0.40737606391103875</v>
      </c>
      <c r="L1888" s="1" cm="1">
        <f t="array" ref="L1888">SUMPRODUCT(([1]OUT_FinalEnergyCons!$B$4:$B$10000="Var_cap")*1, (ISNUMBER(SEARCH("SCOM-SHELCHP",[1]OUT_FinalEnergyCons!$A$4:$A$10000)))*1,[1]OUT_FinalEnergyCons!J$4:J$10000)</f>
        <v>0.40743072571523076</v>
      </c>
      <c r="M1888" s="1" cm="1">
        <f t="array" ref="M1888">SUMPRODUCT(([1]OUT_FinalEnergyCons!$B$4:$B$10000="Var_cap")*1, (ISNUMBER(SEARCH("SCOM-SHELCHP",[1]OUT_FinalEnergyCons!$A$4:$A$10000)))*1,[1]OUT_FinalEnergyCons!K$4:K$10000)</f>
        <v>0.81475334075883143</v>
      </c>
      <c r="N1888" s="1" cm="1">
        <f t="array" ref="N1888">SUMPRODUCT(([1]OUT_FinalEnergyCons!$B$4:$B$10000="Var_cap")*1, (ISNUMBER(SEARCH("SCOM-SHELCHP",[1]OUT_FinalEnergyCons!$A$4:$A$10000)))*1,[1]OUT_FinalEnergyCons!L$4:L$10000)</f>
        <v>0.81202938415541603</v>
      </c>
      <c r="O1888" s="1" cm="1">
        <f t="array" ref="O1888">SUMPRODUCT(([1]OUT_FinalEnergyCons!$B$4:$B$10000="Var_cap")*1, (ISNUMBER(SEARCH("SCOM-SHELCHP",[1]OUT_FinalEnergyCons!$A$4:$A$10000)))*1,[1]OUT_FinalEnergyCons!M$4:M$10000)</f>
        <v>0.80443122256449229</v>
      </c>
      <c r="P1888" s="1" cm="1">
        <f t="array" ref="P1888">SUMPRODUCT(([1]OUT_FinalEnergyCons!$B$4:$B$10000="Var_cap")*1, (ISNUMBER(SEARCH("SCOM-SHELCHP",[1]OUT_FinalEnergyCons!$A$4:$A$10000)))*1,[1]OUT_FinalEnergyCons!N$4:N$10000)</f>
        <v>0.80372218701552589</v>
      </c>
      <c r="Q1888" s="1" cm="1">
        <f t="array" ref="Q1888">SUMPRODUCT(([1]OUT_FinalEnergyCons!$B$4:$B$10000="Var_cap")*1, (ISNUMBER(SEARCH("SCOM-SHELCHP",[1]OUT_FinalEnergyCons!$A$4:$A$10000)))*1,[1]OUT_FinalEnergyCons!O$4:O$10000)</f>
        <v>0.84060261265989866</v>
      </c>
      <c r="S1888" s="3"/>
    </row>
    <row r="1889" spans="2:19" x14ac:dyDescent="0.5">
      <c r="B1889" s="5" t="str">
        <f t="shared" ref="B1889:C1889" si="2128">B1888</f>
        <v>SPS1</v>
      </c>
      <c r="C1889" s="5" t="str">
        <f t="shared" si="2128"/>
        <v>CH</v>
      </c>
      <c r="D1889" t="s">
        <v>1904</v>
      </c>
      <c r="E1889" t="str">
        <f t="shared" si="2015"/>
        <v>GWth/yr.</v>
      </c>
      <c r="F1889" s="1">
        <f>F1890</f>
        <v>1.9285741220273112</v>
      </c>
      <c r="G1889" s="1">
        <f t="shared" ref="G1889:O1889" si="2129">G1890</f>
        <v>1.9285577958787254</v>
      </c>
      <c r="H1889" s="1">
        <f t="shared" si="2129"/>
        <v>1.9285539385051667</v>
      </c>
      <c r="I1889" s="1">
        <f t="shared" si="2129"/>
        <v>1.9285464988626375</v>
      </c>
      <c r="J1889" s="1">
        <f t="shared" si="2129"/>
        <v>0.96871463070075048</v>
      </c>
      <c r="K1889" s="1">
        <f t="shared" si="2129"/>
        <v>0.68717138433609648</v>
      </c>
      <c r="L1889" s="1">
        <f t="shared" si="2129"/>
        <v>0.43453251898957096</v>
      </c>
      <c r="M1889" s="1">
        <f t="shared" si="2129"/>
        <v>0.23504273826807245</v>
      </c>
      <c r="N1889" s="1">
        <f t="shared" si="2129"/>
        <v>7.5829440711927321E-2</v>
      </c>
      <c r="O1889" s="1">
        <f t="shared" si="2129"/>
        <v>7.5784061441972125E-2</v>
      </c>
      <c r="P1889" s="1">
        <f>P1890</f>
        <v>7.5782899791597677E-2</v>
      </c>
      <c r="Q1889" s="1">
        <f>Q1890</f>
        <v>7.5781944571130008E-2</v>
      </c>
      <c r="S1889" s="3"/>
    </row>
    <row r="1890" spans="2:19" x14ac:dyDescent="0.5">
      <c r="B1890" s="5" t="str">
        <f t="shared" ref="B1890:C1890" si="2130">B1889</f>
        <v>SPS1</v>
      </c>
      <c r="C1890" s="5" t="str">
        <f t="shared" si="2130"/>
        <v>CH</v>
      </c>
      <c r="D1890" t="s">
        <v>1905</v>
      </c>
      <c r="E1890" t="str">
        <f t="shared" ref="E1890:E1902" si="213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1.9285741220273112</v>
      </c>
      <c r="G1890" s="1" cm="1">
        <f t="array" ref="G1890">SUMPRODUCT(([1]OUT_FinalEnergyCons!$B$4:$B$10000="Var_cap")*1,(ISNUMBER(SEARCH("SCOM-SHLFOBR",[1]OUT_FinalEnergyCons!$A$4:$A$10000)))*1,[1]OUT_FinalEnergyCons!E$4:E$10000)</f>
        <v>1.9285577958787254</v>
      </c>
      <c r="H1890" s="1" cm="1">
        <f t="array" ref="H1890">SUMPRODUCT(([1]OUT_FinalEnergyCons!$B$4:$B$10000="Var_cap")*1,(ISNUMBER(SEARCH("SCOM-SHLFOBR",[1]OUT_FinalEnergyCons!$A$4:$A$10000)))*1,[1]OUT_FinalEnergyCons!F$4:F$10000)</f>
        <v>1.9285539385051667</v>
      </c>
      <c r="I1890" s="1" cm="1">
        <f t="array" ref="I1890">SUMPRODUCT(([1]OUT_FinalEnergyCons!$B$4:$B$10000="Var_cap")*1,(ISNUMBER(SEARCH("SCOM-SHLFOBR",[1]OUT_FinalEnergyCons!$A$4:$A$10000)))*1,[1]OUT_FinalEnergyCons!G$4:G$10000)</f>
        <v>1.9285464988626375</v>
      </c>
      <c r="J1890" s="1" cm="1">
        <f t="array" ref="J1890">SUMPRODUCT(([1]OUT_FinalEnergyCons!$B$4:$B$10000="Var_cap")*1,(ISNUMBER(SEARCH("SCOM-SHLFOBR",[1]OUT_FinalEnergyCons!$A$4:$A$10000)))*1,[1]OUT_FinalEnergyCons!H$4:H$10000)</f>
        <v>0.96871463070075048</v>
      </c>
      <c r="K1890" s="1" cm="1">
        <f t="array" ref="K1890">SUMPRODUCT(([1]OUT_FinalEnergyCons!$B$4:$B$10000="Var_cap")*1,(ISNUMBER(SEARCH("SCOM-SHLFOBR",[1]OUT_FinalEnergyCons!$A$4:$A$10000)))*1,[1]OUT_FinalEnergyCons!I$4:I$10000)</f>
        <v>0.68717138433609648</v>
      </c>
      <c r="L1890" s="1" cm="1">
        <f t="array" ref="L1890">SUMPRODUCT(([1]OUT_FinalEnergyCons!$B$4:$B$10000="Var_cap")*1,(ISNUMBER(SEARCH("SCOM-SHLFOBR",[1]OUT_FinalEnergyCons!$A$4:$A$10000)))*1,[1]OUT_FinalEnergyCons!J$4:J$10000)</f>
        <v>0.43453251898957096</v>
      </c>
      <c r="M1890" s="1" cm="1">
        <f t="array" ref="M1890">SUMPRODUCT(([1]OUT_FinalEnergyCons!$B$4:$B$10000="Var_cap")*1,(ISNUMBER(SEARCH("SCOM-SHLFOBR",[1]OUT_FinalEnergyCons!$A$4:$A$10000)))*1,[1]OUT_FinalEnergyCons!K$4:K$10000)</f>
        <v>0.23504273826807245</v>
      </c>
      <c r="N1890" s="1" cm="1">
        <f t="array" ref="N1890">SUMPRODUCT(([1]OUT_FinalEnergyCons!$B$4:$B$10000="Var_cap")*1,(ISNUMBER(SEARCH("SCOM-SHLFOBR",[1]OUT_FinalEnergyCons!$A$4:$A$10000)))*1,[1]OUT_FinalEnergyCons!L$4:L$10000)</f>
        <v>7.5829440711927321E-2</v>
      </c>
      <c r="O1890" s="1" cm="1">
        <f t="array" ref="O1890">SUMPRODUCT(([1]OUT_FinalEnergyCons!$B$4:$B$10000="Var_cap")*1,(ISNUMBER(SEARCH("SCOM-SHLFOBR",[1]OUT_FinalEnergyCons!$A$4:$A$10000)))*1,[1]OUT_FinalEnergyCons!M$4:M$10000)</f>
        <v>7.5784061441972125E-2</v>
      </c>
      <c r="P1890" s="1" cm="1">
        <f t="array" ref="P1890">SUMPRODUCT(([1]OUT_FinalEnergyCons!$B$4:$B$10000="Var_cap")*1,(ISNUMBER(SEARCH("SCOM-SHLFOBR",[1]OUT_FinalEnergyCons!$A$4:$A$10000)))*1,[1]OUT_FinalEnergyCons!N$4:N$10000)</f>
        <v>7.5782899791597677E-2</v>
      </c>
      <c r="Q1890" s="1" cm="1">
        <f t="array" ref="Q1890">SUMPRODUCT(([1]OUT_FinalEnergyCons!$B$4:$B$10000="Var_cap")*1,(ISNUMBER(SEARCH("SCOM-SHLFOBR",[1]OUT_FinalEnergyCons!$A$4:$A$10000)))*1,[1]OUT_FinalEnergyCons!O$4:O$10000)</f>
        <v>7.5781944571130008E-2</v>
      </c>
      <c r="S1890" s="3"/>
    </row>
    <row r="1891" spans="2:19" x14ac:dyDescent="0.5">
      <c r="B1891" s="5" t="str">
        <f t="shared" ref="B1891:C1891" si="2132">B1890</f>
        <v>SPS1</v>
      </c>
      <c r="C1891" s="5" t="str">
        <f t="shared" si="2132"/>
        <v>CH</v>
      </c>
      <c r="D1891" t="s">
        <v>1906</v>
      </c>
      <c r="E1891" t="str">
        <f t="shared" si="2131"/>
        <v>GWth/yr.</v>
      </c>
      <c r="F1891" s="1">
        <f>SUM(F1892:F1894)</f>
        <v>2.8800237702136235</v>
      </c>
      <c r="G1891" s="1">
        <f t="shared" ref="G1891:K1891" si="2133">SUM(G1892:G1894)</f>
        <v>2.8077021022028785</v>
      </c>
      <c r="H1891" s="1">
        <f t="shared" si="2133"/>
        <v>2.8077767100408546</v>
      </c>
      <c r="I1891" s="1">
        <f t="shared" si="2133"/>
        <v>2.8077605270018959</v>
      </c>
      <c r="J1891" s="1">
        <f t="shared" si="2133"/>
        <v>2.1114157753462837</v>
      </c>
      <c r="K1891" s="1">
        <f t="shared" si="2133"/>
        <v>2.3104960905538627</v>
      </c>
      <c r="L1891" s="1">
        <f t="shared" ref="L1891:O1891" si="2134">SUM(L1892:L1894)</f>
        <v>2.4634917209563825</v>
      </c>
      <c r="M1891" s="1">
        <f t="shared" si="2134"/>
        <v>1.610222348452893</v>
      </c>
      <c r="N1891" s="1">
        <f t="shared" si="2134"/>
        <v>1.6990020586428234</v>
      </c>
      <c r="O1891" s="1">
        <f t="shared" si="2134"/>
        <v>1.7363674355793535</v>
      </c>
      <c r="P1891" s="1">
        <f>SUM(P1892:P1894)</f>
        <v>1.7185034161892301</v>
      </c>
      <c r="Q1891" s="1">
        <f>SUM(Q1892:Q1894)</f>
        <v>1.6670061938288576</v>
      </c>
      <c r="S1891" s="3"/>
    </row>
    <row r="1892" spans="2:19" x14ac:dyDescent="0.5">
      <c r="B1892" s="5" t="str">
        <f t="shared" ref="B1892:C1892" si="2135">B1891</f>
        <v>SPS1</v>
      </c>
      <c r="C1892" s="5" t="str">
        <f t="shared" si="2135"/>
        <v>CH</v>
      </c>
      <c r="D1892" t="s">
        <v>1907</v>
      </c>
      <c r="E1892" t="str">
        <f t="shared" si="213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2.7746816131562912</v>
      </c>
      <c r="G1892" s="1" cm="1">
        <f t="array" ref="G1892">SUMPRODUCT(([1]OUT_FinalEnergyCons!$B$4:$B$10000="Var_cap")*1, (ISNUMBER(SEARCH("SCOM-SHNGABR",[1]OUT_FinalEnergyCons!$A$4:$A$10000)))*1,[1]OUT_FinalEnergyCons!E$4:E$10000)</f>
        <v>2.7023265370365195</v>
      </c>
      <c r="H1892" s="1" cm="1">
        <f t="array" ref="H1892">SUMPRODUCT(([1]OUT_FinalEnergyCons!$B$4:$B$10000="Var_cap")*1, (ISNUMBER(SEARCH("SCOM-SHNGABR",[1]OUT_FinalEnergyCons!$A$4:$A$10000)))*1,[1]OUT_FinalEnergyCons!F$4:F$10000)</f>
        <v>2.7023059157574201</v>
      </c>
      <c r="I1892" s="1" cm="1">
        <f t="array" ref="I1892">SUMPRODUCT(([1]OUT_FinalEnergyCons!$B$4:$B$10000="Var_cap")*1, (ISNUMBER(SEARCH("SCOM-SHNGABR",[1]OUT_FinalEnergyCons!$A$4:$A$10000)))*1,[1]OUT_FinalEnergyCons!G$4:G$10000)</f>
        <v>2.7022902000810327</v>
      </c>
      <c r="J1892" s="1" cm="1">
        <f t="array" ref="J1892">SUMPRODUCT(([1]OUT_FinalEnergyCons!$B$4:$B$10000="Var_cap")*1, (ISNUMBER(SEARCH("SCOM-SHNGABR",[1]OUT_FinalEnergyCons!$A$4:$A$10000)))*1,[1]OUT_FinalEnergyCons!H$4:H$10000)</f>
        <v>1.9300979728317591</v>
      </c>
      <c r="K1892" s="1" cm="1">
        <f t="array" ref="K1892">SUMPRODUCT(([1]OUT_FinalEnergyCons!$B$4:$B$10000="Var_cap")*1, (ISNUMBER(SEARCH("SCOM-SHNGABR",[1]OUT_FinalEnergyCons!$A$4:$A$10000)))*1,[1]OUT_FinalEnergyCons!I$4:I$10000)</f>
        <v>1.9021476027918469</v>
      </c>
      <c r="L1892" s="1" cm="1">
        <f t="array" ref="L1892">SUMPRODUCT(([1]OUT_FinalEnergyCons!$B$4:$B$10000="Var_cap")*1, (ISNUMBER(SEARCH("SCOM-SHNGABR",[1]OUT_FinalEnergyCons!$A$4:$A$10000)))*1,[1]OUT_FinalEnergyCons!J$4:J$10000)</f>
        <v>1.9426636968076487</v>
      </c>
      <c r="M1892" s="1" cm="1">
        <f t="array" ref="M1892">SUMPRODUCT(([1]OUT_FinalEnergyCons!$B$4:$B$10000="Var_cap")*1, (ISNUMBER(SEARCH("SCOM-SHNGABR",[1]OUT_FinalEnergyCons!$A$4:$A$10000)))*1,[1]OUT_FinalEnergyCons!K$4:K$10000)</f>
        <v>0.71340141714466943</v>
      </c>
      <c r="N1892" s="1" cm="1">
        <f t="array" ref="N1892">SUMPRODUCT(([1]OUT_FinalEnergyCons!$B$4:$B$10000="Var_cap")*1, (ISNUMBER(SEARCH("SCOM-SHNGABR",[1]OUT_FinalEnergyCons!$A$4:$A$10000)))*1,[1]OUT_FinalEnergyCons!L$4:L$10000)</f>
        <v>0.65312448821032199</v>
      </c>
      <c r="O1892" s="1" cm="1">
        <f t="array" ref="O1892">SUMPRODUCT(([1]OUT_FinalEnergyCons!$B$4:$B$10000="Var_cap")*1, (ISNUMBER(SEARCH("SCOM-SHNGABR",[1]OUT_FinalEnergyCons!$A$4:$A$10000)))*1,[1]OUT_FinalEnergyCons!M$4:M$10000)</f>
        <v>0.33591395771516003</v>
      </c>
      <c r="P1892" s="1" cm="1">
        <f t="array" ref="P1892">SUMPRODUCT(([1]OUT_FinalEnergyCons!$B$4:$B$10000="Var_cap")*1, (ISNUMBER(SEARCH("SCOM-SHNGABR",[1]OUT_FinalEnergyCons!$A$4:$A$10000)))*1,[1]OUT_FinalEnergyCons!N$4:N$10000)</f>
        <v>0.17130780087522895</v>
      </c>
      <c r="Q1892" s="1" cm="1">
        <f t="array" ref="Q1892">SUMPRODUCT(([1]OUT_FinalEnergyCons!$B$4:$B$10000="Var_cap")*1, (ISNUMBER(SEARCH("SCOM-SHNGABR",[1]OUT_FinalEnergyCons!$A$4:$A$10000)))*1,[1]OUT_FinalEnergyCons!O$4:O$10000)</f>
        <v>5.0709030032041996E-2</v>
      </c>
      <c r="S1892" s="3"/>
    </row>
    <row r="1893" spans="2:19" x14ac:dyDescent="0.5">
      <c r="B1893" s="5" t="str">
        <f t="shared" ref="B1893:C1893" si="2136">B1892</f>
        <v>SPS1</v>
      </c>
      <c r="C1893" s="5" t="str">
        <f t="shared" si="2136"/>
        <v>CH</v>
      </c>
      <c r="D1893" t="s">
        <v>1908</v>
      </c>
      <c r="E1893" t="str">
        <f t="shared" si="213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4.9514509423736799E-7</v>
      </c>
      <c r="G1893" s="1" cm="1">
        <f t="array" ref="G1893">SUMPRODUCT(([1]OUT_FinalEnergyCons!$B$4:$B$10000="Var_cap")*1, (ISNUMBER(SEARCH("SCOM-SHngahp",[1]OUT_FinalEnergyCons!$A$4:$A$10000)))*1,[1]OUT_FinalEnergyCons!E$4:E$10000)</f>
        <v>3.0530853922873026E-5</v>
      </c>
      <c r="H1893" s="1" cm="1">
        <f t="array" ref="H1893">SUMPRODUCT(([1]OUT_FinalEnergyCons!$B$4:$B$10000="Var_cap")*1, (ISNUMBER(SEARCH("SCOM-SHngahp",[1]OUT_FinalEnergyCons!$A$4:$A$10000)))*1,[1]OUT_FinalEnergyCons!F$4:F$10000)</f>
        <v>1.2443383230074242E-4</v>
      </c>
      <c r="I1893" s="1" cm="1">
        <f t="array" ref="I1893">SUMPRODUCT(([1]OUT_FinalEnergyCons!$B$4:$B$10000="Var_cap")*1, (ISNUMBER(SEARCH("SCOM-SHngahp",[1]OUT_FinalEnergyCons!$A$4:$A$10000)))*1,[1]OUT_FinalEnergyCons!G$4:G$10000)</f>
        <v>1.2641228131348434E-4</v>
      </c>
      <c r="J1893" s="1" cm="1">
        <f t="array" ref="J1893">SUMPRODUCT(([1]OUT_FinalEnergyCons!$B$4:$B$10000="Var_cap")*1, (ISNUMBER(SEARCH("SCOM-SHngahp",[1]OUT_FinalEnergyCons!$A$4:$A$10000)))*1,[1]OUT_FinalEnergyCons!H$4:H$10000)</f>
        <v>3.1315305375436017E-2</v>
      </c>
      <c r="K1893" s="1" cm="1">
        <f t="array" ref="K1893">SUMPRODUCT(([1]OUT_FinalEnergyCons!$B$4:$B$10000="Var_cap")*1, (ISNUMBER(SEARCH("SCOM-SHngahp",[1]OUT_FinalEnergyCons!$A$4:$A$10000)))*1,[1]OUT_FinalEnergyCons!I$4:I$10000)</f>
        <v>6.4945608591261389E-2</v>
      </c>
      <c r="L1893" s="1" cm="1">
        <f t="array" ref="L1893">SUMPRODUCT(([1]OUT_FinalEnergyCons!$B$4:$B$10000="Var_cap")*1, (ISNUMBER(SEARCH("SCOM-SHngahp",[1]OUT_FinalEnergyCons!$A$4:$A$10000)))*1,[1]OUT_FinalEnergyCons!J$4:J$10000)</f>
        <v>0.10073835374141073</v>
      </c>
      <c r="M1893" s="1" cm="1">
        <f t="array" ref="M1893">SUMPRODUCT(([1]OUT_FinalEnergyCons!$B$4:$B$10000="Var_cap")*1, (ISNUMBER(SEARCH("SCOM-SHngahp",[1]OUT_FinalEnergyCons!$A$4:$A$10000)))*1,[1]OUT_FinalEnergyCons!K$4:K$10000)</f>
        <v>6.9642992671081594E-2</v>
      </c>
      <c r="N1893" s="1" cm="1">
        <f t="array" ref="N1893">SUMPRODUCT(([1]OUT_FinalEnergyCons!$B$4:$B$10000="Var_cap")*1, (ISNUMBER(SEARCH("SCOM-SHngahp",[1]OUT_FinalEnergyCons!$A$4:$A$10000)))*1,[1]OUT_FinalEnergyCons!L$4:L$10000)</f>
        <v>0.13735693203595689</v>
      </c>
      <c r="O1893" s="1" cm="1">
        <f t="array" ref="O1893">SUMPRODUCT(([1]OUT_FinalEnergyCons!$B$4:$B$10000="Var_cap")*1, (ISNUMBER(SEARCH("SCOM-SHngahp",[1]OUT_FinalEnergyCons!$A$4:$A$10000)))*1,[1]OUT_FinalEnergyCons!M$4:M$10000)</f>
        <v>0.21024496820918193</v>
      </c>
      <c r="P1893" s="1" cm="1">
        <f t="array" ref="P1893">SUMPRODUCT(([1]OUT_FinalEnergyCons!$B$4:$B$10000="Var_cap")*1, (ISNUMBER(SEARCH("SCOM-SHngahp",[1]OUT_FinalEnergyCons!$A$4:$A$10000)))*1,[1]OUT_FinalEnergyCons!N$4:N$10000)</f>
        <v>0.28885029854748367</v>
      </c>
      <c r="Q1893" s="1" cm="1">
        <f t="array" ref="Q1893">SUMPRODUCT(([1]OUT_FinalEnergyCons!$B$4:$B$10000="Var_cap")*1, (ISNUMBER(SEARCH("SCOM-SHngahp",[1]OUT_FinalEnergyCons!$A$4:$A$10000)))*1,[1]OUT_FinalEnergyCons!O$4:O$10000)</f>
        <v>0.34899162975679837</v>
      </c>
      <c r="S1893" s="3"/>
    </row>
    <row r="1894" spans="2:19" x14ac:dyDescent="0.5">
      <c r="B1894" s="5" t="str">
        <f t="shared" ref="B1894:C1894" si="2137">B1893</f>
        <v>SPS1</v>
      </c>
      <c r="C1894" s="5" t="str">
        <f t="shared" si="2137"/>
        <v>CH</v>
      </c>
      <c r="D1894" t="s">
        <v>1909</v>
      </c>
      <c r="E1894" t="str">
        <f t="shared" si="213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0.10534166191223802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0.10534503431243607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0.10534636045113362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0.10534391463954965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0.1500024971390885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0.34340287917075463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0.42008967040732276</v>
      </c>
      <c r="M1894" s="1" cm="1">
        <f t="array" ref="M1894">SUMPRODUCT(([1]OUT_FinalEnergyCons!$B$4:$B$10000="Var_cap")*1, (("SCOM-SHBIOBR"=[1]OUT_FinalEnergyCons!$A$4:$A$10000)*1+("SCOM-SHBNGABR"=[1]OUT_FinalEnergyCons!$A$4:$A$10000)*1),[1]OUT_FinalEnergyCons!K$4:K$10000)</f>
        <v>0.82717793863714206</v>
      </c>
      <c r="N1894" s="1" cm="1">
        <f t="array" ref="N1894">SUMPRODUCT(([1]OUT_FinalEnergyCons!$B$4:$B$10000="Var_cap")*1, (("SCOM-SHBIOBR"=[1]OUT_FinalEnergyCons!$A$4:$A$10000)*1+("SCOM-SHBNGABR"=[1]OUT_FinalEnergyCons!$A$4:$A$10000)*1),[1]OUT_FinalEnergyCons!L$4:L$10000)</f>
        <v>0.90852063839654451</v>
      </c>
      <c r="O1894" s="1" cm="1">
        <f t="array" ref="O1894">SUMPRODUCT(([1]OUT_FinalEnergyCons!$B$4:$B$10000="Var_cap")*1, (("SCOM-SHBIOBR"=[1]OUT_FinalEnergyCons!$A$4:$A$10000)*1+("SCOM-SHBNGABR"=[1]OUT_FinalEnergyCons!$A$4:$A$10000)*1),[1]OUT_FinalEnergyCons!M$4:M$10000)</f>
        <v>1.1902085096550115</v>
      </c>
      <c r="P1894" s="1" cm="1">
        <f t="array" ref="P1894">SUMPRODUCT(([1]OUT_FinalEnergyCons!$B$4:$B$10000="Var_cap")*1, (("SCOM-SHBIOBR"=[1]OUT_FinalEnergyCons!$A$4:$A$10000)*1+("SCOM-SHBNGABR"=[1]OUT_FinalEnergyCons!$A$4:$A$10000)*1),[1]OUT_FinalEnergyCons!N$4:N$10000)</f>
        <v>1.2583453167665175</v>
      </c>
      <c r="Q1894" s="1" cm="1">
        <f t="array" ref="Q1894">SUMPRODUCT(([1]OUT_FinalEnergyCons!$B$4:$B$10000="Var_cap")*1, (("SCOM-SHBIOBR"=[1]OUT_FinalEnergyCons!$A$4:$A$10000)*1+("SCOM-SHBNGABR"=[1]OUT_FinalEnergyCons!$A$4:$A$10000)*1),[1]OUT_FinalEnergyCons!O$4:O$10000)</f>
        <v>1.2673055340400172</v>
      </c>
      <c r="S1894" s="3"/>
    </row>
    <row r="1895" spans="2:19" x14ac:dyDescent="0.5">
      <c r="B1895" s="5" t="str">
        <f t="shared" ref="B1895:C1895" si="2138">B1894</f>
        <v>SPS1</v>
      </c>
      <c r="C1895" s="5" t="str">
        <f t="shared" si="2138"/>
        <v>CH</v>
      </c>
      <c r="D1895" t="s">
        <v>1910</v>
      </c>
      <c r="E1895" t="str">
        <f t="shared" si="2131"/>
        <v>GWth/yr.</v>
      </c>
      <c r="F1895" s="1">
        <f>F1896</f>
        <v>0.47843335048118368</v>
      </c>
      <c r="G1895" s="1">
        <f t="shared" ref="G1895:O1895" si="2139">G1896</f>
        <v>0.54505457771894972</v>
      </c>
      <c r="H1895" s="1">
        <f t="shared" si="2139"/>
        <v>0.5370188371861272</v>
      </c>
      <c r="I1895" s="1">
        <f t="shared" si="2139"/>
        <v>0.44564576843492643</v>
      </c>
      <c r="J1895" s="1">
        <f t="shared" si="2139"/>
        <v>0.44095084112300187</v>
      </c>
      <c r="K1895" s="1">
        <f t="shared" si="2139"/>
        <v>0.34437175124171077</v>
      </c>
      <c r="L1895" s="1">
        <f t="shared" si="2139"/>
        <v>0.31821045670988862</v>
      </c>
      <c r="M1895" s="1">
        <f t="shared" si="2139"/>
        <v>3.5845275365268471E-2</v>
      </c>
      <c r="N1895" s="1">
        <f t="shared" si="2139"/>
        <v>3.4309636866332031E-2</v>
      </c>
      <c r="O1895" s="1">
        <f t="shared" si="2139"/>
        <v>3.0149065139725456E-2</v>
      </c>
      <c r="P1895" s="1">
        <f>P1896</f>
        <v>3.0664723911476916E-2</v>
      </c>
      <c r="Q1895" s="1">
        <f>Q1896</f>
        <v>0.19510390224456856</v>
      </c>
      <c r="S1895" s="3"/>
    </row>
    <row r="1896" spans="2:19" x14ac:dyDescent="0.5">
      <c r="B1896" s="5" t="str">
        <f t="shared" ref="B1896:C1896" si="2140">B1895</f>
        <v>SPS1</v>
      </c>
      <c r="C1896" s="5" t="str">
        <f t="shared" si="2140"/>
        <v>CH</v>
      </c>
      <c r="D1896" t="s">
        <v>1911</v>
      </c>
      <c r="E1896" t="str">
        <f t="shared" si="213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0.47843335048118368</v>
      </c>
      <c r="G1896" s="1" cm="1">
        <f t="array" ref="G1896">SUMPRODUCT(([1]OUT_FinalEnergyCons!$B$4:$B$10000="Var_cap")*1, (ISNUMBER(SEARCH("SCOM-SHWODBR",[1]OUT_FinalEnergyCons!$A$4:$A$10000)))*1,[1]OUT_FinalEnergyCons!E$4:E$10000)</f>
        <v>0.54505457771894972</v>
      </c>
      <c r="H1896" s="1" cm="1">
        <f t="array" ref="H1896">SUMPRODUCT(([1]OUT_FinalEnergyCons!$B$4:$B$10000="Var_cap")*1, (ISNUMBER(SEARCH("SCOM-SHWODBR",[1]OUT_FinalEnergyCons!$A$4:$A$10000)))*1,[1]OUT_FinalEnergyCons!F$4:F$10000)</f>
        <v>0.5370188371861272</v>
      </c>
      <c r="I1896" s="1" cm="1">
        <f t="array" ref="I1896">SUMPRODUCT(([1]OUT_FinalEnergyCons!$B$4:$B$10000="Var_cap")*1, (ISNUMBER(SEARCH("SCOM-SHWODBR",[1]OUT_FinalEnergyCons!$A$4:$A$10000)))*1,[1]OUT_FinalEnergyCons!G$4:G$10000)</f>
        <v>0.44564576843492643</v>
      </c>
      <c r="J1896" s="1" cm="1">
        <f t="array" ref="J1896">SUMPRODUCT(([1]OUT_FinalEnergyCons!$B$4:$B$10000="Var_cap")*1, (ISNUMBER(SEARCH("SCOM-SHWODBR",[1]OUT_FinalEnergyCons!$A$4:$A$10000)))*1,[1]OUT_FinalEnergyCons!H$4:H$10000)</f>
        <v>0.44095084112300187</v>
      </c>
      <c r="K1896" s="1" cm="1">
        <f t="array" ref="K1896">SUMPRODUCT(([1]OUT_FinalEnergyCons!$B$4:$B$10000="Var_cap")*1, (ISNUMBER(SEARCH("SCOM-SHWODBR",[1]OUT_FinalEnergyCons!$A$4:$A$10000)))*1,[1]OUT_FinalEnergyCons!I$4:I$10000)</f>
        <v>0.34437175124171077</v>
      </c>
      <c r="L1896" s="1" cm="1">
        <f t="array" ref="L1896">SUMPRODUCT(([1]OUT_FinalEnergyCons!$B$4:$B$10000="Var_cap")*1, (ISNUMBER(SEARCH("SCOM-SHWODBR",[1]OUT_FinalEnergyCons!$A$4:$A$10000)))*1,[1]OUT_FinalEnergyCons!J$4:J$10000)</f>
        <v>0.31821045670988862</v>
      </c>
      <c r="M1896" s="1" cm="1">
        <f t="array" ref="M1896">SUMPRODUCT(([1]OUT_FinalEnergyCons!$B$4:$B$10000="Var_cap")*1, (ISNUMBER(SEARCH("SCOM-SHWODBR",[1]OUT_FinalEnergyCons!$A$4:$A$10000)))*1,[1]OUT_FinalEnergyCons!K$4:K$10000)</f>
        <v>3.5845275365268471E-2</v>
      </c>
      <c r="N1896" s="1" cm="1">
        <f t="array" ref="N1896">SUMPRODUCT(([1]OUT_FinalEnergyCons!$B$4:$B$10000="Var_cap")*1, (ISNUMBER(SEARCH("SCOM-SHWODBR",[1]OUT_FinalEnergyCons!$A$4:$A$10000)))*1,[1]OUT_FinalEnergyCons!L$4:L$10000)</f>
        <v>3.4309636866332031E-2</v>
      </c>
      <c r="O1896" s="1" cm="1">
        <f t="array" ref="O1896">SUMPRODUCT(([1]OUT_FinalEnergyCons!$B$4:$B$10000="Var_cap")*1, (ISNUMBER(SEARCH("SCOM-SHWODBR",[1]OUT_FinalEnergyCons!$A$4:$A$10000)))*1,[1]OUT_FinalEnergyCons!M$4:M$10000)</f>
        <v>3.0149065139725456E-2</v>
      </c>
      <c r="P1896" s="1" cm="1">
        <f t="array" ref="P1896">SUMPRODUCT(([1]OUT_FinalEnergyCons!$B$4:$B$10000="Var_cap")*1, (ISNUMBER(SEARCH("SCOM-SHWODBR",[1]OUT_FinalEnergyCons!$A$4:$A$10000)))*1,[1]OUT_FinalEnergyCons!N$4:N$10000)</f>
        <v>3.0664723911476916E-2</v>
      </c>
      <c r="Q1896" s="1" cm="1">
        <f t="array" ref="Q1896">SUMPRODUCT(([1]OUT_FinalEnergyCons!$B$4:$B$10000="Var_cap")*1, (ISNUMBER(SEARCH("SCOM-SHWODBR",[1]OUT_FinalEnergyCons!$A$4:$A$10000)))*1,[1]OUT_FinalEnergyCons!O$4:O$10000)</f>
        <v>0.19510390224456856</v>
      </c>
      <c r="S1896" s="3"/>
    </row>
    <row r="1897" spans="2:19" x14ac:dyDescent="0.5">
      <c r="B1897" s="5" t="str">
        <f t="shared" ref="B1897:C1897" si="2141">B1896</f>
        <v>SPS1</v>
      </c>
      <c r="C1897" s="5" t="str">
        <f t="shared" si="2141"/>
        <v>CH</v>
      </c>
      <c r="D1897" t="s">
        <v>1912</v>
      </c>
      <c r="E1897" t="str">
        <f t="shared" si="2131"/>
        <v>GWth/yr.</v>
      </c>
      <c r="F1897" s="1">
        <f>F1898</f>
        <v>0.150512308717307</v>
      </c>
      <c r="G1897" s="1">
        <f t="shared" ref="G1897:O1897" si="2142">G1898</f>
        <v>0.17420529058280626</v>
      </c>
      <c r="H1897" s="1">
        <f t="shared" si="2142"/>
        <v>0.17420593638819593</v>
      </c>
      <c r="I1897" s="1">
        <f t="shared" si="2142"/>
        <v>0.17517062428989633</v>
      </c>
      <c r="J1897" s="1">
        <f t="shared" si="2142"/>
        <v>0.18783803061334467</v>
      </c>
      <c r="K1897" s="1">
        <f t="shared" si="2142"/>
        <v>0.20599962612343797</v>
      </c>
      <c r="L1897" s="1">
        <f t="shared" si="2142"/>
        <v>0.20522090481209854</v>
      </c>
      <c r="M1897" s="1">
        <f t="shared" si="2142"/>
        <v>0.1842018285985676</v>
      </c>
      <c r="N1897" s="1">
        <f t="shared" si="2142"/>
        <v>0.19620089724687545</v>
      </c>
      <c r="O1897" s="1">
        <f t="shared" si="2142"/>
        <v>0.18567762761377227</v>
      </c>
      <c r="P1897" s="1">
        <f>P1898</f>
        <v>0.19438347238358533</v>
      </c>
      <c r="Q1897" s="1">
        <f>Q1898</f>
        <v>0.29475754813979388</v>
      </c>
      <c r="S1897" s="3"/>
    </row>
    <row r="1898" spans="2:19" x14ac:dyDescent="0.5">
      <c r="B1898" s="5" t="str">
        <f t="shared" ref="B1898:C1898" si="2143">B1897</f>
        <v>SPS1</v>
      </c>
      <c r="C1898" s="5" t="str">
        <f t="shared" si="2143"/>
        <v>CH</v>
      </c>
      <c r="D1898" t="s">
        <v>1913</v>
      </c>
      <c r="E1898" t="str">
        <f t="shared" si="213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0.150512308717307</v>
      </c>
      <c r="G1898" s="1" cm="1">
        <f t="array" ref="G1898">SUMPRODUCT(([1]OUT_FinalEnergyCons!$B$4:$B$10000="Var_cap")*1,(ISNUMBER(SEARCH("SCOM-SHPLTBR",[1]OUT_FinalEnergyCons!$A$4:$A$10000)))*1,[1]OUT_FinalEnergyCons!E$4:E$10000)</f>
        <v>0.17420529058280626</v>
      </c>
      <c r="H1898" s="1" cm="1">
        <f t="array" ref="H1898">SUMPRODUCT(([1]OUT_FinalEnergyCons!$B$4:$B$10000="Var_cap")*1,(ISNUMBER(SEARCH("SCOM-SHPLTBR",[1]OUT_FinalEnergyCons!$A$4:$A$10000)))*1,[1]OUT_FinalEnergyCons!F$4:F$10000)</f>
        <v>0.17420593638819593</v>
      </c>
      <c r="I1898" s="1" cm="1">
        <f t="array" ref="I1898">SUMPRODUCT(([1]OUT_FinalEnergyCons!$B$4:$B$10000="Var_cap")*1,(ISNUMBER(SEARCH("SCOM-SHPLTBR",[1]OUT_FinalEnergyCons!$A$4:$A$10000)))*1,[1]OUT_FinalEnergyCons!G$4:G$10000)</f>
        <v>0.17517062428989633</v>
      </c>
      <c r="J1898" s="1" cm="1">
        <f t="array" ref="J1898">SUMPRODUCT(([1]OUT_FinalEnergyCons!$B$4:$B$10000="Var_cap")*1,(ISNUMBER(SEARCH("SCOM-SHPLTBR",[1]OUT_FinalEnergyCons!$A$4:$A$10000)))*1,[1]OUT_FinalEnergyCons!H$4:H$10000)</f>
        <v>0.18783803061334467</v>
      </c>
      <c r="K1898" s="1" cm="1">
        <f t="array" ref="K1898">SUMPRODUCT(([1]OUT_FinalEnergyCons!$B$4:$B$10000="Var_cap")*1,(ISNUMBER(SEARCH("SCOM-SHPLTBR",[1]OUT_FinalEnergyCons!$A$4:$A$10000)))*1,[1]OUT_FinalEnergyCons!I$4:I$10000)</f>
        <v>0.20599962612343797</v>
      </c>
      <c r="L1898" s="1" cm="1">
        <f t="array" ref="L1898">SUMPRODUCT(([1]OUT_FinalEnergyCons!$B$4:$B$10000="Var_cap")*1,(ISNUMBER(SEARCH("SCOM-SHPLTBR",[1]OUT_FinalEnergyCons!$A$4:$A$10000)))*1,[1]OUT_FinalEnergyCons!J$4:J$10000)</f>
        <v>0.20522090481209854</v>
      </c>
      <c r="M1898" s="1" cm="1">
        <f t="array" ref="M1898">SUMPRODUCT(([1]OUT_FinalEnergyCons!$B$4:$B$10000="Var_cap")*1,(ISNUMBER(SEARCH("SCOM-SHPLTBR",[1]OUT_FinalEnergyCons!$A$4:$A$10000)))*1,[1]OUT_FinalEnergyCons!K$4:K$10000)</f>
        <v>0.1842018285985676</v>
      </c>
      <c r="N1898" s="1" cm="1">
        <f t="array" ref="N1898">SUMPRODUCT(([1]OUT_FinalEnergyCons!$B$4:$B$10000="Var_cap")*1,(ISNUMBER(SEARCH("SCOM-SHPLTBR",[1]OUT_FinalEnergyCons!$A$4:$A$10000)))*1,[1]OUT_FinalEnergyCons!L$4:L$10000)</f>
        <v>0.19620089724687545</v>
      </c>
      <c r="O1898" s="1" cm="1">
        <f t="array" ref="O1898">SUMPRODUCT(([1]OUT_FinalEnergyCons!$B$4:$B$10000="Var_cap")*1,(ISNUMBER(SEARCH("SCOM-SHPLTBR",[1]OUT_FinalEnergyCons!$A$4:$A$10000)))*1,[1]OUT_FinalEnergyCons!M$4:M$10000)</f>
        <v>0.18567762761377227</v>
      </c>
      <c r="P1898" s="1" cm="1">
        <f t="array" ref="P1898">SUMPRODUCT(([1]OUT_FinalEnergyCons!$B$4:$B$10000="Var_cap")*1,(ISNUMBER(SEARCH("SCOM-SHPLTBR",[1]OUT_FinalEnergyCons!$A$4:$A$10000)))*1,[1]OUT_FinalEnergyCons!N$4:N$10000)</f>
        <v>0.19438347238358533</v>
      </c>
      <c r="Q1898" s="1" cm="1">
        <f t="array" ref="Q1898">SUMPRODUCT(([1]OUT_FinalEnergyCons!$B$4:$B$10000="Var_cap")*1,(ISNUMBER(SEARCH("SCOM-SHPLTBR",[1]OUT_FinalEnergyCons!$A$4:$A$10000)))*1,[1]OUT_FinalEnergyCons!O$4:O$10000)</f>
        <v>0.29475754813979388</v>
      </c>
      <c r="S1898" s="3"/>
    </row>
    <row r="1899" spans="2:19" x14ac:dyDescent="0.5">
      <c r="B1899" s="5" t="str">
        <f t="shared" ref="B1899:C1899" si="2144">B1898</f>
        <v>SPS1</v>
      </c>
      <c r="C1899" s="5" t="str">
        <f t="shared" si="2144"/>
        <v>CH</v>
      </c>
      <c r="D1899" t="s">
        <v>1914</v>
      </c>
      <c r="E1899" t="str">
        <f t="shared" si="2131"/>
        <v>GWth/yr.</v>
      </c>
      <c r="F1899" s="1">
        <f>F1900</f>
        <v>9.1072873459492359E-2</v>
      </c>
      <c r="G1899" s="1">
        <f t="shared" ref="G1899:O1899" si="2145">G1900</f>
        <v>9.9836689908595996E-2</v>
      </c>
      <c r="H1899" s="1">
        <f t="shared" si="2145"/>
        <v>9.983876071416431E-2</v>
      </c>
      <c r="I1899" s="1">
        <f t="shared" si="2145"/>
        <v>0.10008176161686634</v>
      </c>
      <c r="J1899" s="1">
        <f t="shared" si="2145"/>
        <v>0.23692983966551801</v>
      </c>
      <c r="K1899" s="1">
        <f t="shared" si="2145"/>
        <v>0.492699223905463</v>
      </c>
      <c r="L1899" s="1">
        <f t="shared" si="2145"/>
        <v>0.511600521143452</v>
      </c>
      <c r="M1899" s="1">
        <f t="shared" si="2145"/>
        <v>0.51160031539076201</v>
      </c>
      <c r="N1899" s="1">
        <f t="shared" si="2145"/>
        <v>0.51160002865087795</v>
      </c>
      <c r="O1899" s="1">
        <f t="shared" si="2145"/>
        <v>0.51160002550114403</v>
      </c>
      <c r="P1899" s="1">
        <f>P1900</f>
        <v>0.51159977307933902</v>
      </c>
      <c r="Q1899" s="1">
        <f>Q1900</f>
        <v>0.51159975130722002</v>
      </c>
      <c r="S1899" s="3"/>
    </row>
    <row r="1900" spans="2:19" x14ac:dyDescent="0.5">
      <c r="B1900" s="5" t="str">
        <f t="shared" ref="B1900:C1900" si="2146">B1899</f>
        <v>SPS1</v>
      </c>
      <c r="C1900" s="5" t="str">
        <f t="shared" si="2146"/>
        <v>CH</v>
      </c>
      <c r="D1900" t="s">
        <v>1915</v>
      </c>
      <c r="E1900" t="str">
        <f t="shared" si="213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9.1072873459492359E-2</v>
      </c>
      <c r="G1900" s="1" cm="1">
        <f t="array" ref="G1900">SUMPRODUCT(([1]OUT_FinalEnergyCons!$B$4:$B$10000="Var_cap")*1, (ISNUMBER(SEARCH("SCOM-SHSOLBR",[1]OUT_FinalEnergyCons!$A$4:$A$10000)))*1,[1]OUT_FinalEnergyCons!E$4:E$10000)</f>
        <v>9.9836689908595996E-2</v>
      </c>
      <c r="H1900" s="1" cm="1">
        <f t="array" ref="H1900">SUMPRODUCT(([1]OUT_FinalEnergyCons!$B$4:$B$10000="Var_cap")*1, (ISNUMBER(SEARCH("SCOM-SHSOLBR",[1]OUT_FinalEnergyCons!$A$4:$A$10000)))*1,[1]OUT_FinalEnergyCons!F$4:F$10000)</f>
        <v>9.983876071416431E-2</v>
      </c>
      <c r="I1900" s="1" cm="1">
        <f t="array" ref="I1900">SUMPRODUCT(([1]OUT_FinalEnergyCons!$B$4:$B$10000="Var_cap")*1, (ISNUMBER(SEARCH("SCOM-SHSOLBR",[1]OUT_FinalEnergyCons!$A$4:$A$10000)))*1,[1]OUT_FinalEnergyCons!G$4:G$10000)</f>
        <v>0.10008176161686634</v>
      </c>
      <c r="J1900" s="1" cm="1">
        <f t="array" ref="J1900">SUMPRODUCT(([1]OUT_FinalEnergyCons!$B$4:$B$10000="Var_cap")*1, (ISNUMBER(SEARCH("SCOM-SHSOLBR",[1]OUT_FinalEnergyCons!$A$4:$A$10000)))*1,[1]OUT_FinalEnergyCons!H$4:H$10000)</f>
        <v>0.23692983966551801</v>
      </c>
      <c r="K1900" s="1" cm="1">
        <f t="array" ref="K1900">SUMPRODUCT(([1]OUT_FinalEnergyCons!$B$4:$B$10000="Var_cap")*1, (ISNUMBER(SEARCH("SCOM-SHSOLBR",[1]OUT_FinalEnergyCons!$A$4:$A$10000)))*1,[1]OUT_FinalEnergyCons!I$4:I$10000)</f>
        <v>0.492699223905463</v>
      </c>
      <c r="L1900" s="1" cm="1">
        <f t="array" ref="L1900">SUMPRODUCT(([1]OUT_FinalEnergyCons!$B$4:$B$10000="Var_cap")*1, (ISNUMBER(SEARCH("SCOM-SHSOLBR",[1]OUT_FinalEnergyCons!$A$4:$A$10000)))*1,[1]OUT_FinalEnergyCons!J$4:J$10000)</f>
        <v>0.511600521143452</v>
      </c>
      <c r="M1900" s="1" cm="1">
        <f t="array" ref="M1900">SUMPRODUCT(([1]OUT_FinalEnergyCons!$B$4:$B$10000="Var_cap")*1, (ISNUMBER(SEARCH("SCOM-SHSOLBR",[1]OUT_FinalEnergyCons!$A$4:$A$10000)))*1,[1]OUT_FinalEnergyCons!K$4:K$10000)</f>
        <v>0.51160031539076201</v>
      </c>
      <c r="N1900" s="1" cm="1">
        <f t="array" ref="N1900">SUMPRODUCT(([1]OUT_FinalEnergyCons!$B$4:$B$10000="Var_cap")*1, (ISNUMBER(SEARCH("SCOM-SHSOLBR",[1]OUT_FinalEnergyCons!$A$4:$A$10000)))*1,[1]OUT_FinalEnergyCons!L$4:L$10000)</f>
        <v>0.51160002865087795</v>
      </c>
      <c r="O1900" s="1" cm="1">
        <f t="array" ref="O1900">SUMPRODUCT(([1]OUT_FinalEnergyCons!$B$4:$B$10000="Var_cap")*1, (ISNUMBER(SEARCH("SCOM-SHSOLBR",[1]OUT_FinalEnergyCons!$A$4:$A$10000)))*1,[1]OUT_FinalEnergyCons!M$4:M$10000)</f>
        <v>0.51160002550114403</v>
      </c>
      <c r="P1900" s="1" cm="1">
        <f t="array" ref="P1900">SUMPRODUCT(([1]OUT_FinalEnergyCons!$B$4:$B$10000="Var_cap")*1, (ISNUMBER(SEARCH("SCOM-SHSOLBR",[1]OUT_FinalEnergyCons!$A$4:$A$10000)))*1,[1]OUT_FinalEnergyCons!N$4:N$10000)</f>
        <v>0.51159977307933902</v>
      </c>
      <c r="Q1900" s="1" cm="1">
        <f t="array" ref="Q1900">SUMPRODUCT(([1]OUT_FinalEnergyCons!$B$4:$B$10000="Var_cap")*1, (ISNUMBER(SEARCH("SCOM-SHSOLBR",[1]OUT_FinalEnergyCons!$A$4:$A$10000)))*1,[1]OUT_FinalEnergyCons!O$4:O$10000)</f>
        <v>0.51159975130722002</v>
      </c>
      <c r="S1900" s="3"/>
    </row>
    <row r="1901" spans="2:19" x14ac:dyDescent="0.5">
      <c r="B1901" s="5" t="str">
        <f t="shared" ref="B1901:C1901" si="2147">B1900</f>
        <v>SPS1</v>
      </c>
      <c r="C1901" s="5" t="str">
        <f t="shared" si="2147"/>
        <v>CH</v>
      </c>
      <c r="D1901" t="s">
        <v>1916</v>
      </c>
      <c r="E1901" t="str">
        <f t="shared" si="2131"/>
        <v>GWth/yr.</v>
      </c>
      <c r="F1901" s="1">
        <f>F1902</f>
        <v>0</v>
      </c>
      <c r="G1901" s="1">
        <f t="shared" ref="G1901:O1901" si="2148">G1902</f>
        <v>0</v>
      </c>
      <c r="H1901" s="1">
        <f t="shared" si="2148"/>
        <v>0</v>
      </c>
      <c r="I1901" s="1">
        <f t="shared" si="2148"/>
        <v>7.6494553540878095E-5</v>
      </c>
      <c r="J1901" s="1">
        <f t="shared" si="2148"/>
        <v>7.7352238284573863E-3</v>
      </c>
      <c r="K1901" s="1">
        <f t="shared" si="2148"/>
        <v>4.8151613549602915E-2</v>
      </c>
      <c r="L1901" s="1">
        <f t="shared" si="2148"/>
        <v>0.12223302469026605</v>
      </c>
      <c r="M1901" s="1">
        <f t="shared" si="2148"/>
        <v>0.16577483470213611</v>
      </c>
      <c r="N1901" s="1">
        <f t="shared" si="2148"/>
        <v>0.13853717202318422</v>
      </c>
      <c r="O1901" s="1">
        <f t="shared" si="2148"/>
        <v>6.7718781229501632E-2</v>
      </c>
      <c r="P1901" s="1">
        <f>P1902</f>
        <v>2.0509049221667498E-2</v>
      </c>
      <c r="Q1901" s="1">
        <f>Q1902</f>
        <v>9.8747010228964465E-3</v>
      </c>
      <c r="S1901" s="3"/>
    </row>
    <row r="1902" spans="2:19" x14ac:dyDescent="0.5">
      <c r="B1902" s="5" t="str">
        <f t="shared" ref="B1902:C1902" si="2149">B1901</f>
        <v>SPS1</v>
      </c>
      <c r="C1902" s="5" t="str">
        <f t="shared" si="2149"/>
        <v>CH</v>
      </c>
      <c r="D1902" t="s">
        <v>1917</v>
      </c>
      <c r="E1902" t="str">
        <f t="shared" si="213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7.6494553540878095E-5</v>
      </c>
      <c r="J1902" s="1" cm="1">
        <f t="array" ref="J1902">SUMPRODUCT(([1]OUT_FinalEnergyCons!$B$4:$B$10000="Var_cap")*1, (ISNUMBER(SEARCH("SCOM-SHH2BR",[1]OUT_FinalEnergyCons!$A$4:$A$10000)))*1,[1]OUT_FinalEnergyCons!H$4:H$10000)</f>
        <v>7.7352238284573863E-3</v>
      </c>
      <c r="K1902" s="1" cm="1">
        <f t="array" ref="K1902">SUMPRODUCT(([1]OUT_FinalEnergyCons!$B$4:$B$10000="Var_cap")*1, (ISNUMBER(SEARCH("SCOM-SHH2BR",[1]OUT_FinalEnergyCons!$A$4:$A$10000)))*1,[1]OUT_FinalEnergyCons!I$4:I$10000)</f>
        <v>4.8151613549602915E-2</v>
      </c>
      <c r="L1902" s="1" cm="1">
        <f t="array" ref="L1902">SUMPRODUCT(([1]OUT_FinalEnergyCons!$B$4:$B$10000="Var_cap")*1, (ISNUMBER(SEARCH("SCOM-SHH2BR",[1]OUT_FinalEnergyCons!$A$4:$A$10000)))*1,[1]OUT_FinalEnergyCons!J$4:J$10000)</f>
        <v>0.12223302469026605</v>
      </c>
      <c r="M1902" s="1" cm="1">
        <f t="array" ref="M1902">SUMPRODUCT(([1]OUT_FinalEnergyCons!$B$4:$B$10000="Var_cap")*1, (ISNUMBER(SEARCH("SCOM-SHH2BR",[1]OUT_FinalEnergyCons!$A$4:$A$10000)))*1,[1]OUT_FinalEnergyCons!K$4:K$10000)</f>
        <v>0.16577483470213611</v>
      </c>
      <c r="N1902" s="1" cm="1">
        <f t="array" ref="N1902">SUMPRODUCT(([1]OUT_FinalEnergyCons!$B$4:$B$10000="Var_cap")*1, (ISNUMBER(SEARCH("SCOM-SHH2BR",[1]OUT_FinalEnergyCons!$A$4:$A$10000)))*1,[1]OUT_FinalEnergyCons!L$4:L$10000)</f>
        <v>0.13853717202318422</v>
      </c>
      <c r="O1902" s="1" cm="1">
        <f t="array" ref="O1902">SUMPRODUCT(([1]OUT_FinalEnergyCons!$B$4:$B$10000="Var_cap")*1, (ISNUMBER(SEARCH("SCOM-SHH2BR",[1]OUT_FinalEnergyCons!$A$4:$A$10000)))*1,[1]OUT_FinalEnergyCons!M$4:M$10000)</f>
        <v>6.7718781229501632E-2</v>
      </c>
      <c r="P1902" s="1" cm="1">
        <f t="array" ref="P1902">SUMPRODUCT(([1]OUT_FinalEnergyCons!$B$4:$B$10000="Var_cap")*1, (ISNUMBER(SEARCH("SCOM-SHH2BR",[1]OUT_FinalEnergyCons!$A$4:$A$10000)))*1,[1]OUT_FinalEnergyCons!N$4:N$10000)</f>
        <v>2.0509049221667498E-2</v>
      </c>
      <c r="Q1902" s="1" cm="1">
        <f t="array" ref="Q1902">SUMPRODUCT(([1]OUT_FinalEnergyCons!$B$4:$B$10000="Var_cap")*1, (ISNUMBER(SEARCH("SCOM-SHH2BR",[1]OUT_FinalEnergyCons!$A$4:$A$10000)))*1,[1]OUT_FinalEnergyCons!O$4:O$10000)</f>
        <v>9.8747010228964465E-3</v>
      </c>
      <c r="S1902" s="3"/>
    </row>
    <row r="1903" spans="2:19" x14ac:dyDescent="0.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4.6734145207377766</v>
      </c>
      <c r="G1903" s="3">
        <f t="shared" ref="G1903:K1903" si="2150">SUM(G1904:G1953)</f>
        <v>4.7776094303074981</v>
      </c>
      <c r="H1903" s="3">
        <f t="shared" si="2150"/>
        <v>4.905566814614728</v>
      </c>
      <c r="I1903" s="3">
        <f t="shared" si="2150"/>
        <v>5.2122682779336031</v>
      </c>
      <c r="J1903" s="3">
        <f t="shared" si="2150"/>
        <v>5.3800751661066357</v>
      </c>
      <c r="K1903" s="3">
        <f t="shared" si="2150"/>
        <v>5.5479952826962826</v>
      </c>
      <c r="L1903" s="3">
        <f t="shared" ref="L1903:O1903" si="2151">SUM(L1904:L1953)</f>
        <v>5.6521584641287701</v>
      </c>
      <c r="M1903" s="3">
        <f t="shared" si="2151"/>
        <v>5.7567456315078713</v>
      </c>
      <c r="N1903" s="3">
        <f t="shared" si="2151"/>
        <v>6.0533797055939544</v>
      </c>
      <c r="O1903" s="3">
        <f t="shared" si="2151"/>
        <v>6.187680715630913</v>
      </c>
      <c r="P1903" s="3">
        <f>SUM(P1904:P1953)</f>
        <v>6.3333923864725232</v>
      </c>
      <c r="Q1903" s="3">
        <f>SUM(Q1904:Q1953)</f>
        <v>6.5004755238381717</v>
      </c>
      <c r="S1903" s="3"/>
    </row>
    <row r="1904" spans="2:19" x14ac:dyDescent="0.5">
      <c r="B1904" s="5" t="str">
        <f t="shared" ref="B1904:B1953" si="2152">B1903</f>
        <v>SPS1</v>
      </c>
      <c r="C1904" s="5" t="str">
        <f t="shared" ref="C1904:C1953" si="215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4.203987817837352E-2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3.6430444771548859E-2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2.8025712870660288E-2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1.40133333333333E-2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M1904" s="1" cm="1">
        <f t="array" ref="M1904">SUMPRODUCT(("Var_Cap"=[1]OUT_TransportEnergyCons!$B$4:$B$10000)*1,("-"=[1]OUT_TransportEnergyCons!$C$4:$C$10000)*1,ISNUMBER(SEARCH("T_C*bat*ext",[1]OUT_TransportEnergyCons!$A$4:$A$10000))*1,[1]OUT_TransportEnergyCons!K$4:K$10000)</f>
        <v>0</v>
      </c>
      <c r="N1904" s="1" cm="1">
        <f t="array" ref="N1904">SUMPRODUCT(("Var_Cap"=[1]OUT_TransportEnergyCons!$B$4:$B$10000)*1,("-"=[1]OUT_TransportEnergyCons!$C$4:$C$10000)*1,ISNUMBER(SEARCH("T_C*bat*ext",[1]OUT_TransportEnergyCons!$A$4:$A$10000))*1,[1]OUT_TransportEnergyCons!L$4:L$10000)</f>
        <v>0</v>
      </c>
      <c r="O1904" s="1" cm="1">
        <f t="array" ref="O1904">SUMPRODUCT(("Var_Cap"=[1]OUT_TransportEnergyCons!$B$4:$B$10000)*1,("-"=[1]OUT_TransportEnergyCons!$C$4:$C$10000)*1,ISNUMBER(SEARCH("T_C*bat*ext",[1]OUT_TransportEnergyCons!$A$4:$A$10000))*1,[1]OUT_TransportEnergyCons!M$4:M$10000)</f>
        <v>0</v>
      </c>
      <c r="P1904" s="1" cm="1">
        <f t="array" ref="P1904">SUMPRODUCT(("Var_Cap"=[1]OUT_TransportEnergyCons!$B$4:$B$10000)*1,("-"=[1]OUT_TransportEnergyCons!$C$4:$C$10000)*1,ISNUMBER(SEARCH("T_C*bat*ext",[1]OUT_TransportEnergyCons!$A$4:$A$10000))*1,[1]OUT_TransportEnergyCons!N$4:N$10000)</f>
        <v>0</v>
      </c>
      <c r="Q1904" s="1" cm="1">
        <f t="array" ref="Q1904">SUMPRODUCT(("Var_Cap"=[1]OUT_TransportEnergyCons!$B$4:$B$10000)*1,("-"=[1]OUT_TransportEnergyCons!$C$4:$C$10000)*1,ISNUMBER(SEARCH("T_C*bat*ext",[1]OUT_TransportEnergyCons!$A$4:$A$10000))*1,[1]OUT_TransportEnergyCons!O$4:O$10000)</f>
        <v>0</v>
      </c>
      <c r="S1904" s="3"/>
    </row>
    <row r="1905" spans="2:19" x14ac:dyDescent="0.5">
      <c r="B1905" s="5" t="str">
        <f t="shared" si="2152"/>
        <v>SPS1</v>
      </c>
      <c r="C1905" s="5" t="str">
        <f t="shared" si="2153"/>
        <v>CH</v>
      </c>
      <c r="D1905" t="s">
        <v>1922</v>
      </c>
      <c r="E1905" t="str">
        <f t="shared" ref="E1905:E1953" si="215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1.5247002673674996E-3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2.8101202903711101E-3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3.7924455542158965E-3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0.14520238602349289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0.28651960526634385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0.35096208049502886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0.36592272572717677</v>
      </c>
      <c r="M1905" s="1" cm="1">
        <f t="array" ref="M1905">SUMPRODUCT(("Var_Cap"=[1]OUT_TransportEnergyCons!$B$4:$B$10000)*1,("-"=[1]OUT_TransportEnergyCons!$C$4:$C$10000)*1,ISNUMBER(SEARCH("T_C*bat*s1",[1]OUT_TransportEnergyCons!$A$4:$A$10000))*1,[1]OUT_TransportEnergyCons!K$4:K$10000)</f>
        <v>0.37177243036020463</v>
      </c>
      <c r="N1905" s="1" cm="1">
        <f t="array" ref="N1905">SUMPRODUCT(("Var_Cap"=[1]OUT_TransportEnergyCons!$B$4:$B$10000)*1,("-"=[1]OUT_TransportEnergyCons!$C$4:$C$10000)*1,ISNUMBER(SEARCH("T_C*bat*s1",[1]OUT_TransportEnergyCons!$A$4:$A$10000))*1,[1]OUT_TransportEnergyCons!L$4:L$10000)</f>
        <v>0.36955248153910858</v>
      </c>
      <c r="O1905" s="1" cm="1">
        <f t="array" ref="O1905">SUMPRODUCT(("Var_Cap"=[1]OUT_TransportEnergyCons!$B$4:$B$10000)*1,("-"=[1]OUT_TransportEnergyCons!$C$4:$C$10000)*1,ISNUMBER(SEARCH("T_C*bat*s1",[1]OUT_TransportEnergyCons!$A$4:$A$10000))*1,[1]OUT_TransportEnergyCons!M$4:M$10000)</f>
        <v>0.36905356197714073</v>
      </c>
      <c r="P1905" s="1" cm="1">
        <f t="array" ref="P1905">SUMPRODUCT(("Var_Cap"=[1]OUT_TransportEnergyCons!$B$4:$B$10000)*1,("-"=[1]OUT_TransportEnergyCons!$C$4:$C$10000)*1,ISNUMBER(SEARCH("T_C*bat*s1",[1]OUT_TransportEnergyCons!$A$4:$A$10000))*1,[1]OUT_TransportEnergyCons!N$4:N$10000)</f>
        <v>0.36796966090835698</v>
      </c>
      <c r="Q1905" s="1" cm="1">
        <f t="array" ref="Q1905">SUMPRODUCT(("Var_Cap"=[1]OUT_TransportEnergyCons!$B$4:$B$10000)*1,("-"=[1]OUT_TransportEnergyCons!$C$4:$C$10000)*1,ISNUMBER(SEARCH("T_C*bat*s1",[1]OUT_TransportEnergyCons!$A$4:$A$10000))*1,[1]OUT_TransportEnergyCons!O$4:O$10000)</f>
        <v>0.36760389481325095</v>
      </c>
      <c r="S1905" s="3"/>
    </row>
    <row r="1906" spans="2:19" x14ac:dyDescent="0.5">
      <c r="B1906" s="5" t="str">
        <f t="shared" si="2152"/>
        <v>SPS1</v>
      </c>
      <c r="C1906" s="5" t="str">
        <f t="shared" si="2153"/>
        <v>CH</v>
      </c>
      <c r="D1906" t="s">
        <v>1923</v>
      </c>
      <c r="E1906" t="str">
        <f t="shared" si="215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7.3618759246863999E-3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1.1462982898693349E-2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0.11555929633849299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0.64394266993405147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1.765434426791497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1.9226911276033807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1.9214194080894853</v>
      </c>
      <c r="M1906" s="1" cm="1">
        <f t="array" ref="M1906">SUMPRODUCT(("Var_Cap"=[1]OUT_TransportEnergyCons!$B$4:$B$10000)*1,("-"=[1]OUT_TransportEnergyCons!$C$4:$C$10000)*1,ISNUMBER(SEARCH("T_C*bat*s2",[1]OUT_TransportEnergyCons!$A$4:$A$10000))*1,[1]OUT_TransportEnergyCons!K$4:K$10000)</f>
        <v>1.9030106502164195</v>
      </c>
      <c r="N1906" s="1" cm="1">
        <f t="array" ref="N1906">SUMPRODUCT(("Var_Cap"=[1]OUT_TransportEnergyCons!$B$4:$B$10000)*1,("-"=[1]OUT_TransportEnergyCons!$C$4:$C$10000)*1,ISNUMBER(SEARCH("T_C*bat*s2",[1]OUT_TransportEnergyCons!$A$4:$A$10000))*1,[1]OUT_TransportEnergyCons!L$4:L$10000)</f>
        <v>1.8964633927867789</v>
      </c>
      <c r="O1906" s="1" cm="1">
        <f t="array" ref="O1906">SUMPRODUCT(("Var_Cap"=[1]OUT_TransportEnergyCons!$B$4:$B$10000)*1,("-"=[1]OUT_TransportEnergyCons!$C$4:$C$10000)*1,ISNUMBER(SEARCH("T_C*bat*s2",[1]OUT_TransportEnergyCons!$A$4:$A$10000))*1,[1]OUT_TransportEnergyCons!M$4:M$10000)</f>
        <v>1.8904517585816056</v>
      </c>
      <c r="P1906" s="1" cm="1">
        <f t="array" ref="P1906">SUMPRODUCT(("Var_Cap"=[1]OUT_TransportEnergyCons!$B$4:$B$10000)*1,("-"=[1]OUT_TransportEnergyCons!$C$4:$C$10000)*1,ISNUMBER(SEARCH("T_C*bat*s2",[1]OUT_TransportEnergyCons!$A$4:$A$10000))*1,[1]OUT_TransportEnergyCons!N$4:N$10000)</f>
        <v>1.8854835432942876</v>
      </c>
      <c r="Q1906" s="1" cm="1">
        <f t="array" ref="Q1906">SUMPRODUCT(("Var_Cap"=[1]OUT_TransportEnergyCons!$B$4:$B$10000)*1,("-"=[1]OUT_TransportEnergyCons!$C$4:$C$10000)*1,ISNUMBER(SEARCH("T_C*bat*s2",[1]OUT_TransportEnergyCons!$A$4:$A$10000))*1,[1]OUT_TransportEnergyCons!O$4:O$10000)</f>
        <v>1.8846899916878812</v>
      </c>
      <c r="S1906" s="3"/>
    </row>
    <row r="1907" spans="2:19" x14ac:dyDescent="0.5">
      <c r="B1907" s="5" t="str">
        <f t="shared" si="2152"/>
        <v>SPS1</v>
      </c>
      <c r="C1907" s="5" t="str">
        <f t="shared" si="2153"/>
        <v>CH</v>
      </c>
      <c r="D1907" t="s">
        <v>1924</v>
      </c>
      <c r="E1907" t="str">
        <f t="shared" si="215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4.2763327090302658E-3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8.7522391629972201E-3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9.84129160998151E-3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8.2985558068179397E-3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5.9556236901473339E-2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0.41049682726577325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0.36577219717075815</v>
      </c>
      <c r="M1907" s="1" cm="1">
        <f t="array" ref="M1907">SUMPRODUCT(("Var_Cap"=[1]OUT_TransportEnergyCons!$B$4:$B$10000)*1,("-"=[1]OUT_TransportEnergyCons!$C$4:$C$10000)*1,ISNUMBER(SEARCH("T_C*bat*s3",[1]OUT_TransportEnergyCons!$A$4:$A$10000))*1,[1]OUT_TransportEnergyCons!K$4:K$10000)</f>
        <v>0.85671115183880853</v>
      </c>
      <c r="N1907" s="1" cm="1">
        <f t="array" ref="N1907">SUMPRODUCT(("Var_Cap"=[1]OUT_TransportEnergyCons!$B$4:$B$10000)*1,("-"=[1]OUT_TransportEnergyCons!$C$4:$C$10000)*1,ISNUMBER(SEARCH("T_C*bat*s3",[1]OUT_TransportEnergyCons!$A$4:$A$10000))*1,[1]OUT_TransportEnergyCons!L$4:L$10000)</f>
        <v>0.96460871411662097</v>
      </c>
      <c r="O1907" s="1" cm="1">
        <f t="array" ref="O1907">SUMPRODUCT(("Var_Cap"=[1]OUT_TransportEnergyCons!$B$4:$B$10000)*1,("-"=[1]OUT_TransportEnergyCons!$C$4:$C$10000)*1,ISNUMBER(SEARCH("T_C*bat*s3",[1]OUT_TransportEnergyCons!$A$4:$A$10000))*1,[1]OUT_TransportEnergyCons!M$4:M$10000)</f>
        <v>1.3159927212993578</v>
      </c>
      <c r="P1907" s="1" cm="1">
        <f t="array" ref="P1907">SUMPRODUCT(("Var_Cap"=[1]OUT_TransportEnergyCons!$B$4:$B$10000)*1,("-"=[1]OUT_TransportEnergyCons!$C$4:$C$10000)*1,ISNUMBER(SEARCH("T_C*bat*s3",[1]OUT_TransportEnergyCons!$A$4:$A$10000))*1,[1]OUT_TransportEnergyCons!N$4:N$10000)</f>
        <v>2.2481795929319639</v>
      </c>
      <c r="Q1907" s="1" cm="1">
        <f t="array" ref="Q1907">SUMPRODUCT(("Var_Cap"=[1]OUT_TransportEnergyCons!$B$4:$B$10000)*1,("-"=[1]OUT_TransportEnergyCons!$C$4:$C$10000)*1,ISNUMBER(SEARCH("T_C*bat*s3",[1]OUT_TransportEnergyCons!$A$4:$A$10000))*1,[1]OUT_TransportEnergyCons!O$4:O$10000)</f>
        <v>1.9354234415187286</v>
      </c>
      <c r="S1907" s="3"/>
    </row>
    <row r="1908" spans="2:19" x14ac:dyDescent="0.5">
      <c r="B1908" s="5" t="str">
        <f t="shared" si="2152"/>
        <v>SPS1</v>
      </c>
      <c r="C1908" s="5" t="str">
        <f t="shared" si="2153"/>
        <v>CH</v>
      </c>
      <c r="D1908" t="s">
        <v>1925</v>
      </c>
      <c r="E1908" t="str">
        <f t="shared" si="215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1.5352730751566523E-2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9.9622207685650735E-2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0.26392966222510011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0.99958587034310831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1.6181508930038515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1.9366141989520551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2.125728573511326</v>
      </c>
      <c r="M1908" s="1" cm="1">
        <f t="array" ref="M1908">SUMPRODUCT(("Var_Cap"=[1]OUT_TransportEnergyCons!$B$4:$B$10000)*1,("-"=[1]OUT_TransportEnergyCons!$C$4:$C$10000)*1,ISNUMBER(SEARCH("T_C*bat*s4",[1]OUT_TransportEnergyCons!$A$4:$A$10000))*1,[1]OUT_TransportEnergyCons!K$4:K$10000)</f>
        <v>2.2509143084150103</v>
      </c>
      <c r="N1908" s="1" cm="1">
        <f t="array" ref="N1908">SUMPRODUCT(("Var_Cap"=[1]OUT_TransportEnergyCons!$B$4:$B$10000)*1,("-"=[1]OUT_TransportEnergyCons!$C$4:$C$10000)*1,ISNUMBER(SEARCH("T_C*bat*s4",[1]OUT_TransportEnergyCons!$A$4:$A$10000))*1,[1]OUT_TransportEnergyCons!L$4:L$10000)</f>
        <v>2.4201325327517895</v>
      </c>
      <c r="O1908" s="1" cm="1">
        <f t="array" ref="O1908">SUMPRODUCT(("Var_Cap"=[1]OUT_TransportEnergyCons!$B$4:$B$10000)*1,("-"=[1]OUT_TransportEnergyCons!$C$4:$C$10000)*1,ISNUMBER(SEARCH("T_C*bat*s4",[1]OUT_TransportEnergyCons!$A$4:$A$10000))*1,[1]OUT_TransportEnergyCons!M$4:M$10000)</f>
        <v>2.158933047440136</v>
      </c>
      <c r="P1908" s="1" cm="1">
        <f t="array" ref="P1908">SUMPRODUCT(("Var_Cap"=[1]OUT_TransportEnergyCons!$B$4:$B$10000)*1,("-"=[1]OUT_TransportEnergyCons!$C$4:$C$10000)*1,ISNUMBER(SEARCH("T_C*bat*s4",[1]OUT_TransportEnergyCons!$A$4:$A$10000))*1,[1]OUT_TransportEnergyCons!N$4:N$10000)</f>
        <v>1.395925819627962</v>
      </c>
      <c r="Q1908" s="1" cm="1">
        <f t="array" ref="Q1908">SUMPRODUCT(("Var_Cap"=[1]OUT_TransportEnergyCons!$B$4:$B$10000)*1,("-"=[1]OUT_TransportEnergyCons!$C$4:$C$10000)*1,ISNUMBER(SEARCH("T_C*bat*s4",[1]OUT_TransportEnergyCons!$A$4:$A$10000))*1,[1]OUT_TransportEnergyCons!O$4:O$10000)</f>
        <v>1.9242553529910231</v>
      </c>
      <c r="S1908" s="3"/>
    </row>
    <row r="1909" spans="2:19" x14ac:dyDescent="0.5">
      <c r="B1909" s="5" t="str">
        <f t="shared" si="2152"/>
        <v>SPS1</v>
      </c>
      <c r="C1909" s="5" t="str">
        <f t="shared" si="2153"/>
        <v>CH</v>
      </c>
      <c r="D1909" t="s">
        <v>1926</v>
      </c>
      <c r="E1909" t="str">
        <f t="shared" si="215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2.5987400157405879E-5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6.4610299639733808E-5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1.0461175844710642E-4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1.253119045731388E-4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1.1803275187917689E-4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6.6274751374526938E-5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6.5742835026378591E-5</v>
      </c>
      <c r="M1909" s="1" cm="1">
        <f t="array" ref="M1909">SUMPRODUCT(("Var_Cap"=[1]OUT_TransportEnergyCons!$B$4:$B$10000)*1,("-"=[1]OUT_TransportEnergyCons!$C$4:$C$10000)*1,ISNUMBER(SEARCH("T_C*pev*GSL*s1",[1]OUT_TransportEnergyCons!$A$4:$A$10000))*1,[1]OUT_TransportEnergyCons!K$4:K$10000)</f>
        <v>3.0742399932800898E-5</v>
      </c>
      <c r="N1909" s="1" cm="1">
        <f t="array" ref="N1909">SUMPRODUCT(("Var_Cap"=[1]OUT_TransportEnergyCons!$B$4:$B$10000)*1,("-"=[1]OUT_TransportEnergyCons!$C$4:$C$10000)*1,ISNUMBER(SEARCH("T_C*pev*GSL*s1",[1]OUT_TransportEnergyCons!$A$4:$A$10000))*1,[1]OUT_TransportEnergyCons!L$4:L$10000)</f>
        <v>2.6617469936191228E-4</v>
      </c>
      <c r="O1909" s="1" cm="1">
        <f t="array" ref="O1909">SUMPRODUCT(("Var_Cap"=[1]OUT_TransportEnergyCons!$B$4:$B$10000)*1,("-"=[1]OUT_TransportEnergyCons!$C$4:$C$10000)*1,ISNUMBER(SEARCH("T_C*pev*GSL*s1",[1]OUT_TransportEnergyCons!$A$4:$A$10000))*1,[1]OUT_TransportEnergyCons!M$4:M$10000)</f>
        <v>4.602178717451212E-4</v>
      </c>
      <c r="P1909" s="1" cm="1">
        <f t="array" ref="P1909">SUMPRODUCT(("Var_Cap"=[1]OUT_TransportEnergyCons!$B$4:$B$10000)*1,("-"=[1]OUT_TransportEnergyCons!$C$4:$C$10000)*1,ISNUMBER(SEARCH("T_C*pev*GSL*s1",[1]OUT_TransportEnergyCons!$A$4:$A$10000))*1,[1]OUT_TransportEnergyCons!N$4:N$10000)</f>
        <v>5.6543769261011641E-4</v>
      </c>
      <c r="Q1909" s="1" cm="1">
        <f t="array" ref="Q1909">SUMPRODUCT(("Var_Cap"=[1]OUT_TransportEnergyCons!$B$4:$B$10000)*1,("-"=[1]OUT_TransportEnergyCons!$C$4:$C$10000)*1,ISNUMBER(SEARCH("T_C*pev*GSL*s1",[1]OUT_TransportEnergyCons!$A$4:$A$10000))*1,[1]OUT_TransportEnergyCons!O$4:O$10000)</f>
        <v>7.1025724079690515E-4</v>
      </c>
      <c r="S1909" s="3"/>
    </row>
    <row r="1910" spans="2:19" x14ac:dyDescent="0.5">
      <c r="B1910" s="5" t="str">
        <f t="shared" si="2152"/>
        <v>SPS1</v>
      </c>
      <c r="C1910" s="5" t="str">
        <f t="shared" si="2153"/>
        <v>CH</v>
      </c>
      <c r="D1910" t="s">
        <v>1927</v>
      </c>
      <c r="E1910" t="str">
        <f t="shared" si="215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4.8860580135988681E-3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7.4916020798474906E-3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7.2864161974765329E-3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6.0560176655875741E-3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1.1463025876979997E-3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1.4014363819599639E-4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1.3980069505061083E-4</v>
      </c>
      <c r="M1910" s="1" cm="1">
        <f t="array" ref="M1910">SUMPRODUCT(("Var_Cap"=[1]OUT_TransportEnergyCons!$B$4:$B$10000)*1,("-"=[1]OUT_TransportEnergyCons!$C$4:$C$10000)*1,ISNUMBER(SEARCH("T_C*pev*GSL*s2",[1]OUT_TransportEnergyCons!$A$4:$A$10000))*1,[1]OUT_TransportEnergyCons!K$4:K$10000)</f>
        <v>7.8478132372174504E-5</v>
      </c>
      <c r="N1910" s="1" cm="1">
        <f t="array" ref="N1910">SUMPRODUCT(("Var_Cap"=[1]OUT_TransportEnergyCons!$B$4:$B$10000)*1,("-"=[1]OUT_TransportEnergyCons!$C$4:$C$10000)*1,ISNUMBER(SEARCH("T_C*pev*GSL*s2",[1]OUT_TransportEnergyCons!$A$4:$A$10000))*1,[1]OUT_TransportEnergyCons!L$4:L$10000)</f>
        <v>7.1266648978783457E-4</v>
      </c>
      <c r="O1910" s="1" cm="1">
        <f t="array" ref="O1910">SUMPRODUCT(("Var_Cap"=[1]OUT_TransportEnergyCons!$B$4:$B$10000)*1,("-"=[1]OUT_TransportEnergyCons!$C$4:$C$10000)*1,ISNUMBER(SEARCH("T_C*pev*GSL*s2",[1]OUT_TransportEnergyCons!$A$4:$A$10000))*1,[1]OUT_TransportEnergyCons!M$4:M$10000)</f>
        <v>7.5180073133653729E-4</v>
      </c>
      <c r="P1910" s="1" cm="1">
        <f t="array" ref="P1910">SUMPRODUCT(("Var_Cap"=[1]OUT_TransportEnergyCons!$B$4:$B$10000)*1,("-"=[1]OUT_TransportEnergyCons!$C$4:$C$10000)*1,ISNUMBER(SEARCH("T_C*pev*GSL*s2",[1]OUT_TransportEnergyCons!$A$4:$A$10000))*1,[1]OUT_TransportEnergyCons!N$4:N$10000)</f>
        <v>6.1659530317661614E-4</v>
      </c>
      <c r="Q1910" s="1" cm="1">
        <f t="array" ref="Q1910">SUMPRODUCT(("Var_Cap"=[1]OUT_TransportEnergyCons!$B$4:$B$10000)*1,("-"=[1]OUT_TransportEnergyCons!$C$4:$C$10000)*1,ISNUMBER(SEARCH("T_C*pev*GSL*s2",[1]OUT_TransportEnergyCons!$A$4:$A$10000))*1,[1]OUT_TransportEnergyCons!O$4:O$10000)</f>
        <v>2.9621845505223635E-4</v>
      </c>
      <c r="S1910" s="3"/>
    </row>
    <row r="1911" spans="2:19" x14ac:dyDescent="0.5">
      <c r="B1911" s="5" t="str">
        <f t="shared" si="2152"/>
        <v>SPS1</v>
      </c>
      <c r="C1911" s="5" t="str">
        <f t="shared" si="2153"/>
        <v>CH</v>
      </c>
      <c r="D1911" t="s">
        <v>1928</v>
      </c>
      <c r="E1911" t="str">
        <f t="shared" si="215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4.0688002768731789E-3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1.083814287713235E-2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8.2587534421117909E-2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0.24798027530498157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0.65820865324602307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0.5071958128180849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0.51032574375326101</v>
      </c>
      <c r="M1911" s="1" cm="1">
        <f t="array" ref="M1911">SUMPRODUCT(("Var_Cap"=[1]OUT_TransportEnergyCons!$B$4:$B$10000)*1,("-"=[1]OUT_TransportEnergyCons!$C$4:$C$10000)*1,ISNUMBER(SEARCH("T_C*pev*GSL*s3",[1]OUT_TransportEnergyCons!$A$4:$A$10000))*1,[1]OUT_TransportEnergyCons!K$4:K$10000)</f>
        <v>0.18756645201174699</v>
      </c>
      <c r="N1911" s="1" cm="1">
        <f t="array" ref="N1911">SUMPRODUCT(("Var_Cap"=[1]OUT_TransportEnergyCons!$B$4:$B$10000)*1,("-"=[1]OUT_TransportEnergyCons!$C$4:$C$10000)*1,ISNUMBER(SEARCH("T_C*pev*GSL*s3",[1]OUT_TransportEnergyCons!$A$4:$A$10000))*1,[1]OUT_TransportEnergyCons!L$4:L$10000)</f>
        <v>0.12113254446757139</v>
      </c>
      <c r="O1911" s="1" cm="1">
        <f t="array" ref="O1911">SUMPRODUCT(("Var_Cap"=[1]OUT_TransportEnergyCons!$B$4:$B$10000)*1,("-"=[1]OUT_TransportEnergyCons!$C$4:$C$10000)*1,ISNUMBER(SEARCH("T_C*pev*GSL*s3",[1]OUT_TransportEnergyCons!$A$4:$A$10000))*1,[1]OUT_TransportEnergyCons!M$4:M$10000)</f>
        <v>1.04237015906705E-3</v>
      </c>
      <c r="P1911" s="1" cm="1">
        <f t="array" ref="P1911">SUMPRODUCT(("Var_Cap"=[1]OUT_TransportEnergyCons!$B$4:$B$10000)*1,("-"=[1]OUT_TransportEnergyCons!$C$4:$C$10000)*1,ISNUMBER(SEARCH("T_C*pev*GSL*s3",[1]OUT_TransportEnergyCons!$A$4:$A$10000))*1,[1]OUT_TransportEnergyCons!N$4:N$10000)</f>
        <v>9.4224148669512921E-4</v>
      </c>
      <c r="Q1911" s="1" cm="1">
        <f t="array" ref="Q1911">SUMPRODUCT(("Var_Cap"=[1]OUT_TransportEnergyCons!$B$4:$B$10000)*1,("-"=[1]OUT_TransportEnergyCons!$C$4:$C$10000)*1,ISNUMBER(SEARCH("T_C*pev*GSL*s3",[1]OUT_TransportEnergyCons!$A$4:$A$10000))*1,[1]OUT_TransportEnergyCons!O$4:O$10000)</f>
        <v>5.2442854432425685E-4</v>
      </c>
      <c r="S1911" s="3"/>
    </row>
    <row r="1912" spans="2:19" x14ac:dyDescent="0.5">
      <c r="B1912" s="5" t="str">
        <f t="shared" si="2152"/>
        <v>SPS1</v>
      </c>
      <c r="C1912" s="5" t="str">
        <f t="shared" si="2153"/>
        <v>CH</v>
      </c>
      <c r="D1912" t="s">
        <v>1929</v>
      </c>
      <c r="E1912" t="str">
        <f t="shared" si="215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7.2627868635259333E-3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1.253707513122233E-2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1.2131487407216273E-2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1.0015917041278822E-2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2.2531194327466255E-3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2.880447936928701E-4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2.1639658180344753E-4</v>
      </c>
      <c r="M1912" s="1" cm="1">
        <f t="array" ref="M1912">SUMPRODUCT(("Var_Cap"=[1]OUT_TransportEnergyCons!$B$4:$B$10000)*1,("-"=[1]OUT_TransportEnergyCons!$C$4:$C$10000)*1,ISNUMBER(SEARCH("T_C*pev*GSL*s4",[1]OUT_TransportEnergyCons!$A$4:$A$10000))*1,[1]OUT_TransportEnergyCons!K$4:K$10000)</f>
        <v>1.10734648907147E-4</v>
      </c>
      <c r="N1912" s="1" cm="1">
        <f t="array" ref="N1912">SUMPRODUCT(("Var_Cap"=[1]OUT_TransportEnergyCons!$B$4:$B$10000)*1,("-"=[1]OUT_TransportEnergyCons!$C$4:$C$10000)*1,ISNUMBER(SEARCH("T_C*pev*GSL*s4",[1]OUT_TransportEnergyCons!$A$4:$A$10000))*1,[1]OUT_TransportEnergyCons!L$4:L$10000)</f>
        <v>0.10108457940576476</v>
      </c>
      <c r="O1912" s="1" cm="1">
        <f t="array" ref="O1912">SUMPRODUCT(("Var_Cap"=[1]OUT_TransportEnergyCons!$B$4:$B$10000)*1,("-"=[1]OUT_TransportEnergyCons!$C$4:$C$10000)*1,ISNUMBER(SEARCH("T_C*pev*GSL*s4",[1]OUT_TransportEnergyCons!$A$4:$A$10000))*1,[1]OUT_TransportEnergyCons!M$4:M$10000)</f>
        <v>0.27842130845886454</v>
      </c>
      <c r="P1912" s="1" cm="1">
        <f t="array" ref="P1912">SUMPRODUCT(("Var_Cap"=[1]OUT_TransportEnergyCons!$B$4:$B$10000)*1,("-"=[1]OUT_TransportEnergyCons!$C$4:$C$10000)*1,ISNUMBER(SEARCH("T_C*pev*GSL*s4",[1]OUT_TransportEnergyCons!$A$4:$A$10000))*1,[1]OUT_TransportEnergyCons!N$4:N$10000)</f>
        <v>0.26772620931881969</v>
      </c>
      <c r="Q1912" s="1" cm="1">
        <f t="array" ref="Q1912">SUMPRODUCT(("Var_Cap"=[1]OUT_TransportEnergyCons!$B$4:$B$10000)*1,("-"=[1]OUT_TransportEnergyCons!$C$4:$C$10000)*1,ISNUMBER(SEARCH("T_C*pev*GSL*s4",[1]OUT_TransportEnergyCons!$A$4:$A$10000))*1,[1]OUT_TransportEnergyCons!O$4:O$10000)</f>
        <v>0.22732616684190587</v>
      </c>
      <c r="S1912" s="3"/>
    </row>
    <row r="1913" spans="2:19" x14ac:dyDescent="0.5">
      <c r="B1913" s="5" t="str">
        <f t="shared" si="2152"/>
        <v>SPS1</v>
      </c>
      <c r="C1913" s="5" t="str">
        <f t="shared" si="2153"/>
        <v>CH</v>
      </c>
      <c r="D1913" t="s">
        <v>1930</v>
      </c>
      <c r="E1913" t="str">
        <f t="shared" si="215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4.6919270047927599E-5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8.9877452035256971E-5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1.3582391354883725E-4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1.3595479154323014E-4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7.4838713814603594E-5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2.4118680740947682E-4</v>
      </c>
      <c r="M1913" s="1" cm="1">
        <f t="array" ref="M1913">SUMPRODUCT(("Var_Cap"=[1]OUT_TransportEnergyCons!$B$4:$B$10000)*1,("-"=[1]OUT_TransportEnergyCons!$C$4:$C$10000)*1,ISNUMBER(SEARCH("T_C*pev*dsl*s1",[1]OUT_TransportEnergyCons!$A$4:$A$10000))*1,[1]OUT_TransportEnergyCons!K$4:K$10000)</f>
        <v>1.84679464419117E-4</v>
      </c>
      <c r="N1913" s="1" cm="1">
        <f t="array" ref="N1913">SUMPRODUCT(("Var_Cap"=[1]OUT_TransportEnergyCons!$B$4:$B$10000)*1,("-"=[1]OUT_TransportEnergyCons!$C$4:$C$10000)*1,ISNUMBER(SEARCH("T_C*pev*dsl*s1",[1]OUT_TransportEnergyCons!$A$4:$A$10000))*1,[1]OUT_TransportEnergyCons!L$4:L$10000)</f>
        <v>9.812495728143565E-4</v>
      </c>
      <c r="O1913" s="1" cm="1">
        <f t="array" ref="O1913">SUMPRODUCT(("Var_Cap"=[1]OUT_TransportEnergyCons!$B$4:$B$10000)*1,("-"=[1]OUT_TransportEnergyCons!$C$4:$C$10000)*1,ISNUMBER(SEARCH("T_C*pev*dsl*s1",[1]OUT_TransportEnergyCons!$A$4:$A$10000))*1,[1]OUT_TransportEnergyCons!M$4:M$10000)</f>
        <v>5.0614127039543965E-5</v>
      </c>
      <c r="P1913" s="1" cm="1">
        <f t="array" ref="P1913">SUMPRODUCT(("Var_Cap"=[1]OUT_TransportEnergyCons!$B$4:$B$10000)*1,("-"=[1]OUT_TransportEnergyCons!$C$4:$C$10000)*1,ISNUMBER(SEARCH("T_C*pev*dsl*s1",[1]OUT_TransportEnergyCons!$A$4:$A$10000))*1,[1]OUT_TransportEnergyCons!N$4:N$10000)</f>
        <v>3.033943050898501E-5</v>
      </c>
      <c r="Q1913" s="1" cm="1">
        <f t="array" ref="Q1913">SUMPRODUCT(("Var_Cap"=[1]OUT_TransportEnergyCons!$B$4:$B$10000)*1,("-"=[1]OUT_TransportEnergyCons!$C$4:$C$10000)*1,ISNUMBER(SEARCH("T_C*pev*dsl*s1",[1]OUT_TransportEnergyCons!$A$4:$A$10000))*1,[1]OUT_TransportEnergyCons!O$4:O$10000)</f>
        <v>2.9471304101128671E-5</v>
      </c>
      <c r="S1913" s="3"/>
    </row>
    <row r="1914" spans="2:19" x14ac:dyDescent="0.5">
      <c r="B1914" s="5" t="str">
        <f t="shared" si="2152"/>
        <v>SPS1</v>
      </c>
      <c r="C1914" s="5" t="str">
        <f t="shared" si="2153"/>
        <v>CH</v>
      </c>
      <c r="D1914" t="s">
        <v>1931</v>
      </c>
      <c r="E1914" t="str">
        <f t="shared" si="215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3.2336839717048862E-5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1.1845970230648002E-4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3.6121845579547228E-4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3.54486803735033E-4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2.038192628916183E-4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6.5534696553826697E-4</v>
      </c>
      <c r="M1914" s="1" cm="1">
        <f t="array" ref="M1914">SUMPRODUCT(("Var_Cap"=[1]OUT_TransportEnergyCons!$B$4:$B$10000)*1,("-"=[1]OUT_TransportEnergyCons!$C$4:$C$10000)*1,ISNUMBER(SEARCH("T_C*pev*dsl*s2",[1]OUT_TransportEnergyCons!$A$4:$A$10000))*1,[1]OUT_TransportEnergyCons!K$4:K$10000)</f>
        <v>5.27724353979636E-4</v>
      </c>
      <c r="N1914" s="1" cm="1">
        <f t="array" ref="N1914">SUMPRODUCT(("Var_Cap"=[1]OUT_TransportEnergyCons!$B$4:$B$10000)*1,("-"=[1]OUT_TransportEnergyCons!$C$4:$C$10000)*1,ISNUMBER(SEARCH("T_C*pev*dsl*s2",[1]OUT_TransportEnergyCons!$A$4:$A$10000))*1,[1]OUT_TransportEnergyCons!L$4:L$10000)</f>
        <v>3.8439975108202422E-4</v>
      </c>
      <c r="O1914" s="1" cm="1">
        <f t="array" ref="O1914">SUMPRODUCT(("Var_Cap"=[1]OUT_TransportEnergyCons!$B$4:$B$10000)*1,("-"=[1]OUT_TransportEnergyCons!$C$4:$C$10000)*1,ISNUMBER(SEARCH("T_C*pev*dsl*s2",[1]OUT_TransportEnergyCons!$A$4:$A$10000))*1,[1]OUT_TransportEnergyCons!M$4:M$10000)</f>
        <v>5.5493150277939458E-5</v>
      </c>
      <c r="P1914" s="1" cm="1">
        <f t="array" ref="P1914">SUMPRODUCT(("Var_Cap"=[1]OUT_TransportEnergyCons!$B$4:$B$10000)*1,("-"=[1]OUT_TransportEnergyCons!$C$4:$C$10000)*1,ISNUMBER(SEARCH("T_C*pev*dsl*s2",[1]OUT_TransportEnergyCons!$A$4:$A$10000))*1,[1]OUT_TransportEnergyCons!N$4:N$10000)</f>
        <v>4.8991359423581324E-5</v>
      </c>
      <c r="Q1914" s="1" cm="1">
        <f t="array" ref="Q1914">SUMPRODUCT(("Var_Cap"=[1]OUT_TransportEnergyCons!$B$4:$B$10000)*1,("-"=[1]OUT_TransportEnergyCons!$C$4:$C$10000)*1,ISNUMBER(SEARCH("T_C*pev*dsl*s2",[1]OUT_TransportEnergyCons!$A$4:$A$10000))*1,[1]OUT_TransportEnergyCons!O$4:O$10000)</f>
        <v>3.0307554188035028E-5</v>
      </c>
      <c r="S1914" s="3"/>
    </row>
    <row r="1915" spans="2:19" x14ac:dyDescent="0.5">
      <c r="B1915" s="5" t="str">
        <f t="shared" si="2152"/>
        <v>SPS1</v>
      </c>
      <c r="C1915" s="5" t="str">
        <f t="shared" si="2153"/>
        <v>CH</v>
      </c>
      <c r="D1915" t="s">
        <v>1932</v>
      </c>
      <c r="E1915" t="str">
        <f t="shared" si="215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3.2350854393064975E-2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6.7507958865128781E-2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0.37681775646493315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0.52723305737486648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0.36587139927411122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0.36048067545774876</v>
      </c>
      <c r="M1915" s="1" cm="1">
        <f t="array" ref="M1915">SUMPRODUCT(("Var_Cap"=[1]OUT_TransportEnergyCons!$B$4:$B$10000)*1,("-"=[1]OUT_TransportEnergyCons!$C$4:$C$10000)*1,ISNUMBER(SEARCH("T_C*pev*dsl*s3",[1]OUT_TransportEnergyCons!$A$4:$A$10000))*1,[1]OUT_TransportEnergyCons!K$4:K$10000)</f>
        <v>0.18487313486475901</v>
      </c>
      <c r="N1915" s="1" cm="1">
        <f t="array" ref="N1915">SUMPRODUCT(("Var_Cap"=[1]OUT_TransportEnergyCons!$B$4:$B$10000)*1,("-"=[1]OUT_TransportEnergyCons!$C$4:$C$10000)*1,ISNUMBER(SEARCH("T_C*pev*dsl*s3",[1]OUT_TransportEnergyCons!$A$4:$A$10000))*1,[1]OUT_TransportEnergyCons!L$4:L$10000)</f>
        <v>0.1186201590695158</v>
      </c>
      <c r="O1915" s="1" cm="1">
        <f t="array" ref="O1915">SUMPRODUCT(("Var_Cap"=[1]OUT_TransportEnergyCons!$B$4:$B$10000)*1,("-"=[1]OUT_TransportEnergyCons!$C$4:$C$10000)*1,ISNUMBER(SEARCH("T_C*pev*dsl*s3",[1]OUT_TransportEnergyCons!$A$4:$A$10000))*1,[1]OUT_TransportEnergyCons!M$4:M$10000)</f>
        <v>6.6006331039126359E-5</v>
      </c>
      <c r="P1915" s="1" cm="1">
        <f t="array" ref="P1915">SUMPRODUCT(("Var_Cap"=[1]OUT_TransportEnergyCons!$B$4:$B$10000)*1,("-"=[1]OUT_TransportEnergyCons!$C$4:$C$10000)*1,ISNUMBER(SEARCH("T_C*pev*dsl*s3",[1]OUT_TransportEnergyCons!$A$4:$A$10000))*1,[1]OUT_TransportEnergyCons!N$4:N$10000)</f>
        <v>5.7764361064116205E-5</v>
      </c>
      <c r="Q1915" s="1" cm="1">
        <f t="array" ref="Q1915">SUMPRODUCT(("Var_Cap"=[1]OUT_TransportEnergyCons!$B$4:$B$10000)*1,("-"=[1]OUT_TransportEnergyCons!$C$4:$C$10000)*1,ISNUMBER(SEARCH("T_C*pev*dsl*s3",[1]OUT_TransportEnergyCons!$A$4:$A$10000))*1,[1]OUT_TransportEnergyCons!O$4:O$10000)</f>
        <v>3.3653293458681656E-5</v>
      </c>
      <c r="S1915" s="3"/>
    </row>
    <row r="1916" spans="2:19" x14ac:dyDescent="0.5">
      <c r="B1916" s="5" t="str">
        <f t="shared" si="2152"/>
        <v>SPS1</v>
      </c>
      <c r="C1916" s="5" t="str">
        <f t="shared" si="2153"/>
        <v>CH</v>
      </c>
      <c r="D1916" t="s">
        <v>1933</v>
      </c>
      <c r="E1916" t="str">
        <f t="shared" si="215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2.5909291711042823E-4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8.1168724114019598E-4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9.0554712330446607E-4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2.7170449765628541E-3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1.994416393297459E-3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1.0894477798592333E-3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1.1895197270167367E-3</v>
      </c>
      <c r="M1916" s="1" cm="1">
        <f t="array" ref="M1916">SUMPRODUCT(("Var_Cap"=[1]OUT_TransportEnergyCons!$B$4:$B$10000)*1,("-"=[1]OUT_TransportEnergyCons!$C$4:$C$10000)*1,ISNUMBER(SEARCH("T_C*pev*dsl*s4",[1]OUT_TransportEnergyCons!$A$4:$A$10000))*1,[1]OUT_TransportEnergyCons!K$4:K$10000)</f>
        <v>9.6402941839506895E-4</v>
      </c>
      <c r="N1916" s="1" cm="1">
        <f t="array" ref="N1916">SUMPRODUCT(("Var_Cap"=[1]OUT_TransportEnergyCons!$B$4:$B$10000)*1,("-"=[1]OUT_TransportEnergyCons!$C$4:$C$10000)*1,ISNUMBER(SEARCH("T_C*pev*dsl*s4",[1]OUT_TransportEnergyCons!$A$4:$A$10000))*1,[1]OUT_TransportEnergyCons!L$4:L$10000)</f>
        <v>5.9439754083156132E-2</v>
      </c>
      <c r="O1916" s="1" cm="1">
        <f t="array" ref="O1916">SUMPRODUCT(("Var_Cap"=[1]OUT_TransportEnergyCons!$B$4:$B$10000)*1,("-"=[1]OUT_TransportEnergyCons!$C$4:$C$10000)*1,ISNUMBER(SEARCH("T_C*pev*dsl*s4",[1]OUT_TransportEnergyCons!$A$4:$A$10000))*1,[1]OUT_TransportEnergyCons!M$4:M$10000)</f>
        <v>0.17240080175439307</v>
      </c>
      <c r="P1916" s="1" cm="1">
        <f t="array" ref="P1916">SUMPRODUCT(("Var_Cap"=[1]OUT_TransportEnergyCons!$B$4:$B$10000)*1,("-"=[1]OUT_TransportEnergyCons!$C$4:$C$10000)*1,ISNUMBER(SEARCH("T_C*pev*dsl*s4",[1]OUT_TransportEnergyCons!$A$4:$A$10000))*1,[1]OUT_TransportEnergyCons!N$4:N$10000)</f>
        <v>0.16584523709491039</v>
      </c>
      <c r="Q1916" s="1" cm="1">
        <f t="array" ref="Q1916">SUMPRODUCT(("Var_Cap"=[1]OUT_TransportEnergyCons!$B$4:$B$10000)*1,("-"=[1]OUT_TransportEnergyCons!$C$4:$C$10000)*1,ISNUMBER(SEARCH("T_C*pev*dsl*s4",[1]OUT_TransportEnergyCons!$A$4:$A$10000))*1,[1]OUT_TransportEnergyCons!O$4:O$10000)</f>
        <v>0.15955045489197045</v>
      </c>
      <c r="S1916" s="3"/>
    </row>
    <row r="1917" spans="2:19" x14ac:dyDescent="0.5">
      <c r="B1917" s="5" t="str">
        <f t="shared" si="2152"/>
        <v>SPS1</v>
      </c>
      <c r="C1917" s="5" t="str">
        <f t="shared" si="2153"/>
        <v>CH</v>
      </c>
      <c r="D1917" t="s">
        <v>1934</v>
      </c>
      <c r="E1917" t="str">
        <f t="shared" si="215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2.74568440849417E-6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3.8855958957898198E-6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2.4661246762066965E-7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3.198280559937199E-7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3.6931861391403799E-7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3.3537548138664232E-7</v>
      </c>
      <c r="M1917" s="1" cm="1">
        <f t="array" ref="M1917">SUMPRODUCT(("Var_Cap"=[1]OUT_TransportEnergyCons!$B$4:$B$10000)*1,("-"=[1]OUT_TransportEnergyCons!$C$4:$C$10000)*1,ISNUMBER(SEARCH("T_C*h2o*s1",[1]OUT_TransportEnergyCons!$A$4:$A$10000))*1,[1]OUT_TransportEnergyCons!K$4:K$10000)</f>
        <v>3.1947073091475851E-7</v>
      </c>
      <c r="N1917" s="1" cm="1">
        <f t="array" ref="N1917">SUMPRODUCT(("Var_Cap"=[1]OUT_TransportEnergyCons!$B$4:$B$10000)*1,("-"=[1]OUT_TransportEnergyCons!$C$4:$C$10000)*1,ISNUMBER(SEARCH("T_C*h2o*s1",[1]OUT_TransportEnergyCons!$A$4:$A$10000))*1,[1]OUT_TransportEnergyCons!L$4:L$10000)</f>
        <v>2.7661453347331202E-7</v>
      </c>
      <c r="O1917" s="1" cm="1">
        <f t="array" ref="O1917">SUMPRODUCT(("Var_Cap"=[1]OUT_TransportEnergyCons!$B$4:$B$10000)*1,("-"=[1]OUT_TransportEnergyCons!$C$4:$C$10000)*1,ISNUMBER(SEARCH("T_C*h2o*s1",[1]OUT_TransportEnergyCons!$A$4:$A$10000))*1,[1]OUT_TransportEnergyCons!M$4:M$10000)</f>
        <v>2.371407975420036E-7</v>
      </c>
      <c r="P1917" s="1" cm="1">
        <f t="array" ref="P1917">SUMPRODUCT(("Var_Cap"=[1]OUT_TransportEnergyCons!$B$4:$B$10000)*1,("-"=[1]OUT_TransportEnergyCons!$C$4:$C$10000)*1,ISNUMBER(SEARCH("T_C*h2o*s1",[1]OUT_TransportEnergyCons!$A$4:$A$10000))*1,[1]OUT_TransportEnergyCons!N$4:N$10000)</f>
        <v>1.6910408324087292E-7</v>
      </c>
      <c r="Q1917" s="1" cm="1">
        <f t="array" ref="Q1917">SUMPRODUCT(("Var_Cap"=[1]OUT_TransportEnergyCons!$B$4:$B$10000)*1,("-"=[1]OUT_TransportEnergyCons!$C$4:$C$10000)*1,ISNUMBER(SEARCH("T_C*h2o*s1",[1]OUT_TransportEnergyCons!$A$4:$A$10000))*1,[1]OUT_TransportEnergyCons!O$4:O$10000)</f>
        <v>4.4756881216205398E-7</v>
      </c>
      <c r="S1917" s="3"/>
    </row>
    <row r="1918" spans="2:19" x14ac:dyDescent="0.5">
      <c r="B1918" s="5" t="str">
        <f t="shared" si="2152"/>
        <v>SPS1</v>
      </c>
      <c r="C1918" s="5" t="str">
        <f t="shared" si="2153"/>
        <v>CH</v>
      </c>
      <c r="D1918" t="s">
        <v>1935</v>
      </c>
      <c r="E1918" t="str">
        <f t="shared" si="215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6.3156241402258444E-6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7.7468341154197093E-6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8.3622860494267692E-6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3.1389487814610972E-7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2.9309159053020894E-7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2.8048083955239201E-7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2.790745520359229E-7</v>
      </c>
      <c r="M1918" s="1" cm="1">
        <f t="array" ref="M1918">SUMPRODUCT(("Var_Cap"=[1]OUT_TransportEnergyCons!$B$4:$B$10000)*1,("-"=[1]OUT_TransportEnergyCons!$C$4:$C$10000)*1,ISNUMBER(SEARCH("T_C*h2o*s2",[1]OUT_TransportEnergyCons!$A$4:$A$10000))*1,[1]OUT_TransportEnergyCons!K$4:K$10000)</f>
        <v>2.694296044701551E-7</v>
      </c>
      <c r="N1918" s="1" cm="1">
        <f t="array" ref="N1918">SUMPRODUCT(("Var_Cap"=[1]OUT_TransportEnergyCons!$B$4:$B$10000)*1,("-"=[1]OUT_TransportEnergyCons!$C$4:$C$10000)*1,ISNUMBER(SEARCH("T_C*h2o*s2",[1]OUT_TransportEnergyCons!$A$4:$A$10000))*1,[1]OUT_TransportEnergyCons!L$4:L$10000)</f>
        <v>2.654862819246166E-7</v>
      </c>
      <c r="O1918" s="1" cm="1">
        <f t="array" ref="O1918">SUMPRODUCT(("Var_Cap"=[1]OUT_TransportEnergyCons!$B$4:$B$10000)*1,("-"=[1]OUT_TransportEnergyCons!$C$4:$C$10000)*1,ISNUMBER(SEARCH("T_C*h2o*s2",[1]OUT_TransportEnergyCons!$A$4:$A$10000))*1,[1]OUT_TransportEnergyCons!M$4:M$10000)</f>
        <v>2.7038771732544801E-7</v>
      </c>
      <c r="P1918" s="1" cm="1">
        <f t="array" ref="P1918">SUMPRODUCT(("Var_Cap"=[1]OUT_TransportEnergyCons!$B$4:$B$10000)*1,("-"=[1]OUT_TransportEnergyCons!$C$4:$C$10000)*1,ISNUMBER(SEARCH("T_C*h2o*s2",[1]OUT_TransportEnergyCons!$A$4:$A$10000))*1,[1]OUT_TransportEnergyCons!N$4:N$10000)</f>
        <v>2.5331040693406656E-7</v>
      </c>
      <c r="Q1918" s="1" cm="1">
        <f t="array" ref="Q1918">SUMPRODUCT(("Var_Cap"=[1]OUT_TransportEnergyCons!$B$4:$B$10000)*1,("-"=[1]OUT_TransportEnergyCons!$C$4:$C$10000)*1,ISNUMBER(SEARCH("T_C*h2o*s2",[1]OUT_TransportEnergyCons!$A$4:$A$10000))*1,[1]OUT_TransportEnergyCons!O$4:O$10000)</f>
        <v>4.7554647263923603E-7</v>
      </c>
      <c r="S1918" s="3"/>
    </row>
    <row r="1919" spans="2:19" x14ac:dyDescent="0.5">
      <c r="B1919" s="5" t="str">
        <f t="shared" si="2152"/>
        <v>SPS1</v>
      </c>
      <c r="C1919" s="5" t="str">
        <f t="shared" si="2153"/>
        <v>CH</v>
      </c>
      <c r="D1919" t="s">
        <v>1936</v>
      </c>
      <c r="E1919" t="str">
        <f t="shared" si="215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5.3635636176964106E-5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1.0925320429332475E-4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1.045273856338449E-4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4.0928080511432507E-7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3.1047417500670919E-7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2.4388193952254508E-7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2.4676099781617081E-7</v>
      </c>
      <c r="M1919" s="1" cm="1">
        <f t="array" ref="M1919">SUMPRODUCT(("Var_Cap"=[1]OUT_TransportEnergyCons!$B$4:$B$10000)*1,("-"=[1]OUT_TransportEnergyCons!$C$4:$C$10000)*1,ISNUMBER(SEARCH("T_C*h2o*s3",[1]OUT_TransportEnergyCons!$A$4:$A$10000))*1,[1]OUT_TransportEnergyCons!K$4:K$10000)</f>
        <v>2.5921238241291651E-7</v>
      </c>
      <c r="N1919" s="1" cm="1">
        <f t="array" ref="N1919">SUMPRODUCT(("Var_Cap"=[1]OUT_TransportEnergyCons!$B$4:$B$10000)*1,("-"=[1]OUT_TransportEnergyCons!$C$4:$C$10000)*1,ISNUMBER(SEARCH("T_C*h2o*s3",[1]OUT_TransportEnergyCons!$A$4:$A$10000))*1,[1]OUT_TransportEnergyCons!L$4:L$10000)</f>
        <v>2.5211076662561607E-7</v>
      </c>
      <c r="O1919" s="1" cm="1">
        <f t="array" ref="O1919">SUMPRODUCT(("Var_Cap"=[1]OUT_TransportEnergyCons!$B$4:$B$10000)*1,("-"=[1]OUT_TransportEnergyCons!$C$4:$C$10000)*1,ISNUMBER(SEARCH("T_C*h2o*s3",[1]OUT_TransportEnergyCons!$A$4:$A$10000))*1,[1]OUT_TransportEnergyCons!M$4:M$10000)</f>
        <v>2.63932379458852E-7</v>
      </c>
      <c r="P1919" s="1" cm="1">
        <f t="array" ref="P1919">SUMPRODUCT(("Var_Cap"=[1]OUT_TransportEnergyCons!$B$4:$B$10000)*1,("-"=[1]OUT_TransportEnergyCons!$C$4:$C$10000)*1,ISNUMBER(SEARCH("T_C*h2o*s3",[1]OUT_TransportEnergyCons!$A$4:$A$10000))*1,[1]OUT_TransportEnergyCons!N$4:N$10000)</f>
        <v>2.9507445192551082E-7</v>
      </c>
      <c r="Q1919" s="1" cm="1">
        <f t="array" ref="Q1919">SUMPRODUCT(("Var_Cap"=[1]OUT_TransportEnergyCons!$B$4:$B$10000)*1,("-"=[1]OUT_TransportEnergyCons!$C$4:$C$10000)*1,ISNUMBER(SEARCH("T_C*h2o*s3",[1]OUT_TransportEnergyCons!$A$4:$A$10000))*1,[1]OUT_TransportEnergyCons!O$4:O$10000)</f>
        <v>5.0571885297546598E-7</v>
      </c>
      <c r="S1919" s="3"/>
    </row>
    <row r="1920" spans="2:19" x14ac:dyDescent="0.5">
      <c r="B1920" s="5" t="str">
        <f t="shared" si="2152"/>
        <v>SPS1</v>
      </c>
      <c r="C1920" s="5" t="str">
        <f t="shared" si="2153"/>
        <v>CH</v>
      </c>
      <c r="D1920" t="s">
        <v>1937</v>
      </c>
      <c r="E1920" t="str">
        <f t="shared" si="215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1.54369011252241E-6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2.11955596886584E-6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2.2838995910524014E-7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2.8452852873290799E-7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2.82587589070624E-7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2.8559613861965281E-7</v>
      </c>
      <c r="M1920" s="1" cm="1">
        <f t="array" ref="M1920">SUMPRODUCT(("Var_Cap"=[1]OUT_TransportEnergyCons!$B$4:$B$10000)*1,("-"=[1]OUT_TransportEnergyCons!$C$4:$C$10000)*1,ISNUMBER(SEARCH("T_C*h2o*s4",[1]OUT_TransportEnergyCons!$A$4:$A$10000))*1,[1]OUT_TransportEnergyCons!K$4:K$10000)</f>
        <v>2.6727019865063773E-7</v>
      </c>
      <c r="N1920" s="1" cm="1">
        <f t="array" ref="N1920">SUMPRODUCT(("Var_Cap"=[1]OUT_TransportEnergyCons!$B$4:$B$10000)*1,("-"=[1]OUT_TransportEnergyCons!$C$4:$C$10000)*1,ISNUMBER(SEARCH("T_C*h2o*s4",[1]OUT_TransportEnergyCons!$A$4:$A$10000))*1,[1]OUT_TransportEnergyCons!L$4:L$10000)</f>
        <v>2.6264902117003708E-7</v>
      </c>
      <c r="O1920" s="1" cm="1">
        <f t="array" ref="O1920">SUMPRODUCT(("Var_Cap"=[1]OUT_TransportEnergyCons!$B$4:$B$10000)*1,("-"=[1]OUT_TransportEnergyCons!$C$4:$C$10000)*1,ISNUMBER(SEARCH("T_C*h2o*s4",[1]OUT_TransportEnergyCons!$A$4:$A$10000))*1,[1]OUT_TransportEnergyCons!M$4:M$10000)</f>
        <v>2.4228801532942009E-7</v>
      </c>
      <c r="P1920" s="1" cm="1">
        <f t="array" ref="P1920">SUMPRODUCT(("Var_Cap"=[1]OUT_TransportEnergyCons!$B$4:$B$10000)*1,("-"=[1]OUT_TransportEnergyCons!$C$4:$C$10000)*1,ISNUMBER(SEARCH("T_C*h2o*s4",[1]OUT_TransportEnergyCons!$A$4:$A$10000))*1,[1]OUT_TransportEnergyCons!N$4:N$10000)</f>
        <v>2.3617380192348903E-7</v>
      </c>
      <c r="Q1920" s="1" cm="1">
        <f t="array" ref="Q1920">SUMPRODUCT(("Var_Cap"=[1]OUT_TransportEnergyCons!$B$4:$B$10000)*1,("-"=[1]OUT_TransportEnergyCons!$C$4:$C$10000)*1,ISNUMBER(SEARCH("T_C*h2o*s4",[1]OUT_TransportEnergyCons!$A$4:$A$10000))*1,[1]OUT_TransportEnergyCons!O$4:O$10000)</f>
        <v>4.5586735407899001E-7</v>
      </c>
      <c r="S1920" s="3"/>
    </row>
    <row r="1921" spans="2:19" x14ac:dyDescent="0.5">
      <c r="B1921" s="5" t="str">
        <f t="shared" si="2152"/>
        <v>SPS1</v>
      </c>
      <c r="C1921" s="5" t="str">
        <f t="shared" si="2153"/>
        <v>CH</v>
      </c>
      <c r="D1921" t="s">
        <v>1938</v>
      </c>
      <c r="E1921" t="str">
        <f t="shared" si="215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6.579262720832052E-2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4.38946666666667E-2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M1921" s="1" cm="1">
        <f t="array" ref="M1921">SUMPRODUCT(("Var_Cap"=[1]OUT_TransportEnergyCons!$B$4:$B$10000)*1,("-"=[1]OUT_TransportEnergyCons!$C$4:$C$10000)*1,ISNUMBER(SEARCH("T_C*hy*GSL*ext",[1]OUT_TransportEnergyCons!$A$4:$A$10000))*1,[1]OUT_TransportEnergyCons!K$4:K$10000)</f>
        <v>0</v>
      </c>
      <c r="N1921" s="1" cm="1">
        <f t="array" ref="N1921">SUMPRODUCT(("Var_Cap"=[1]OUT_TransportEnergyCons!$B$4:$B$10000)*1,("-"=[1]OUT_TransportEnergyCons!$C$4:$C$10000)*1,ISNUMBER(SEARCH("T_C*hy*GSL*ext",[1]OUT_TransportEnergyCons!$A$4:$A$10000))*1,[1]OUT_TransportEnergyCons!L$4:L$10000)</f>
        <v>0</v>
      </c>
      <c r="O1921" s="1" cm="1">
        <f t="array" ref="O1921">SUMPRODUCT(("Var_Cap"=[1]OUT_TransportEnergyCons!$B$4:$B$10000)*1,("-"=[1]OUT_TransportEnergyCons!$C$4:$C$10000)*1,ISNUMBER(SEARCH("T_C*hy*GSL*ext",[1]OUT_TransportEnergyCons!$A$4:$A$10000))*1,[1]OUT_TransportEnergyCons!M$4:M$10000)</f>
        <v>0</v>
      </c>
      <c r="P1921" s="1" cm="1">
        <f t="array" ref="P1921">SUMPRODUCT(("Var_Cap"=[1]OUT_TransportEnergyCons!$B$4:$B$10000)*1,("-"=[1]OUT_TransportEnergyCons!$C$4:$C$10000)*1,ISNUMBER(SEARCH("T_C*hy*GSL*ext",[1]OUT_TransportEnergyCons!$A$4:$A$10000))*1,[1]OUT_TransportEnergyCons!N$4:N$10000)</f>
        <v>0</v>
      </c>
      <c r="Q1921" s="1" cm="1">
        <f t="array" ref="Q1921">SUMPRODUCT(("Var_Cap"=[1]OUT_TransportEnergyCons!$B$4:$B$10000)*1,("-"=[1]OUT_TransportEnergyCons!$C$4:$C$10000)*1,ISNUMBER(SEARCH("T_C*hy*GSL*ext",[1]OUT_TransportEnergyCons!$A$4:$A$10000))*1,[1]OUT_TransportEnergyCons!O$4:O$10000)</f>
        <v>0</v>
      </c>
      <c r="S1921" s="3"/>
    </row>
    <row r="1922" spans="2:19" x14ac:dyDescent="0.5">
      <c r="B1922" s="5" t="str">
        <f t="shared" si="2152"/>
        <v>SPS1</v>
      </c>
      <c r="C1922" s="5" t="str">
        <f t="shared" si="2153"/>
        <v>CH</v>
      </c>
      <c r="D1922" t="s">
        <v>1939</v>
      </c>
      <c r="E1922" t="str">
        <f t="shared" si="215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5.6689974502690966E-3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6.7055729338251577E-3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6.9008169406556729E-3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5.6057134266969781E-3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6.4410236127766536E-4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7.4513370958666138E-5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0</v>
      </c>
      <c r="M1922" s="1" cm="1">
        <f t="array" ref="M1922">SUMPRODUCT(("Var_Cap"=[1]OUT_TransportEnergyCons!$B$4:$B$10000)*1,("-"=[1]OUT_TransportEnergyCons!$C$4:$C$10000)*1,ISNUMBER(SEARCH("T_C*hy*GSL*s1",[1]OUT_TransportEnergyCons!$A$4:$A$10000))*1,[1]OUT_TransportEnergyCons!K$4:K$10000)</f>
        <v>0</v>
      </c>
      <c r="N1922" s="1" cm="1">
        <f t="array" ref="N1922">SUMPRODUCT(("Var_Cap"=[1]OUT_TransportEnergyCons!$B$4:$B$10000)*1,("-"=[1]OUT_TransportEnergyCons!$C$4:$C$10000)*1,ISNUMBER(SEARCH("T_C*hy*GSL*s1",[1]OUT_TransportEnergyCons!$A$4:$A$10000))*1,[1]OUT_TransportEnergyCons!L$4:L$10000)</f>
        <v>0</v>
      </c>
      <c r="O1922" s="1" cm="1">
        <f t="array" ref="O1922">SUMPRODUCT(("Var_Cap"=[1]OUT_TransportEnergyCons!$B$4:$B$10000)*1,("-"=[1]OUT_TransportEnergyCons!$C$4:$C$10000)*1,ISNUMBER(SEARCH("T_C*hy*GSL*s1",[1]OUT_TransportEnergyCons!$A$4:$A$10000))*1,[1]OUT_TransportEnergyCons!M$4:M$10000)</f>
        <v>0</v>
      </c>
      <c r="P1922" s="1" cm="1">
        <f t="array" ref="P1922">SUMPRODUCT(("Var_Cap"=[1]OUT_TransportEnergyCons!$B$4:$B$10000)*1,("-"=[1]OUT_TransportEnergyCons!$C$4:$C$10000)*1,ISNUMBER(SEARCH("T_C*hy*GSL*s1",[1]OUT_TransportEnergyCons!$A$4:$A$10000))*1,[1]OUT_TransportEnergyCons!N$4:N$10000)</f>
        <v>0</v>
      </c>
      <c r="Q1922" s="1" cm="1">
        <f t="array" ref="Q1922">SUMPRODUCT(("Var_Cap"=[1]OUT_TransportEnergyCons!$B$4:$B$10000)*1,("-"=[1]OUT_TransportEnergyCons!$C$4:$C$10000)*1,ISNUMBER(SEARCH("T_C*hy*GSL*s1",[1]OUT_TransportEnergyCons!$A$4:$A$10000))*1,[1]OUT_TransportEnergyCons!O$4:O$10000)</f>
        <v>0</v>
      </c>
      <c r="S1922" s="3"/>
    </row>
    <row r="1923" spans="2:19" x14ac:dyDescent="0.5">
      <c r="B1923" s="5" t="str">
        <f t="shared" si="2152"/>
        <v>SPS1</v>
      </c>
      <c r="C1923" s="5" t="str">
        <f t="shared" si="2153"/>
        <v>CH</v>
      </c>
      <c r="D1923" t="s">
        <v>1940</v>
      </c>
      <c r="E1923" t="str">
        <f t="shared" si="215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1.722712477588647E-2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3.4226944515271529E-2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0.11236799711559486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9.624501599503614E-2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5.5022731718980658E-2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8.005016882221697E-3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0</v>
      </c>
      <c r="M1923" s="1" cm="1">
        <f t="array" ref="M1923">SUMPRODUCT(("Var_Cap"=[1]OUT_TransportEnergyCons!$B$4:$B$10000)*1,("-"=[1]OUT_TransportEnergyCons!$C$4:$C$10000)*1,ISNUMBER(SEARCH("T_C*hy*GSL*s2",[1]OUT_TransportEnergyCons!$A$4:$A$10000))*1,[1]OUT_TransportEnergyCons!K$4:K$10000)</f>
        <v>0</v>
      </c>
      <c r="N1923" s="1" cm="1">
        <f t="array" ref="N1923">SUMPRODUCT(("Var_Cap"=[1]OUT_TransportEnergyCons!$B$4:$B$10000)*1,("-"=[1]OUT_TransportEnergyCons!$C$4:$C$10000)*1,ISNUMBER(SEARCH("T_C*hy*GSL*s2",[1]OUT_TransportEnergyCons!$A$4:$A$10000))*1,[1]OUT_TransportEnergyCons!L$4:L$10000)</f>
        <v>0</v>
      </c>
      <c r="O1923" s="1" cm="1">
        <f t="array" ref="O1923">SUMPRODUCT(("Var_Cap"=[1]OUT_TransportEnergyCons!$B$4:$B$10000)*1,("-"=[1]OUT_TransportEnergyCons!$C$4:$C$10000)*1,ISNUMBER(SEARCH("T_C*hy*GSL*s2",[1]OUT_TransportEnergyCons!$A$4:$A$10000))*1,[1]OUT_TransportEnergyCons!M$4:M$10000)</f>
        <v>0</v>
      </c>
      <c r="P1923" s="1" cm="1">
        <f t="array" ref="P1923">SUMPRODUCT(("Var_Cap"=[1]OUT_TransportEnergyCons!$B$4:$B$10000)*1,("-"=[1]OUT_TransportEnergyCons!$C$4:$C$10000)*1,ISNUMBER(SEARCH("T_C*hy*GSL*s2",[1]OUT_TransportEnergyCons!$A$4:$A$10000))*1,[1]OUT_TransportEnergyCons!N$4:N$10000)</f>
        <v>0</v>
      </c>
      <c r="Q1923" s="1" cm="1">
        <f t="array" ref="Q1923">SUMPRODUCT(("Var_Cap"=[1]OUT_TransportEnergyCons!$B$4:$B$10000)*1,("-"=[1]OUT_TransportEnergyCons!$C$4:$C$10000)*1,ISNUMBER(SEARCH("T_C*hy*GSL*s2",[1]OUT_TransportEnergyCons!$A$4:$A$10000))*1,[1]OUT_TransportEnergyCons!O$4:O$10000)</f>
        <v>0</v>
      </c>
      <c r="S1923" s="3"/>
    </row>
    <row r="1924" spans="2:19" x14ac:dyDescent="0.5">
      <c r="B1924" s="5" t="str">
        <f t="shared" si="2152"/>
        <v>SPS1</v>
      </c>
      <c r="C1924" s="5" t="str">
        <f t="shared" si="2153"/>
        <v>CH</v>
      </c>
      <c r="D1924" t="s">
        <v>1941</v>
      </c>
      <c r="E1924" t="str">
        <f t="shared" si="215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1.4248862433934886E-2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0.19184140041083569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0.18132476419890917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0.14603917449532589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4.704274323406496E-2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2.0912267434607729E-5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0</v>
      </c>
      <c r="M1924" s="1" cm="1">
        <f t="array" ref="M1924">SUMPRODUCT(("Var_Cap"=[1]OUT_TransportEnergyCons!$B$4:$B$10000)*1,("-"=[1]OUT_TransportEnergyCons!$C$4:$C$10000)*1,ISNUMBER(SEARCH("T_C*hy*GSL*s3",[1]OUT_TransportEnergyCons!$A$4:$A$10000))*1,[1]OUT_TransportEnergyCons!K$4:K$10000)</f>
        <v>0</v>
      </c>
      <c r="N1924" s="1" cm="1">
        <f t="array" ref="N1924">SUMPRODUCT(("Var_Cap"=[1]OUT_TransportEnergyCons!$B$4:$B$10000)*1,("-"=[1]OUT_TransportEnergyCons!$C$4:$C$10000)*1,ISNUMBER(SEARCH("T_C*hy*GSL*s3",[1]OUT_TransportEnergyCons!$A$4:$A$10000))*1,[1]OUT_TransportEnergyCons!L$4:L$10000)</f>
        <v>0</v>
      </c>
      <c r="O1924" s="1" cm="1">
        <f t="array" ref="O1924">SUMPRODUCT(("Var_Cap"=[1]OUT_TransportEnergyCons!$B$4:$B$10000)*1,("-"=[1]OUT_TransportEnergyCons!$C$4:$C$10000)*1,ISNUMBER(SEARCH("T_C*hy*GSL*s3",[1]OUT_TransportEnergyCons!$A$4:$A$10000))*1,[1]OUT_TransportEnergyCons!M$4:M$10000)</f>
        <v>0</v>
      </c>
      <c r="P1924" s="1" cm="1">
        <f t="array" ref="P1924">SUMPRODUCT(("Var_Cap"=[1]OUT_TransportEnergyCons!$B$4:$B$10000)*1,("-"=[1]OUT_TransportEnergyCons!$C$4:$C$10000)*1,ISNUMBER(SEARCH("T_C*hy*GSL*s3",[1]OUT_TransportEnergyCons!$A$4:$A$10000))*1,[1]OUT_TransportEnergyCons!N$4:N$10000)</f>
        <v>0</v>
      </c>
      <c r="Q1924" s="1" cm="1">
        <f t="array" ref="Q1924">SUMPRODUCT(("Var_Cap"=[1]OUT_TransportEnergyCons!$B$4:$B$10000)*1,("-"=[1]OUT_TransportEnergyCons!$C$4:$C$10000)*1,ISNUMBER(SEARCH("T_C*hy*GSL*s3",[1]OUT_TransportEnergyCons!$A$4:$A$10000))*1,[1]OUT_TransportEnergyCons!O$4:O$10000)</f>
        <v>0</v>
      </c>
      <c r="S1924" s="3"/>
    </row>
    <row r="1925" spans="2:19" x14ac:dyDescent="0.5">
      <c r="B1925" s="5" t="str">
        <f t="shared" si="2152"/>
        <v>SPS1</v>
      </c>
      <c r="C1925" s="5" t="str">
        <f t="shared" si="2153"/>
        <v>CH</v>
      </c>
      <c r="D1925" t="s">
        <v>1942</v>
      </c>
      <c r="E1925" t="str">
        <f t="shared" si="215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8.3204881331993309E-3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1.4163595102087289E-2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1.3660753137751131E-2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1.1479298115060604E-2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2.0793821860290466E-3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3.3561282981677722E-5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</v>
      </c>
      <c r="M1925" s="1" cm="1">
        <f t="array" ref="M1925">SUMPRODUCT(("Var_Cap"=[1]OUT_TransportEnergyCons!$B$4:$B$10000)*1,("-"=[1]OUT_TransportEnergyCons!$C$4:$C$10000)*1,ISNUMBER(SEARCH("T_C*hy*GSL*s4",[1]OUT_TransportEnergyCons!$A$4:$A$10000))*1,[1]OUT_TransportEnergyCons!K$4:K$10000)</f>
        <v>0</v>
      </c>
      <c r="N1925" s="1" cm="1">
        <f t="array" ref="N1925">SUMPRODUCT(("Var_Cap"=[1]OUT_TransportEnergyCons!$B$4:$B$10000)*1,("-"=[1]OUT_TransportEnergyCons!$C$4:$C$10000)*1,ISNUMBER(SEARCH("T_C*hy*GSL*s4",[1]OUT_TransportEnergyCons!$A$4:$A$10000))*1,[1]OUT_TransportEnergyCons!L$4:L$10000)</f>
        <v>0</v>
      </c>
      <c r="O1925" s="1" cm="1">
        <f t="array" ref="O1925">SUMPRODUCT(("Var_Cap"=[1]OUT_TransportEnergyCons!$B$4:$B$10000)*1,("-"=[1]OUT_TransportEnergyCons!$C$4:$C$10000)*1,ISNUMBER(SEARCH("T_C*hy*GSL*s4",[1]OUT_TransportEnergyCons!$A$4:$A$10000))*1,[1]OUT_TransportEnergyCons!M$4:M$10000)</f>
        <v>0</v>
      </c>
      <c r="P1925" s="1" cm="1">
        <f t="array" ref="P1925">SUMPRODUCT(("Var_Cap"=[1]OUT_TransportEnergyCons!$B$4:$B$10000)*1,("-"=[1]OUT_TransportEnergyCons!$C$4:$C$10000)*1,ISNUMBER(SEARCH("T_C*hy*GSL*s4",[1]OUT_TransportEnergyCons!$A$4:$A$10000))*1,[1]OUT_TransportEnergyCons!N$4:N$10000)</f>
        <v>0</v>
      </c>
      <c r="Q1925" s="1" cm="1">
        <f t="array" ref="Q1925">SUMPRODUCT(("Var_Cap"=[1]OUT_TransportEnergyCons!$B$4:$B$10000)*1,("-"=[1]OUT_TransportEnergyCons!$C$4:$C$10000)*1,ISNUMBER(SEARCH("T_C*hy*GSL*s4",[1]OUT_TransportEnergyCons!$A$4:$A$10000))*1,[1]OUT_TransportEnergyCons!O$4:O$10000)</f>
        <v>0</v>
      </c>
      <c r="S1925" s="3"/>
    </row>
    <row r="1926" spans="2:19" x14ac:dyDescent="0.5">
      <c r="B1926" s="5" t="str">
        <f t="shared" si="2152"/>
        <v>SPS1</v>
      </c>
      <c r="C1926" s="5" t="str">
        <f t="shared" si="2153"/>
        <v>CH</v>
      </c>
      <c r="D1926" t="s">
        <v>1943</v>
      </c>
      <c r="E1926" t="str">
        <f t="shared" si="215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2.4922979411077097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2.1591640094146265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0.83144193181461179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M1926" s="1" cm="1">
        <f t="array" ref="M1926">SUMPRODUCT(("Var_Cap"=[1]OUT_TransportEnergyCons!$B$4:$B$10000)*1,("-"=[1]OUT_TransportEnergyCons!$C$4:$C$10000)*1,ISNUMBER(SEARCH("T_C*ICE*GSL*ext",[1]OUT_TransportEnergyCons!$A$4:$A$10000))*1,[1]OUT_TransportEnergyCons!K$4:K$10000)</f>
        <v>0</v>
      </c>
      <c r="N1926" s="1" cm="1">
        <f t="array" ref="N1926">SUMPRODUCT(("Var_Cap"=[1]OUT_TransportEnergyCons!$B$4:$B$10000)*1,("-"=[1]OUT_TransportEnergyCons!$C$4:$C$10000)*1,ISNUMBER(SEARCH("T_C*ICE*GSL*ext",[1]OUT_TransportEnergyCons!$A$4:$A$10000))*1,[1]OUT_TransportEnergyCons!L$4:L$10000)</f>
        <v>0</v>
      </c>
      <c r="O1926" s="1" cm="1">
        <f t="array" ref="O1926">SUMPRODUCT(("Var_Cap"=[1]OUT_TransportEnergyCons!$B$4:$B$10000)*1,("-"=[1]OUT_TransportEnergyCons!$C$4:$C$10000)*1,ISNUMBER(SEARCH("T_C*ICE*GSL*ext",[1]OUT_TransportEnergyCons!$A$4:$A$10000))*1,[1]OUT_TransportEnergyCons!M$4:M$10000)</f>
        <v>0</v>
      </c>
      <c r="P1926" s="1" cm="1">
        <f t="array" ref="P1926">SUMPRODUCT(("Var_Cap"=[1]OUT_TransportEnergyCons!$B$4:$B$10000)*1,("-"=[1]OUT_TransportEnergyCons!$C$4:$C$10000)*1,ISNUMBER(SEARCH("T_C*ICE*GSL*ext",[1]OUT_TransportEnergyCons!$A$4:$A$10000))*1,[1]OUT_TransportEnergyCons!N$4:N$10000)</f>
        <v>0</v>
      </c>
      <c r="Q1926" s="1" cm="1">
        <f t="array" ref="Q1926">SUMPRODUCT(("Var_Cap"=[1]OUT_TransportEnergyCons!$B$4:$B$10000)*1,("-"=[1]OUT_TransportEnergyCons!$C$4:$C$10000)*1,ISNUMBER(SEARCH("T_C*ICE*GSL*ext",[1]OUT_TransportEnergyCons!$A$4:$A$10000))*1,[1]OUT_TransportEnergyCons!O$4:O$10000)</f>
        <v>0</v>
      </c>
      <c r="S1926" s="3"/>
    </row>
    <row r="1927" spans="2:19" x14ac:dyDescent="0.5">
      <c r="B1927" s="5" t="str">
        <f t="shared" si="2152"/>
        <v>SPS1</v>
      </c>
      <c r="C1927" s="5" t="str">
        <f t="shared" si="2153"/>
        <v>CH</v>
      </c>
      <c r="D1927" t="s">
        <v>1944</v>
      </c>
      <c r="E1927" t="str">
        <f t="shared" si="215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3.6542668979334052E-2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3.9793151855044423E-2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0.12758448393765717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0.10779607390026569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5.6732033100024094E-2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8.8961712389301444E-3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0</v>
      </c>
      <c r="M1927" s="1" cm="1">
        <f t="array" ref="M1927">SUMPRODUCT(("Var_Cap"=[1]OUT_TransportEnergyCons!$B$4:$B$10000)*1,("-"=[1]OUT_TransportEnergyCons!$C$4:$C$10000)*1,ISNUMBER(SEARCH("T_C*ICE*GSL*s1",[1]OUT_TransportEnergyCons!$A$4:$A$10000))*1,[1]OUT_TransportEnergyCons!K$4:K$10000)</f>
        <v>0</v>
      </c>
      <c r="N1927" s="1" cm="1">
        <f t="array" ref="N1927">SUMPRODUCT(("Var_Cap"=[1]OUT_TransportEnergyCons!$B$4:$B$10000)*1,("-"=[1]OUT_TransportEnergyCons!$C$4:$C$10000)*1,ISNUMBER(SEARCH("T_C*ICE*GSL*s1",[1]OUT_TransportEnergyCons!$A$4:$A$10000))*1,[1]OUT_TransportEnergyCons!L$4:L$10000)</f>
        <v>0</v>
      </c>
      <c r="O1927" s="1" cm="1">
        <f t="array" ref="O1927">SUMPRODUCT(("Var_Cap"=[1]OUT_TransportEnergyCons!$B$4:$B$10000)*1,("-"=[1]OUT_TransportEnergyCons!$C$4:$C$10000)*1,ISNUMBER(SEARCH("T_C*ICE*GSL*s1",[1]OUT_TransportEnergyCons!$A$4:$A$10000))*1,[1]OUT_TransportEnergyCons!M$4:M$10000)</f>
        <v>0</v>
      </c>
      <c r="P1927" s="1" cm="1">
        <f t="array" ref="P1927">SUMPRODUCT(("Var_Cap"=[1]OUT_TransportEnergyCons!$B$4:$B$10000)*1,("-"=[1]OUT_TransportEnergyCons!$C$4:$C$10000)*1,ISNUMBER(SEARCH("T_C*ICE*GSL*s1",[1]OUT_TransportEnergyCons!$A$4:$A$10000))*1,[1]OUT_TransportEnergyCons!N$4:N$10000)</f>
        <v>0</v>
      </c>
      <c r="Q1927" s="1" cm="1">
        <f t="array" ref="Q1927">SUMPRODUCT(("Var_Cap"=[1]OUT_TransportEnergyCons!$B$4:$B$10000)*1,("-"=[1]OUT_TransportEnergyCons!$C$4:$C$10000)*1,ISNUMBER(SEARCH("T_C*ICE*GSL*s1",[1]OUT_TransportEnergyCons!$A$4:$A$10000))*1,[1]OUT_TransportEnergyCons!O$4:O$10000)</f>
        <v>0</v>
      </c>
      <c r="S1927" s="3"/>
    </row>
    <row r="1928" spans="2:19" x14ac:dyDescent="0.5">
      <c r="B1928" s="5" t="str">
        <f t="shared" si="2152"/>
        <v>SPS1</v>
      </c>
      <c r="C1928" s="5" t="str">
        <f t="shared" si="2153"/>
        <v>CH</v>
      </c>
      <c r="D1928" t="s">
        <v>1945</v>
      </c>
      <c r="E1928" t="str">
        <f t="shared" si="215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0.21743100528345616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0.2433975254244217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0.24070438071079706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0.19025989441547309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1.0695623604047775E-2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9.0920180740501399E-5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0</v>
      </c>
      <c r="M1928" s="1" cm="1">
        <f t="array" ref="M1928">SUMPRODUCT(("Var_Cap"=[1]OUT_TransportEnergyCons!$B$4:$B$10000)*1,("-"=[1]OUT_TransportEnergyCons!$C$4:$C$10000)*1,ISNUMBER(SEARCH("T_C*ICE*GSL*s2",[1]OUT_TransportEnergyCons!$A$4:$A$10000))*1,[1]OUT_TransportEnergyCons!K$4:K$10000)</f>
        <v>0</v>
      </c>
      <c r="N1928" s="1" cm="1">
        <f t="array" ref="N1928">SUMPRODUCT(("Var_Cap"=[1]OUT_TransportEnergyCons!$B$4:$B$10000)*1,("-"=[1]OUT_TransportEnergyCons!$C$4:$C$10000)*1,ISNUMBER(SEARCH("T_C*ICE*GSL*s2",[1]OUT_TransportEnergyCons!$A$4:$A$10000))*1,[1]OUT_TransportEnergyCons!L$4:L$10000)</f>
        <v>0</v>
      </c>
      <c r="O1928" s="1" cm="1">
        <f t="array" ref="O1928">SUMPRODUCT(("Var_Cap"=[1]OUT_TransportEnergyCons!$B$4:$B$10000)*1,("-"=[1]OUT_TransportEnergyCons!$C$4:$C$10000)*1,ISNUMBER(SEARCH("T_C*ICE*GSL*s2",[1]OUT_TransportEnergyCons!$A$4:$A$10000))*1,[1]OUT_TransportEnergyCons!M$4:M$10000)</f>
        <v>0</v>
      </c>
      <c r="P1928" s="1" cm="1">
        <f t="array" ref="P1928">SUMPRODUCT(("Var_Cap"=[1]OUT_TransportEnergyCons!$B$4:$B$10000)*1,("-"=[1]OUT_TransportEnergyCons!$C$4:$C$10000)*1,ISNUMBER(SEARCH("T_C*ICE*GSL*s2",[1]OUT_TransportEnergyCons!$A$4:$A$10000))*1,[1]OUT_TransportEnergyCons!N$4:N$10000)</f>
        <v>0</v>
      </c>
      <c r="Q1928" s="1" cm="1">
        <f t="array" ref="Q1928">SUMPRODUCT(("Var_Cap"=[1]OUT_TransportEnergyCons!$B$4:$B$10000)*1,("-"=[1]OUT_TransportEnergyCons!$C$4:$C$10000)*1,ISNUMBER(SEARCH("T_C*ICE*GSL*s2",[1]OUT_TransportEnergyCons!$A$4:$A$10000))*1,[1]OUT_TransportEnergyCons!O$4:O$10000)</f>
        <v>0</v>
      </c>
      <c r="S1928" s="3"/>
    </row>
    <row r="1929" spans="2:19" x14ac:dyDescent="0.5">
      <c r="B1929" s="5" t="str">
        <f t="shared" si="2152"/>
        <v>SPS1</v>
      </c>
      <c r="C1929" s="5" t="str">
        <f t="shared" si="2153"/>
        <v>CH</v>
      </c>
      <c r="D1929" t="s">
        <v>1946</v>
      </c>
      <c r="E1929" t="str">
        <f t="shared" si="215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0.18201267529018203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0.20370045000778028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0.24864046031879009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0.2051546189042745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3.9345130191411656E-2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4.839628008935142E-3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0</v>
      </c>
      <c r="M1929" s="1" cm="1">
        <f t="array" ref="M1929">SUMPRODUCT(("Var_Cap"=[1]OUT_TransportEnergyCons!$B$4:$B$10000)*1,("-"=[1]OUT_TransportEnergyCons!$C$4:$C$10000)*1,ISNUMBER(SEARCH("T_C*ICE*GSL*s3",[1]OUT_TransportEnergyCons!$A$4:$A$10000))*1,[1]OUT_TransportEnergyCons!K$4:K$10000)</f>
        <v>0</v>
      </c>
      <c r="N1929" s="1" cm="1">
        <f t="array" ref="N1929">SUMPRODUCT(("Var_Cap"=[1]OUT_TransportEnergyCons!$B$4:$B$10000)*1,("-"=[1]OUT_TransportEnergyCons!$C$4:$C$10000)*1,ISNUMBER(SEARCH("T_C*ICE*GSL*s3",[1]OUT_TransportEnergyCons!$A$4:$A$10000))*1,[1]OUT_TransportEnergyCons!L$4:L$10000)</f>
        <v>0</v>
      </c>
      <c r="O1929" s="1" cm="1">
        <f t="array" ref="O1929">SUMPRODUCT(("Var_Cap"=[1]OUT_TransportEnergyCons!$B$4:$B$10000)*1,("-"=[1]OUT_TransportEnergyCons!$C$4:$C$10000)*1,ISNUMBER(SEARCH("T_C*ICE*GSL*s3",[1]OUT_TransportEnergyCons!$A$4:$A$10000))*1,[1]OUT_TransportEnergyCons!M$4:M$10000)</f>
        <v>0</v>
      </c>
      <c r="P1929" s="1" cm="1">
        <f t="array" ref="P1929">SUMPRODUCT(("Var_Cap"=[1]OUT_TransportEnergyCons!$B$4:$B$10000)*1,("-"=[1]OUT_TransportEnergyCons!$C$4:$C$10000)*1,ISNUMBER(SEARCH("T_C*ICE*GSL*s3",[1]OUT_TransportEnergyCons!$A$4:$A$10000))*1,[1]OUT_TransportEnergyCons!N$4:N$10000)</f>
        <v>0</v>
      </c>
      <c r="Q1929" s="1" cm="1">
        <f t="array" ref="Q1929">SUMPRODUCT(("Var_Cap"=[1]OUT_TransportEnergyCons!$B$4:$B$10000)*1,("-"=[1]OUT_TransportEnergyCons!$C$4:$C$10000)*1,ISNUMBER(SEARCH("T_C*ICE*GSL*s3",[1]OUT_TransportEnergyCons!$A$4:$A$10000))*1,[1]OUT_TransportEnergyCons!O$4:O$10000)</f>
        <v>0</v>
      </c>
      <c r="S1929" s="3"/>
    </row>
    <row r="1930" spans="2:19" x14ac:dyDescent="0.5">
      <c r="B1930" s="5" t="str">
        <f t="shared" si="2152"/>
        <v>SPS1</v>
      </c>
      <c r="C1930" s="5" t="str">
        <f t="shared" si="2153"/>
        <v>CH</v>
      </c>
      <c r="D1930" t="s">
        <v>1947</v>
      </c>
      <c r="E1930" t="str">
        <f t="shared" si="215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0.15707587556307034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0.17929703234975156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0.379838600505431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0.320756782378605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0.13640322073461292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2.0476175875783525E-2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0</v>
      </c>
      <c r="M1930" s="1" cm="1">
        <f t="array" ref="M1930">SUMPRODUCT(("Var_Cap"=[1]OUT_TransportEnergyCons!$B$4:$B$10000)*1,("-"=[1]OUT_TransportEnergyCons!$C$4:$C$10000)*1,ISNUMBER(SEARCH("T_C*ICE*GSL*s4",[1]OUT_TransportEnergyCons!$A$4:$A$10000))*1,[1]OUT_TransportEnergyCons!K$4:K$10000)</f>
        <v>0</v>
      </c>
      <c r="N1930" s="1" cm="1">
        <f t="array" ref="N1930">SUMPRODUCT(("Var_Cap"=[1]OUT_TransportEnergyCons!$B$4:$B$10000)*1,("-"=[1]OUT_TransportEnergyCons!$C$4:$C$10000)*1,ISNUMBER(SEARCH("T_C*ICE*GSL*s4",[1]OUT_TransportEnergyCons!$A$4:$A$10000))*1,[1]OUT_TransportEnergyCons!L$4:L$10000)</f>
        <v>0</v>
      </c>
      <c r="O1930" s="1" cm="1">
        <f t="array" ref="O1930">SUMPRODUCT(("Var_Cap"=[1]OUT_TransportEnergyCons!$B$4:$B$10000)*1,("-"=[1]OUT_TransportEnergyCons!$C$4:$C$10000)*1,ISNUMBER(SEARCH("T_C*ICE*GSL*s4",[1]OUT_TransportEnergyCons!$A$4:$A$10000))*1,[1]OUT_TransportEnergyCons!M$4:M$10000)</f>
        <v>0</v>
      </c>
      <c r="P1930" s="1" cm="1">
        <f t="array" ref="P1930">SUMPRODUCT(("Var_Cap"=[1]OUT_TransportEnergyCons!$B$4:$B$10000)*1,("-"=[1]OUT_TransportEnergyCons!$C$4:$C$10000)*1,ISNUMBER(SEARCH("T_C*ICE*GSL*s4",[1]OUT_TransportEnergyCons!$A$4:$A$10000))*1,[1]OUT_TransportEnergyCons!N$4:N$10000)</f>
        <v>0</v>
      </c>
      <c r="Q1930" s="1" cm="1">
        <f t="array" ref="Q1930">SUMPRODUCT(("Var_Cap"=[1]OUT_TransportEnergyCons!$B$4:$B$10000)*1,("-"=[1]OUT_TransportEnergyCons!$C$4:$C$10000)*1,ISNUMBER(SEARCH("T_C*ICE*GSL*s4",[1]OUT_TransportEnergyCons!$A$4:$A$10000))*1,[1]OUT_TransportEnergyCons!O$4:O$10000)</f>
        <v>0</v>
      </c>
      <c r="S1930" s="3"/>
    </row>
    <row r="1931" spans="2:19" x14ac:dyDescent="0.5">
      <c r="B1931" s="5" t="str">
        <f t="shared" si="2152"/>
        <v>SPS1</v>
      </c>
      <c r="C1931" s="5" t="str">
        <f t="shared" si="2153"/>
        <v>CH</v>
      </c>
      <c r="D1931" t="s">
        <v>1948</v>
      </c>
      <c r="E1931" t="str">
        <f t="shared" si="215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1.9538574707558298E-5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9.5601920230375403E-5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1.2383005611669301E-4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8.7009170419337706E-5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2.7470785919239301E-5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0</v>
      </c>
      <c r="M1931" s="1" cm="1">
        <f t="array" ref="M1931">SUMPRODUCT(("Var_Cap"=[1]OUT_TransportEnergyCons!$B$4:$B$10000)*1,("-"=[1]OUT_TransportEnergyCons!$C$4:$C$10000)*1,ISNUMBER(SEARCH("T_C*mhy*GSL*s1",[1]OUT_TransportEnergyCons!$A$4:$A$10000))*1,[1]OUT_TransportEnergyCons!K$4:K$10000)</f>
        <v>0</v>
      </c>
      <c r="N1931" s="1" cm="1">
        <f t="array" ref="N1931">SUMPRODUCT(("Var_Cap"=[1]OUT_TransportEnergyCons!$B$4:$B$10000)*1,("-"=[1]OUT_TransportEnergyCons!$C$4:$C$10000)*1,ISNUMBER(SEARCH("T_C*mhy*GSL*s1",[1]OUT_TransportEnergyCons!$A$4:$A$10000))*1,[1]OUT_TransportEnergyCons!L$4:L$10000)</f>
        <v>0</v>
      </c>
      <c r="O1931" s="1" cm="1">
        <f t="array" ref="O1931">SUMPRODUCT(("Var_Cap"=[1]OUT_TransportEnergyCons!$B$4:$B$10000)*1,("-"=[1]OUT_TransportEnergyCons!$C$4:$C$10000)*1,ISNUMBER(SEARCH("T_C*mhy*GSL*s1",[1]OUT_TransportEnergyCons!$A$4:$A$10000))*1,[1]OUT_TransportEnergyCons!M$4:M$10000)</f>
        <v>0</v>
      </c>
      <c r="P1931" s="1" cm="1">
        <f t="array" ref="P1931">SUMPRODUCT(("Var_Cap"=[1]OUT_TransportEnergyCons!$B$4:$B$10000)*1,("-"=[1]OUT_TransportEnergyCons!$C$4:$C$10000)*1,ISNUMBER(SEARCH("T_C*mhy*GSL*s1",[1]OUT_TransportEnergyCons!$A$4:$A$10000))*1,[1]OUT_TransportEnergyCons!N$4:N$10000)</f>
        <v>0</v>
      </c>
      <c r="Q1931" s="1" cm="1">
        <f t="array" ref="Q1931">SUMPRODUCT(("Var_Cap"=[1]OUT_TransportEnergyCons!$B$4:$B$10000)*1,("-"=[1]OUT_TransportEnergyCons!$C$4:$C$10000)*1,ISNUMBER(SEARCH("T_C*mhy*GSL*s1",[1]OUT_TransportEnergyCons!$A$4:$A$10000))*1,[1]OUT_TransportEnergyCons!O$4:O$10000)</f>
        <v>0</v>
      </c>
      <c r="S1931" s="3"/>
    </row>
    <row r="1932" spans="2:19" x14ac:dyDescent="0.5">
      <c r="B1932" s="5" t="str">
        <f t="shared" si="2152"/>
        <v>SPS1</v>
      </c>
      <c r="C1932" s="5" t="str">
        <f t="shared" si="2153"/>
        <v>CH</v>
      </c>
      <c r="D1932" t="s">
        <v>1949</v>
      </c>
      <c r="E1932" t="str">
        <f t="shared" si="215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1.03385813385797E-5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4.8032399013969303E-5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6.8437498639736905E-5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4.8646203688980797E-5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1.6751198398812E-5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0</v>
      </c>
      <c r="M1932" s="1" cm="1">
        <f t="array" ref="M1932">SUMPRODUCT(("Var_Cap"=[1]OUT_TransportEnergyCons!$B$4:$B$10000)*1,("-"=[1]OUT_TransportEnergyCons!$C$4:$C$10000)*1,ISNUMBER(SEARCH("T_C*mhy*GSL*s2",[1]OUT_TransportEnergyCons!$A$4:$A$10000))*1,[1]OUT_TransportEnergyCons!K$4:K$10000)</f>
        <v>0</v>
      </c>
      <c r="N1932" s="1" cm="1">
        <f t="array" ref="N1932">SUMPRODUCT(("Var_Cap"=[1]OUT_TransportEnergyCons!$B$4:$B$10000)*1,("-"=[1]OUT_TransportEnergyCons!$C$4:$C$10000)*1,ISNUMBER(SEARCH("T_C*mhy*GSL*s2",[1]OUT_TransportEnergyCons!$A$4:$A$10000))*1,[1]OUT_TransportEnergyCons!L$4:L$10000)</f>
        <v>0</v>
      </c>
      <c r="O1932" s="1" cm="1">
        <f t="array" ref="O1932">SUMPRODUCT(("Var_Cap"=[1]OUT_TransportEnergyCons!$B$4:$B$10000)*1,("-"=[1]OUT_TransportEnergyCons!$C$4:$C$10000)*1,ISNUMBER(SEARCH("T_C*mhy*GSL*s2",[1]OUT_TransportEnergyCons!$A$4:$A$10000))*1,[1]OUT_TransportEnergyCons!M$4:M$10000)</f>
        <v>0</v>
      </c>
      <c r="P1932" s="1" cm="1">
        <f t="array" ref="P1932">SUMPRODUCT(("Var_Cap"=[1]OUT_TransportEnergyCons!$B$4:$B$10000)*1,("-"=[1]OUT_TransportEnergyCons!$C$4:$C$10000)*1,ISNUMBER(SEARCH("T_C*mhy*GSL*s2",[1]OUT_TransportEnergyCons!$A$4:$A$10000))*1,[1]OUT_TransportEnergyCons!N$4:N$10000)</f>
        <v>0</v>
      </c>
      <c r="Q1932" s="1" cm="1">
        <f t="array" ref="Q1932">SUMPRODUCT(("Var_Cap"=[1]OUT_TransportEnergyCons!$B$4:$B$10000)*1,("-"=[1]OUT_TransportEnergyCons!$C$4:$C$10000)*1,ISNUMBER(SEARCH("T_C*mhy*GSL*s2",[1]OUT_TransportEnergyCons!$A$4:$A$10000))*1,[1]OUT_TransportEnergyCons!O$4:O$10000)</f>
        <v>0</v>
      </c>
      <c r="S1932" s="3"/>
    </row>
    <row r="1933" spans="2:19" x14ac:dyDescent="0.5">
      <c r="B1933" s="5" t="str">
        <f t="shared" si="2152"/>
        <v>SPS1</v>
      </c>
      <c r="C1933" s="5" t="str">
        <f t="shared" si="2153"/>
        <v>CH</v>
      </c>
      <c r="D1933" t="s">
        <v>1950</v>
      </c>
      <c r="E1933" t="str">
        <f t="shared" si="215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1.18714834938695E-5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4.2495602687445203E-5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5.6015265887990598E-5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3.8602657186796797E-5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1.24850425816696E-5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0</v>
      </c>
      <c r="M1933" s="1" cm="1">
        <f t="array" ref="M1933">SUMPRODUCT(("Var_Cap"=[1]OUT_TransportEnergyCons!$B$4:$B$10000)*1,("-"=[1]OUT_TransportEnergyCons!$C$4:$C$10000)*1,ISNUMBER(SEARCH("T_C*mhy*GSL*s3",[1]OUT_TransportEnergyCons!$A$4:$A$10000))*1,[1]OUT_TransportEnergyCons!K$4:K$10000)</f>
        <v>0</v>
      </c>
      <c r="N1933" s="1" cm="1">
        <f t="array" ref="N1933">SUMPRODUCT(("Var_Cap"=[1]OUT_TransportEnergyCons!$B$4:$B$10000)*1,("-"=[1]OUT_TransportEnergyCons!$C$4:$C$10000)*1,ISNUMBER(SEARCH("T_C*mhy*GSL*s3",[1]OUT_TransportEnergyCons!$A$4:$A$10000))*1,[1]OUT_TransportEnergyCons!L$4:L$10000)</f>
        <v>0</v>
      </c>
      <c r="O1933" s="1" cm="1">
        <f t="array" ref="O1933">SUMPRODUCT(("Var_Cap"=[1]OUT_TransportEnergyCons!$B$4:$B$10000)*1,("-"=[1]OUT_TransportEnergyCons!$C$4:$C$10000)*1,ISNUMBER(SEARCH("T_C*mhy*GSL*s3",[1]OUT_TransportEnergyCons!$A$4:$A$10000))*1,[1]OUT_TransportEnergyCons!M$4:M$10000)</f>
        <v>0</v>
      </c>
      <c r="P1933" s="1" cm="1">
        <f t="array" ref="P1933">SUMPRODUCT(("Var_Cap"=[1]OUT_TransportEnergyCons!$B$4:$B$10000)*1,("-"=[1]OUT_TransportEnergyCons!$C$4:$C$10000)*1,ISNUMBER(SEARCH("T_C*mhy*GSL*s3",[1]OUT_TransportEnergyCons!$A$4:$A$10000))*1,[1]OUT_TransportEnergyCons!N$4:N$10000)</f>
        <v>0</v>
      </c>
      <c r="Q1933" s="1" cm="1">
        <f t="array" ref="Q1933">SUMPRODUCT(("Var_Cap"=[1]OUT_TransportEnergyCons!$B$4:$B$10000)*1,("-"=[1]OUT_TransportEnergyCons!$C$4:$C$10000)*1,ISNUMBER(SEARCH("T_C*mhy*GSL*s3",[1]OUT_TransportEnergyCons!$A$4:$A$10000))*1,[1]OUT_TransportEnergyCons!O$4:O$10000)</f>
        <v>0</v>
      </c>
      <c r="S1933" s="3"/>
    </row>
    <row r="1934" spans="2:19" x14ac:dyDescent="0.5">
      <c r="B1934" s="5" t="str">
        <f t="shared" si="2152"/>
        <v>SPS1</v>
      </c>
      <c r="C1934" s="5" t="str">
        <f t="shared" si="2153"/>
        <v>CH</v>
      </c>
      <c r="D1934" t="s">
        <v>1951</v>
      </c>
      <c r="E1934" t="str">
        <f t="shared" si="215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1.6253285038E-5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6.7188718164355398E-5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9.6613984362575899E-5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6.8279686201281006E-5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2.37468229988452E-5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</v>
      </c>
      <c r="M1934" s="1" cm="1">
        <f t="array" ref="M1934">SUMPRODUCT(("Var_Cap"=[1]OUT_TransportEnergyCons!$B$4:$B$10000)*1,("-"=[1]OUT_TransportEnergyCons!$C$4:$C$10000)*1,ISNUMBER(SEARCH("T_C*mhy*GSL*s4",[1]OUT_TransportEnergyCons!$A$4:$A$10000))*1,[1]OUT_TransportEnergyCons!K$4:K$10000)</f>
        <v>0</v>
      </c>
      <c r="N1934" s="1" cm="1">
        <f t="array" ref="N1934">SUMPRODUCT(("Var_Cap"=[1]OUT_TransportEnergyCons!$B$4:$B$10000)*1,("-"=[1]OUT_TransportEnergyCons!$C$4:$C$10000)*1,ISNUMBER(SEARCH("T_C*mhy*GSL*s4",[1]OUT_TransportEnergyCons!$A$4:$A$10000))*1,[1]OUT_TransportEnergyCons!L$4:L$10000)</f>
        <v>0</v>
      </c>
      <c r="O1934" s="1" cm="1">
        <f t="array" ref="O1934">SUMPRODUCT(("Var_Cap"=[1]OUT_TransportEnergyCons!$B$4:$B$10000)*1,("-"=[1]OUT_TransportEnergyCons!$C$4:$C$10000)*1,ISNUMBER(SEARCH("T_C*mhy*GSL*s4",[1]OUT_TransportEnergyCons!$A$4:$A$10000))*1,[1]OUT_TransportEnergyCons!M$4:M$10000)</f>
        <v>0</v>
      </c>
      <c r="P1934" s="1" cm="1">
        <f t="array" ref="P1934">SUMPRODUCT(("Var_Cap"=[1]OUT_TransportEnergyCons!$B$4:$B$10000)*1,("-"=[1]OUT_TransportEnergyCons!$C$4:$C$10000)*1,ISNUMBER(SEARCH("T_C*mhy*GSL*s4",[1]OUT_TransportEnergyCons!$A$4:$A$10000))*1,[1]OUT_TransportEnergyCons!N$4:N$10000)</f>
        <v>0</v>
      </c>
      <c r="Q1934" s="1" cm="1">
        <f t="array" ref="Q1934">SUMPRODUCT(("Var_Cap"=[1]OUT_TransportEnergyCons!$B$4:$B$10000)*1,("-"=[1]OUT_TransportEnergyCons!$C$4:$C$10000)*1,ISNUMBER(SEARCH("T_C*mhy*GSL*s4",[1]OUT_TransportEnergyCons!$A$4:$A$10000))*1,[1]OUT_TransportEnergyCons!O$4:O$10000)</f>
        <v>0</v>
      </c>
      <c r="S1934" s="3"/>
    </row>
    <row r="1935" spans="2:19" x14ac:dyDescent="0.5">
      <c r="B1935" s="5" t="str">
        <f t="shared" si="2152"/>
        <v>SPS1</v>
      </c>
      <c r="C1935" s="5" t="str">
        <f t="shared" si="2153"/>
        <v>CH</v>
      </c>
      <c r="D1935" t="s">
        <v>1952</v>
      </c>
      <c r="E1935" t="str">
        <f t="shared" si="215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M1935" s="1" cm="1">
        <f t="array" ref="M1935">SUMPRODUCT(("Var_Cap"=[1]OUT_TransportEnergyCons!$B$4:$B$10000)*1,("-"=[1]OUT_TransportEnergyCons!$C$4:$C$10000)*1,ISNUMBER(SEARCH("T_C*hy*dsl*ext",[1]OUT_TransportEnergyCons!$A$4:$A$10000))*1,[1]OUT_TransportEnergyCons!K$4:K$10000)</f>
        <v>0</v>
      </c>
      <c r="N1935" s="1" cm="1">
        <f t="array" ref="N1935">SUMPRODUCT(("Var_Cap"=[1]OUT_TransportEnergyCons!$B$4:$B$10000)*1,("-"=[1]OUT_TransportEnergyCons!$C$4:$C$10000)*1,ISNUMBER(SEARCH("T_C*hy*dsl*ext",[1]OUT_TransportEnergyCons!$A$4:$A$10000))*1,[1]OUT_TransportEnergyCons!L$4:L$10000)</f>
        <v>0</v>
      </c>
      <c r="O1935" s="1" cm="1">
        <f t="array" ref="O1935">SUMPRODUCT(("Var_Cap"=[1]OUT_TransportEnergyCons!$B$4:$B$10000)*1,("-"=[1]OUT_TransportEnergyCons!$C$4:$C$10000)*1,ISNUMBER(SEARCH("T_C*hy*dsl*ext",[1]OUT_TransportEnergyCons!$A$4:$A$10000))*1,[1]OUT_TransportEnergyCons!M$4:M$10000)</f>
        <v>0</v>
      </c>
      <c r="P1935" s="1" cm="1">
        <f t="array" ref="P1935">SUMPRODUCT(("Var_Cap"=[1]OUT_TransportEnergyCons!$B$4:$B$10000)*1,("-"=[1]OUT_TransportEnergyCons!$C$4:$C$10000)*1,ISNUMBER(SEARCH("T_C*hy*dsl*ext",[1]OUT_TransportEnergyCons!$A$4:$A$10000))*1,[1]OUT_TransportEnergyCons!N$4:N$10000)</f>
        <v>0</v>
      </c>
      <c r="Q1935" s="1" cm="1">
        <f t="array" ref="Q1935">SUMPRODUCT(("Var_Cap"=[1]OUT_TransportEnergyCons!$B$4:$B$10000)*1,("-"=[1]OUT_TransportEnergyCons!$C$4:$C$10000)*1,ISNUMBER(SEARCH("T_C*hy*dsl*ext",[1]OUT_TransportEnergyCons!$A$4:$A$10000))*1,[1]OUT_TransportEnergyCons!O$4:O$10000)</f>
        <v>0</v>
      </c>
      <c r="S1935" s="3"/>
    </row>
    <row r="1936" spans="2:19" x14ac:dyDescent="0.5">
      <c r="B1936" s="5" t="str">
        <f t="shared" si="2152"/>
        <v>SPS1</v>
      </c>
      <c r="C1936" s="5" t="str">
        <f t="shared" si="2153"/>
        <v>CH</v>
      </c>
      <c r="D1936" t="s">
        <v>1953</v>
      </c>
      <c r="E1936" t="str">
        <f t="shared" si="215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2.9814306045231945E-2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2.9205996830152681E-2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2.3662845784709868E-2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8.5521275463742129E-3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1.7332572485675277E-4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</v>
      </c>
      <c r="M1936" s="1" cm="1">
        <f t="array" ref="M1936">SUMPRODUCT(("Var_Cap"=[1]OUT_TransportEnergyCons!$B$4:$B$10000)*1,("-"=[1]OUT_TransportEnergyCons!$C$4:$C$10000)*1,ISNUMBER(SEARCH("T_C*hy*dsl*s1",[1]OUT_TransportEnergyCons!$A$4:$A$10000))*1,[1]OUT_TransportEnergyCons!K$4:K$10000)</f>
        <v>0</v>
      </c>
      <c r="N1936" s="1" cm="1">
        <f t="array" ref="N1936">SUMPRODUCT(("Var_Cap"=[1]OUT_TransportEnergyCons!$B$4:$B$10000)*1,("-"=[1]OUT_TransportEnergyCons!$C$4:$C$10000)*1,ISNUMBER(SEARCH("T_C*hy*dsl*s1",[1]OUT_TransportEnergyCons!$A$4:$A$10000))*1,[1]OUT_TransportEnergyCons!L$4:L$10000)</f>
        <v>0</v>
      </c>
      <c r="O1936" s="1" cm="1">
        <f t="array" ref="O1936">SUMPRODUCT(("Var_Cap"=[1]OUT_TransportEnergyCons!$B$4:$B$10000)*1,("-"=[1]OUT_TransportEnergyCons!$C$4:$C$10000)*1,ISNUMBER(SEARCH("T_C*hy*dsl*s1",[1]OUT_TransportEnergyCons!$A$4:$A$10000))*1,[1]OUT_TransportEnergyCons!M$4:M$10000)</f>
        <v>0</v>
      </c>
      <c r="P1936" s="1" cm="1">
        <f t="array" ref="P1936">SUMPRODUCT(("Var_Cap"=[1]OUT_TransportEnergyCons!$B$4:$B$10000)*1,("-"=[1]OUT_TransportEnergyCons!$C$4:$C$10000)*1,ISNUMBER(SEARCH("T_C*hy*dsl*s1",[1]OUT_TransportEnergyCons!$A$4:$A$10000))*1,[1]OUT_TransportEnergyCons!N$4:N$10000)</f>
        <v>0</v>
      </c>
      <c r="Q1936" s="1" cm="1">
        <f t="array" ref="Q1936">SUMPRODUCT(("Var_Cap"=[1]OUT_TransportEnergyCons!$B$4:$B$10000)*1,("-"=[1]OUT_TransportEnergyCons!$C$4:$C$10000)*1,ISNUMBER(SEARCH("T_C*hy*dsl*s1",[1]OUT_TransportEnergyCons!$A$4:$A$10000))*1,[1]OUT_TransportEnergyCons!O$4:O$10000)</f>
        <v>0</v>
      </c>
      <c r="S1936" s="3"/>
    </row>
    <row r="1937" spans="2:19" x14ac:dyDescent="0.5">
      <c r="B1937" s="5" t="str">
        <f t="shared" si="2152"/>
        <v>SPS1</v>
      </c>
      <c r="C1937" s="5" t="str">
        <f t="shared" si="2153"/>
        <v>CH</v>
      </c>
      <c r="D1937" t="s">
        <v>1954</v>
      </c>
      <c r="E1937" t="str">
        <f t="shared" si="215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2.5983244489738086E-4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0.11497656924169905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0.20242919825430652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0.16975330285248624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8.8821239405051683E-2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9.4600973593978697E-3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0</v>
      </c>
      <c r="M1937" s="1" cm="1">
        <f t="array" ref="M1937">SUMPRODUCT(("Var_Cap"=[1]OUT_TransportEnergyCons!$B$4:$B$10000)*1,("-"=[1]OUT_TransportEnergyCons!$C$4:$C$10000)*1,ISNUMBER(SEARCH("T_C*hy*dsl*s2",[1]OUT_TransportEnergyCons!$A$4:$A$10000))*1,[1]OUT_TransportEnergyCons!K$4:K$10000)</f>
        <v>0</v>
      </c>
      <c r="N1937" s="1" cm="1">
        <f t="array" ref="N1937">SUMPRODUCT(("Var_Cap"=[1]OUT_TransportEnergyCons!$B$4:$B$10000)*1,("-"=[1]OUT_TransportEnergyCons!$C$4:$C$10000)*1,ISNUMBER(SEARCH("T_C*hy*dsl*s2",[1]OUT_TransportEnergyCons!$A$4:$A$10000))*1,[1]OUT_TransportEnergyCons!L$4:L$10000)</f>
        <v>0</v>
      </c>
      <c r="O1937" s="1" cm="1">
        <f t="array" ref="O1937">SUMPRODUCT(("Var_Cap"=[1]OUT_TransportEnergyCons!$B$4:$B$10000)*1,("-"=[1]OUT_TransportEnergyCons!$C$4:$C$10000)*1,ISNUMBER(SEARCH("T_C*hy*dsl*s2",[1]OUT_TransportEnergyCons!$A$4:$A$10000))*1,[1]OUT_TransportEnergyCons!M$4:M$10000)</f>
        <v>0</v>
      </c>
      <c r="P1937" s="1" cm="1">
        <f t="array" ref="P1937">SUMPRODUCT(("Var_Cap"=[1]OUT_TransportEnergyCons!$B$4:$B$10000)*1,("-"=[1]OUT_TransportEnergyCons!$C$4:$C$10000)*1,ISNUMBER(SEARCH("T_C*hy*dsl*s2",[1]OUT_TransportEnergyCons!$A$4:$A$10000))*1,[1]OUT_TransportEnergyCons!N$4:N$10000)</f>
        <v>0</v>
      </c>
      <c r="Q1937" s="1" cm="1">
        <f t="array" ref="Q1937">SUMPRODUCT(("Var_Cap"=[1]OUT_TransportEnergyCons!$B$4:$B$10000)*1,("-"=[1]OUT_TransportEnergyCons!$C$4:$C$10000)*1,ISNUMBER(SEARCH("T_C*hy*dsl*s2",[1]OUT_TransportEnergyCons!$A$4:$A$10000))*1,[1]OUT_TransportEnergyCons!O$4:O$10000)</f>
        <v>0</v>
      </c>
      <c r="S1937" s="3"/>
    </row>
    <row r="1938" spans="2:19" x14ac:dyDescent="0.5">
      <c r="B1938" s="5" t="str">
        <f t="shared" si="2152"/>
        <v>SPS1</v>
      </c>
      <c r="C1938" s="5" t="str">
        <f t="shared" si="2153"/>
        <v>CH</v>
      </c>
      <c r="D1938" t="s">
        <v>1955</v>
      </c>
      <c r="E1938" t="str">
        <f t="shared" si="215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1.8564224216438771E-3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3.7495035441478695E-3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3.6180432015680214E-3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2.9039639225444782E-3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6.811364416675627E-4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1.7957705161264617E-5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0</v>
      </c>
      <c r="M1938" s="1" cm="1">
        <f t="array" ref="M1938">SUMPRODUCT(("Var_Cap"=[1]OUT_TransportEnergyCons!$B$4:$B$10000)*1,("-"=[1]OUT_TransportEnergyCons!$C$4:$C$10000)*1,ISNUMBER(SEARCH("T_C*hy*dsl*s3",[1]OUT_TransportEnergyCons!$A$4:$A$10000))*1,[1]OUT_TransportEnergyCons!K$4:K$10000)</f>
        <v>0</v>
      </c>
      <c r="N1938" s="1" cm="1">
        <f t="array" ref="N1938">SUMPRODUCT(("Var_Cap"=[1]OUT_TransportEnergyCons!$B$4:$B$10000)*1,("-"=[1]OUT_TransportEnergyCons!$C$4:$C$10000)*1,ISNUMBER(SEARCH("T_C*hy*dsl*s3",[1]OUT_TransportEnergyCons!$A$4:$A$10000))*1,[1]OUT_TransportEnergyCons!L$4:L$10000)</f>
        <v>0</v>
      </c>
      <c r="O1938" s="1" cm="1">
        <f t="array" ref="O1938">SUMPRODUCT(("Var_Cap"=[1]OUT_TransportEnergyCons!$B$4:$B$10000)*1,("-"=[1]OUT_TransportEnergyCons!$C$4:$C$10000)*1,ISNUMBER(SEARCH("T_C*hy*dsl*s3",[1]OUT_TransportEnergyCons!$A$4:$A$10000))*1,[1]OUT_TransportEnergyCons!M$4:M$10000)</f>
        <v>0</v>
      </c>
      <c r="P1938" s="1" cm="1">
        <f t="array" ref="P1938">SUMPRODUCT(("Var_Cap"=[1]OUT_TransportEnergyCons!$B$4:$B$10000)*1,("-"=[1]OUT_TransportEnergyCons!$C$4:$C$10000)*1,ISNUMBER(SEARCH("T_C*hy*dsl*s3",[1]OUT_TransportEnergyCons!$A$4:$A$10000))*1,[1]OUT_TransportEnergyCons!N$4:N$10000)</f>
        <v>0</v>
      </c>
      <c r="Q1938" s="1" cm="1">
        <f t="array" ref="Q1938">SUMPRODUCT(("Var_Cap"=[1]OUT_TransportEnergyCons!$B$4:$B$10000)*1,("-"=[1]OUT_TransportEnergyCons!$C$4:$C$10000)*1,ISNUMBER(SEARCH("T_C*hy*dsl*s3",[1]OUT_TransportEnergyCons!$A$4:$A$10000))*1,[1]OUT_TransportEnergyCons!O$4:O$10000)</f>
        <v>0</v>
      </c>
      <c r="S1938" s="3"/>
    </row>
    <row r="1939" spans="2:19" x14ac:dyDescent="0.5">
      <c r="B1939" s="5" t="str">
        <f t="shared" si="2152"/>
        <v>SPS1</v>
      </c>
      <c r="C1939" s="5" t="str">
        <f t="shared" si="2153"/>
        <v>CH</v>
      </c>
      <c r="D1939" t="s">
        <v>1956</v>
      </c>
      <c r="E1939" t="str">
        <f t="shared" si="215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3.7729585947715071E-3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8.849018140083079E-3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8.4787328445112033E-3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7.1312203350023407E-3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1.5978785283075078E-3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1.6874130461414093E-5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0</v>
      </c>
      <c r="M1939" s="1" cm="1">
        <f t="array" ref="M1939">SUMPRODUCT(("Var_Cap"=[1]OUT_TransportEnergyCons!$B$4:$B$10000)*1,("-"=[1]OUT_TransportEnergyCons!$C$4:$C$10000)*1,ISNUMBER(SEARCH("T_C*hy*dsl*s4",[1]OUT_TransportEnergyCons!$A$4:$A$10000))*1,[1]OUT_TransportEnergyCons!K$4:K$10000)</f>
        <v>0</v>
      </c>
      <c r="N1939" s="1" cm="1">
        <f t="array" ref="N1939">SUMPRODUCT(("Var_Cap"=[1]OUT_TransportEnergyCons!$B$4:$B$10000)*1,("-"=[1]OUT_TransportEnergyCons!$C$4:$C$10000)*1,ISNUMBER(SEARCH("T_C*hy*dsl*s4",[1]OUT_TransportEnergyCons!$A$4:$A$10000))*1,[1]OUT_TransportEnergyCons!L$4:L$10000)</f>
        <v>0</v>
      </c>
      <c r="O1939" s="1" cm="1">
        <f t="array" ref="O1939">SUMPRODUCT(("Var_Cap"=[1]OUT_TransportEnergyCons!$B$4:$B$10000)*1,("-"=[1]OUT_TransportEnergyCons!$C$4:$C$10000)*1,ISNUMBER(SEARCH("T_C*hy*dsl*s4",[1]OUT_TransportEnergyCons!$A$4:$A$10000))*1,[1]OUT_TransportEnergyCons!M$4:M$10000)</f>
        <v>0</v>
      </c>
      <c r="P1939" s="1" cm="1">
        <f t="array" ref="P1939">SUMPRODUCT(("Var_Cap"=[1]OUT_TransportEnergyCons!$B$4:$B$10000)*1,("-"=[1]OUT_TransportEnergyCons!$C$4:$C$10000)*1,ISNUMBER(SEARCH("T_C*hy*dsl*s4",[1]OUT_TransportEnergyCons!$A$4:$A$10000))*1,[1]OUT_TransportEnergyCons!N$4:N$10000)</f>
        <v>0</v>
      </c>
      <c r="Q1939" s="1" cm="1">
        <f t="array" ref="Q1939">SUMPRODUCT(("Var_Cap"=[1]OUT_TransportEnergyCons!$B$4:$B$10000)*1,("-"=[1]OUT_TransportEnergyCons!$C$4:$C$10000)*1,ISNUMBER(SEARCH("T_C*hy*dsl*s4",[1]OUT_TransportEnergyCons!$A$4:$A$10000))*1,[1]OUT_TransportEnergyCons!O$4:O$10000)</f>
        <v>0</v>
      </c>
      <c r="S1939" s="3"/>
    </row>
    <row r="1940" spans="2:19" x14ac:dyDescent="0.5">
      <c r="B1940" s="5" t="str">
        <f t="shared" si="2152"/>
        <v>SPS1</v>
      </c>
      <c r="C1940" s="5" t="str">
        <f t="shared" si="2153"/>
        <v>CH</v>
      </c>
      <c r="D1940" t="s">
        <v>1957</v>
      </c>
      <c r="E1940" t="str">
        <f t="shared" si="215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1.0585578254090504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0.70637198267456069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0.35318597992320178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M1940" s="1" cm="1">
        <f t="array" ref="M1940">SUMPRODUCT(("Var_Cap"=[1]OUT_TransportEnergyCons!$B$4:$B$10000)*1,("-"=[1]OUT_TransportEnergyCons!$C$4:$C$10000)*1,ISNUMBER(SEARCH("T_C*ICE*dsl*ext",[1]OUT_TransportEnergyCons!$A$4:$A$10000))*1,[1]OUT_TransportEnergyCons!K$4:K$10000)</f>
        <v>0</v>
      </c>
      <c r="N1940" s="1" cm="1">
        <f t="array" ref="N1940">SUMPRODUCT(("Var_Cap"=[1]OUT_TransportEnergyCons!$B$4:$B$10000)*1,("-"=[1]OUT_TransportEnergyCons!$C$4:$C$10000)*1,ISNUMBER(SEARCH("T_C*ICE*dsl*ext",[1]OUT_TransportEnergyCons!$A$4:$A$10000))*1,[1]OUT_TransportEnergyCons!L$4:L$10000)</f>
        <v>0</v>
      </c>
      <c r="O1940" s="1" cm="1">
        <f t="array" ref="O1940">SUMPRODUCT(("Var_Cap"=[1]OUT_TransportEnergyCons!$B$4:$B$10000)*1,("-"=[1]OUT_TransportEnergyCons!$C$4:$C$10000)*1,ISNUMBER(SEARCH("T_C*ICE*dsl*ext",[1]OUT_TransportEnergyCons!$A$4:$A$10000))*1,[1]OUT_TransportEnergyCons!M$4:M$10000)</f>
        <v>0</v>
      </c>
      <c r="P1940" s="1" cm="1">
        <f t="array" ref="P1940">SUMPRODUCT(("Var_Cap"=[1]OUT_TransportEnergyCons!$B$4:$B$10000)*1,("-"=[1]OUT_TransportEnergyCons!$C$4:$C$10000)*1,ISNUMBER(SEARCH("T_C*ICE*dsl*ext",[1]OUT_TransportEnergyCons!$A$4:$A$10000))*1,[1]OUT_TransportEnergyCons!N$4:N$10000)</f>
        <v>0</v>
      </c>
      <c r="Q1940" s="1" cm="1">
        <f t="array" ref="Q1940">SUMPRODUCT(("Var_Cap"=[1]OUT_TransportEnergyCons!$B$4:$B$10000)*1,("-"=[1]OUT_TransportEnergyCons!$C$4:$C$10000)*1,ISNUMBER(SEARCH("T_C*ICE*dsl*ext",[1]OUT_TransportEnergyCons!$A$4:$A$10000))*1,[1]OUT_TransportEnergyCons!O$4:O$10000)</f>
        <v>0</v>
      </c>
      <c r="S1940" s="3"/>
    </row>
    <row r="1941" spans="2:19" x14ac:dyDescent="0.5">
      <c r="B1941" s="5" t="str">
        <f t="shared" si="2152"/>
        <v>SPS1</v>
      </c>
      <c r="C1941" s="5" t="str">
        <f t="shared" si="2153"/>
        <v>CH</v>
      </c>
      <c r="D1941" t="s">
        <v>1958</v>
      </c>
      <c r="E1941" t="str">
        <f t="shared" si="215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4.4467233329224245E-4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5.1195023072287131E-4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5.6875636438007333E-4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4.5554215058362497E-4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9.2001266199203755E-5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2.5383480815200199E-5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0</v>
      </c>
      <c r="M1941" s="1" cm="1">
        <f t="array" ref="M1941">SUMPRODUCT(("Var_Cap"=[1]OUT_TransportEnergyCons!$B$4:$B$10000)*1,("-"=[1]OUT_TransportEnergyCons!$C$4:$C$10000)*1,ISNUMBER(SEARCH("T_C*ICE*dsl*s1",[1]OUT_TransportEnergyCons!$A$4:$A$10000))*1,[1]OUT_TransportEnergyCons!K$4:K$10000)</f>
        <v>0</v>
      </c>
      <c r="N1941" s="1" cm="1">
        <f t="array" ref="N1941">SUMPRODUCT(("Var_Cap"=[1]OUT_TransportEnergyCons!$B$4:$B$10000)*1,("-"=[1]OUT_TransportEnergyCons!$C$4:$C$10000)*1,ISNUMBER(SEARCH("T_C*ICE*dsl*s1",[1]OUT_TransportEnergyCons!$A$4:$A$10000))*1,[1]OUT_TransportEnergyCons!L$4:L$10000)</f>
        <v>0</v>
      </c>
      <c r="O1941" s="1" cm="1">
        <f t="array" ref="O1941">SUMPRODUCT(("Var_Cap"=[1]OUT_TransportEnergyCons!$B$4:$B$10000)*1,("-"=[1]OUT_TransportEnergyCons!$C$4:$C$10000)*1,ISNUMBER(SEARCH("T_C*ICE*dsl*s1",[1]OUT_TransportEnergyCons!$A$4:$A$10000))*1,[1]OUT_TransportEnergyCons!M$4:M$10000)</f>
        <v>0</v>
      </c>
      <c r="P1941" s="1" cm="1">
        <f t="array" ref="P1941">SUMPRODUCT(("Var_Cap"=[1]OUT_TransportEnergyCons!$B$4:$B$10000)*1,("-"=[1]OUT_TransportEnergyCons!$C$4:$C$10000)*1,ISNUMBER(SEARCH("T_C*ICE*dsl*s1",[1]OUT_TransportEnergyCons!$A$4:$A$10000))*1,[1]OUT_TransportEnergyCons!N$4:N$10000)</f>
        <v>0</v>
      </c>
      <c r="Q1941" s="1" cm="1">
        <f t="array" ref="Q1941">SUMPRODUCT(("Var_Cap"=[1]OUT_TransportEnergyCons!$B$4:$B$10000)*1,("-"=[1]OUT_TransportEnergyCons!$C$4:$C$10000)*1,ISNUMBER(SEARCH("T_C*ICE*dsl*s1",[1]OUT_TransportEnergyCons!$A$4:$A$10000))*1,[1]OUT_TransportEnergyCons!O$4:O$10000)</f>
        <v>0</v>
      </c>
      <c r="S1941" s="3"/>
    </row>
    <row r="1942" spans="2:19" x14ac:dyDescent="0.5">
      <c r="B1942" s="5" t="str">
        <f t="shared" si="2152"/>
        <v>SPS1</v>
      </c>
      <c r="C1942" s="5" t="str">
        <f t="shared" si="2153"/>
        <v>CH</v>
      </c>
      <c r="D1942" t="s">
        <v>1959</v>
      </c>
      <c r="E1942" t="str">
        <f t="shared" si="215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6.4569734131604009E-2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6.8524175410992538E-2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6.7938021686186761E-2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5.1527260346801253E-2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1.8089269000140678E-3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1.3179912445162106E-5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0</v>
      </c>
      <c r="M1942" s="1" cm="1">
        <f t="array" ref="M1942">SUMPRODUCT(("Var_Cap"=[1]OUT_TransportEnergyCons!$B$4:$B$10000)*1,("-"=[1]OUT_TransportEnergyCons!$C$4:$C$10000)*1,ISNUMBER(SEARCH("T_C*ICE*dsl*s2",[1]OUT_TransportEnergyCons!$A$4:$A$10000))*1,[1]OUT_TransportEnergyCons!K$4:K$10000)</f>
        <v>0</v>
      </c>
      <c r="N1942" s="1" cm="1">
        <f t="array" ref="N1942">SUMPRODUCT(("Var_Cap"=[1]OUT_TransportEnergyCons!$B$4:$B$10000)*1,("-"=[1]OUT_TransportEnergyCons!$C$4:$C$10000)*1,ISNUMBER(SEARCH("T_C*ICE*dsl*s2",[1]OUT_TransportEnergyCons!$A$4:$A$10000))*1,[1]OUT_TransportEnergyCons!L$4:L$10000)</f>
        <v>0</v>
      </c>
      <c r="O1942" s="1" cm="1">
        <f t="array" ref="O1942">SUMPRODUCT(("Var_Cap"=[1]OUT_TransportEnergyCons!$B$4:$B$10000)*1,("-"=[1]OUT_TransportEnergyCons!$C$4:$C$10000)*1,ISNUMBER(SEARCH("T_C*ICE*dsl*s2",[1]OUT_TransportEnergyCons!$A$4:$A$10000))*1,[1]OUT_TransportEnergyCons!M$4:M$10000)</f>
        <v>0</v>
      </c>
      <c r="P1942" s="1" cm="1">
        <f t="array" ref="P1942">SUMPRODUCT(("Var_Cap"=[1]OUT_TransportEnergyCons!$B$4:$B$10000)*1,("-"=[1]OUT_TransportEnergyCons!$C$4:$C$10000)*1,ISNUMBER(SEARCH("T_C*ICE*dsl*s2",[1]OUT_TransportEnergyCons!$A$4:$A$10000))*1,[1]OUT_TransportEnergyCons!N$4:N$10000)</f>
        <v>0</v>
      </c>
      <c r="Q1942" s="1" cm="1">
        <f t="array" ref="Q1942">SUMPRODUCT(("Var_Cap"=[1]OUT_TransportEnergyCons!$B$4:$B$10000)*1,("-"=[1]OUT_TransportEnergyCons!$C$4:$C$10000)*1,ISNUMBER(SEARCH("T_C*ICE*dsl*s2",[1]OUT_TransportEnergyCons!$A$4:$A$10000))*1,[1]OUT_TransportEnergyCons!O$4:O$10000)</f>
        <v>0</v>
      </c>
      <c r="S1942" s="3"/>
    </row>
    <row r="1943" spans="2:19" x14ac:dyDescent="0.5">
      <c r="B1943" s="5" t="str">
        <f t="shared" si="2152"/>
        <v>SPS1</v>
      </c>
      <c r="C1943" s="5" t="str">
        <f t="shared" si="2153"/>
        <v>CH</v>
      </c>
      <c r="D1943" t="s">
        <v>1960</v>
      </c>
      <c r="E1943" t="str">
        <f t="shared" si="215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0.18324159831268524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0.19501703162534856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0.1930076130919314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0.14997187556732333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5.6448660450063278E-3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9.3276414915986754E-6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0</v>
      </c>
      <c r="M1943" s="1" cm="1">
        <f t="array" ref="M1943">SUMPRODUCT(("Var_Cap"=[1]OUT_TransportEnergyCons!$B$4:$B$10000)*1,("-"=[1]OUT_TransportEnergyCons!$C$4:$C$10000)*1,ISNUMBER(SEARCH("T_C*ICE*dsl*s3",[1]OUT_TransportEnergyCons!$A$4:$A$10000))*1,[1]OUT_TransportEnergyCons!K$4:K$10000)</f>
        <v>0</v>
      </c>
      <c r="N1943" s="1" cm="1">
        <f t="array" ref="N1943">SUMPRODUCT(("Var_Cap"=[1]OUT_TransportEnergyCons!$B$4:$B$10000)*1,("-"=[1]OUT_TransportEnergyCons!$C$4:$C$10000)*1,ISNUMBER(SEARCH("T_C*ICE*dsl*s3",[1]OUT_TransportEnergyCons!$A$4:$A$10000))*1,[1]OUT_TransportEnergyCons!L$4:L$10000)</f>
        <v>0</v>
      </c>
      <c r="O1943" s="1" cm="1">
        <f t="array" ref="O1943">SUMPRODUCT(("Var_Cap"=[1]OUT_TransportEnergyCons!$B$4:$B$10000)*1,("-"=[1]OUT_TransportEnergyCons!$C$4:$C$10000)*1,ISNUMBER(SEARCH("T_C*ICE*dsl*s3",[1]OUT_TransportEnergyCons!$A$4:$A$10000))*1,[1]OUT_TransportEnergyCons!M$4:M$10000)</f>
        <v>0</v>
      </c>
      <c r="P1943" s="1" cm="1">
        <f t="array" ref="P1943">SUMPRODUCT(("Var_Cap"=[1]OUT_TransportEnergyCons!$B$4:$B$10000)*1,("-"=[1]OUT_TransportEnergyCons!$C$4:$C$10000)*1,ISNUMBER(SEARCH("T_C*ICE*dsl*s3",[1]OUT_TransportEnergyCons!$A$4:$A$10000))*1,[1]OUT_TransportEnergyCons!N$4:N$10000)</f>
        <v>0</v>
      </c>
      <c r="Q1943" s="1" cm="1">
        <f t="array" ref="Q1943">SUMPRODUCT(("Var_Cap"=[1]OUT_TransportEnergyCons!$B$4:$B$10000)*1,("-"=[1]OUT_TransportEnergyCons!$C$4:$C$10000)*1,ISNUMBER(SEARCH("T_C*ICE*dsl*s3",[1]OUT_TransportEnergyCons!$A$4:$A$10000))*1,[1]OUT_TransportEnergyCons!O$4:O$10000)</f>
        <v>0</v>
      </c>
      <c r="S1943" s="3"/>
    </row>
    <row r="1944" spans="2:19" x14ac:dyDescent="0.5">
      <c r="B1944" s="5" t="str">
        <f t="shared" si="2152"/>
        <v>SPS1</v>
      </c>
      <c r="C1944" s="5" t="str">
        <f t="shared" si="2153"/>
        <v>CH</v>
      </c>
      <c r="D1944" t="s">
        <v>1961</v>
      </c>
      <c r="E1944" t="str">
        <f t="shared" si="215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7.1262468664638853E-2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7.9345869328852625E-2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7.8222597672719413E-2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6.1078548756085149E-2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3.3841151764357775E-3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6.4614814746757563E-6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0</v>
      </c>
      <c r="M1944" s="1" cm="1">
        <f t="array" ref="M1944">SUMPRODUCT(("Var_Cap"=[1]OUT_TransportEnergyCons!$B$4:$B$10000)*1,("-"=[1]OUT_TransportEnergyCons!$C$4:$C$10000)*1,ISNUMBER(SEARCH("T_C*ICE*dsl*s4",[1]OUT_TransportEnergyCons!$A$4:$A$10000))*1,[1]OUT_TransportEnergyCons!K$4:K$10000)</f>
        <v>0</v>
      </c>
      <c r="N1944" s="1" cm="1">
        <f t="array" ref="N1944">SUMPRODUCT(("Var_Cap"=[1]OUT_TransportEnergyCons!$B$4:$B$10000)*1,("-"=[1]OUT_TransportEnergyCons!$C$4:$C$10000)*1,ISNUMBER(SEARCH("T_C*ICE*dsl*s4",[1]OUT_TransportEnergyCons!$A$4:$A$10000))*1,[1]OUT_TransportEnergyCons!L$4:L$10000)</f>
        <v>0</v>
      </c>
      <c r="O1944" s="1" cm="1">
        <f t="array" ref="O1944">SUMPRODUCT(("Var_Cap"=[1]OUT_TransportEnergyCons!$B$4:$B$10000)*1,("-"=[1]OUT_TransportEnergyCons!$C$4:$C$10000)*1,ISNUMBER(SEARCH("T_C*ICE*dsl*s4",[1]OUT_TransportEnergyCons!$A$4:$A$10000))*1,[1]OUT_TransportEnergyCons!M$4:M$10000)</f>
        <v>0</v>
      </c>
      <c r="P1944" s="1" cm="1">
        <f t="array" ref="P1944">SUMPRODUCT(("Var_Cap"=[1]OUT_TransportEnergyCons!$B$4:$B$10000)*1,("-"=[1]OUT_TransportEnergyCons!$C$4:$C$10000)*1,ISNUMBER(SEARCH("T_C*ICE*dsl*s4",[1]OUT_TransportEnergyCons!$A$4:$A$10000))*1,[1]OUT_TransportEnergyCons!N$4:N$10000)</f>
        <v>0</v>
      </c>
      <c r="Q1944" s="1" cm="1">
        <f t="array" ref="Q1944">SUMPRODUCT(("Var_Cap"=[1]OUT_TransportEnergyCons!$B$4:$B$10000)*1,("-"=[1]OUT_TransportEnergyCons!$C$4:$C$10000)*1,ISNUMBER(SEARCH("T_C*ICE*dsl*s4",[1]OUT_TransportEnergyCons!$A$4:$A$10000))*1,[1]OUT_TransportEnergyCons!O$4:O$10000)</f>
        <v>0</v>
      </c>
      <c r="S1944" s="3"/>
    </row>
    <row r="1945" spans="2:19" x14ac:dyDescent="0.5">
      <c r="B1945" s="5" t="str">
        <f t="shared" si="2152"/>
        <v>SPS1</v>
      </c>
      <c r="C1945" s="5" t="str">
        <f t="shared" si="2153"/>
        <v>CH</v>
      </c>
      <c r="D1945" t="s">
        <v>1962</v>
      </c>
      <c r="E1945" t="str">
        <f t="shared" si="215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1.9159007040446199E-5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8.0536562551182804E-5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1.1720126032360601E-4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8.30682904969636E-5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2.9151445394947499E-5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0</v>
      </c>
      <c r="M1945" s="1" cm="1">
        <f t="array" ref="M1945">SUMPRODUCT(("Var_Cap"=[1]OUT_TransportEnergyCons!$B$4:$B$10000)*1,("-"=[1]OUT_TransportEnergyCons!$C$4:$C$10000)*1,ISNUMBER(SEARCH("T_C*mhy*dsl*s1",[1]OUT_TransportEnergyCons!$A$4:$A$10000))*1,[1]OUT_TransportEnergyCons!K$4:K$10000)</f>
        <v>0</v>
      </c>
      <c r="N1945" s="1" cm="1">
        <f t="array" ref="N1945">SUMPRODUCT(("Var_Cap"=[1]OUT_TransportEnergyCons!$B$4:$B$10000)*1,("-"=[1]OUT_TransportEnergyCons!$C$4:$C$10000)*1,ISNUMBER(SEARCH("T_C*mhy*dsl*s1",[1]OUT_TransportEnergyCons!$A$4:$A$10000))*1,[1]OUT_TransportEnergyCons!L$4:L$10000)</f>
        <v>0</v>
      </c>
      <c r="O1945" s="1" cm="1">
        <f t="array" ref="O1945">SUMPRODUCT(("Var_Cap"=[1]OUT_TransportEnergyCons!$B$4:$B$10000)*1,("-"=[1]OUT_TransportEnergyCons!$C$4:$C$10000)*1,ISNUMBER(SEARCH("T_C*mhy*dsl*s1",[1]OUT_TransportEnergyCons!$A$4:$A$10000))*1,[1]OUT_TransportEnergyCons!M$4:M$10000)</f>
        <v>0</v>
      </c>
      <c r="P1945" s="1" cm="1">
        <f t="array" ref="P1945">SUMPRODUCT(("Var_Cap"=[1]OUT_TransportEnergyCons!$B$4:$B$10000)*1,("-"=[1]OUT_TransportEnergyCons!$C$4:$C$10000)*1,ISNUMBER(SEARCH("T_C*mhy*dsl*s1",[1]OUT_TransportEnergyCons!$A$4:$A$10000))*1,[1]OUT_TransportEnergyCons!N$4:N$10000)</f>
        <v>0</v>
      </c>
      <c r="Q1945" s="1" cm="1">
        <f t="array" ref="Q1945">SUMPRODUCT(("Var_Cap"=[1]OUT_TransportEnergyCons!$B$4:$B$10000)*1,("-"=[1]OUT_TransportEnergyCons!$C$4:$C$10000)*1,ISNUMBER(SEARCH("T_C*mhy*dsl*s1",[1]OUT_TransportEnergyCons!$A$4:$A$10000))*1,[1]OUT_TransportEnergyCons!O$4:O$10000)</f>
        <v>0</v>
      </c>
      <c r="S1945" s="3"/>
    </row>
    <row r="1946" spans="2:19" x14ac:dyDescent="0.5">
      <c r="B1946" s="5" t="str">
        <f t="shared" si="2152"/>
        <v>SPS1</v>
      </c>
      <c r="C1946" s="5" t="str">
        <f t="shared" si="2153"/>
        <v>CH</v>
      </c>
      <c r="D1946" t="s">
        <v>1963</v>
      </c>
      <c r="E1946" t="str">
        <f t="shared" si="215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1.00566680266707E-5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3.95365329471737E-5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5.69170207250601E-5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4.0098031082297402E-5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1.3975342694715899E-5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0</v>
      </c>
      <c r="M1946" s="1" cm="1">
        <f t="array" ref="M1946">SUMPRODUCT(("Var_Cap"=[1]OUT_TransportEnergyCons!$B$4:$B$10000)*1,("-"=[1]OUT_TransportEnergyCons!$C$4:$C$10000)*1,ISNUMBER(SEARCH("T_C*mhy*dsl*s2",[1]OUT_TransportEnergyCons!$A$4:$A$10000))*1,[1]OUT_TransportEnergyCons!K$4:K$10000)</f>
        <v>0</v>
      </c>
      <c r="N1946" s="1" cm="1">
        <f t="array" ref="N1946">SUMPRODUCT(("Var_Cap"=[1]OUT_TransportEnergyCons!$B$4:$B$10000)*1,("-"=[1]OUT_TransportEnergyCons!$C$4:$C$10000)*1,ISNUMBER(SEARCH("T_C*mhy*dsl*s2",[1]OUT_TransportEnergyCons!$A$4:$A$10000))*1,[1]OUT_TransportEnergyCons!L$4:L$10000)</f>
        <v>0</v>
      </c>
      <c r="O1946" s="1" cm="1">
        <f t="array" ref="O1946">SUMPRODUCT(("Var_Cap"=[1]OUT_TransportEnergyCons!$B$4:$B$10000)*1,("-"=[1]OUT_TransportEnergyCons!$C$4:$C$10000)*1,ISNUMBER(SEARCH("T_C*mhy*dsl*s2",[1]OUT_TransportEnergyCons!$A$4:$A$10000))*1,[1]OUT_TransportEnergyCons!M$4:M$10000)</f>
        <v>0</v>
      </c>
      <c r="P1946" s="1" cm="1">
        <f t="array" ref="P1946">SUMPRODUCT(("Var_Cap"=[1]OUT_TransportEnergyCons!$B$4:$B$10000)*1,("-"=[1]OUT_TransportEnergyCons!$C$4:$C$10000)*1,ISNUMBER(SEARCH("T_C*mhy*dsl*s2",[1]OUT_TransportEnergyCons!$A$4:$A$10000))*1,[1]OUT_TransportEnergyCons!N$4:N$10000)</f>
        <v>0</v>
      </c>
      <c r="Q1946" s="1" cm="1">
        <f t="array" ref="Q1946">SUMPRODUCT(("Var_Cap"=[1]OUT_TransportEnergyCons!$B$4:$B$10000)*1,("-"=[1]OUT_TransportEnergyCons!$C$4:$C$10000)*1,ISNUMBER(SEARCH("T_C*mhy*dsl*s2",[1]OUT_TransportEnergyCons!$A$4:$A$10000))*1,[1]OUT_TransportEnergyCons!O$4:O$10000)</f>
        <v>0</v>
      </c>
      <c r="S1946" s="3"/>
    </row>
    <row r="1947" spans="2:19" x14ac:dyDescent="0.5">
      <c r="B1947" s="5" t="str">
        <f t="shared" si="2152"/>
        <v>SPS1</v>
      </c>
      <c r="C1947" s="5" t="str">
        <f t="shared" si="2153"/>
        <v>CH</v>
      </c>
      <c r="D1947" t="s">
        <v>1964</v>
      </c>
      <c r="E1947" t="str">
        <f t="shared" si="215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1.12821250721644E-5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3.4911640206795798E-5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4.57450870898906E-5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3.1074977582907902E-5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1.0034015720356101E-5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0</v>
      </c>
      <c r="M1947" s="1" cm="1">
        <f t="array" ref="M1947">SUMPRODUCT(("Var_Cap"=[1]OUT_TransportEnergyCons!$B$4:$B$10000)*1,("-"=[1]OUT_TransportEnergyCons!$C$4:$C$10000)*1,ISNUMBER(SEARCH("T_C*mhy*dsl*s3",[1]OUT_TransportEnergyCons!$A$4:$A$10000))*1,[1]OUT_TransportEnergyCons!K$4:K$10000)</f>
        <v>0</v>
      </c>
      <c r="N1947" s="1" cm="1">
        <f t="array" ref="N1947">SUMPRODUCT(("Var_Cap"=[1]OUT_TransportEnergyCons!$B$4:$B$10000)*1,("-"=[1]OUT_TransportEnergyCons!$C$4:$C$10000)*1,ISNUMBER(SEARCH("T_C*mhy*dsl*s3",[1]OUT_TransportEnergyCons!$A$4:$A$10000))*1,[1]OUT_TransportEnergyCons!L$4:L$10000)</f>
        <v>0</v>
      </c>
      <c r="O1947" s="1" cm="1">
        <f t="array" ref="O1947">SUMPRODUCT(("Var_Cap"=[1]OUT_TransportEnergyCons!$B$4:$B$10000)*1,("-"=[1]OUT_TransportEnergyCons!$C$4:$C$10000)*1,ISNUMBER(SEARCH("T_C*mhy*dsl*s3",[1]OUT_TransportEnergyCons!$A$4:$A$10000))*1,[1]OUT_TransportEnergyCons!M$4:M$10000)</f>
        <v>0</v>
      </c>
      <c r="P1947" s="1" cm="1">
        <f t="array" ref="P1947">SUMPRODUCT(("Var_Cap"=[1]OUT_TransportEnergyCons!$B$4:$B$10000)*1,("-"=[1]OUT_TransportEnergyCons!$C$4:$C$10000)*1,ISNUMBER(SEARCH("T_C*mhy*dsl*s3",[1]OUT_TransportEnergyCons!$A$4:$A$10000))*1,[1]OUT_TransportEnergyCons!N$4:N$10000)</f>
        <v>0</v>
      </c>
      <c r="Q1947" s="1" cm="1">
        <f t="array" ref="Q1947">SUMPRODUCT(("Var_Cap"=[1]OUT_TransportEnergyCons!$B$4:$B$10000)*1,("-"=[1]OUT_TransportEnergyCons!$C$4:$C$10000)*1,ISNUMBER(SEARCH("T_C*mhy*dsl*s3",[1]OUT_TransportEnergyCons!$A$4:$A$10000))*1,[1]OUT_TransportEnergyCons!O$4:O$10000)</f>
        <v>0</v>
      </c>
      <c r="S1947" s="3"/>
    </row>
    <row r="1948" spans="2:19" x14ac:dyDescent="0.5">
      <c r="B1948" s="5" t="str">
        <f t="shared" si="2152"/>
        <v>SPS1</v>
      </c>
      <c r="C1948" s="5" t="str">
        <f t="shared" si="2153"/>
        <v>CH</v>
      </c>
      <c r="D1948" t="s">
        <v>1965</v>
      </c>
      <c r="E1948" t="str">
        <f t="shared" si="215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8.5637751917275602E-6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2.2447091216659199E-5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3.0600381657647101E-5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2.0592585494741E-5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6.9417612327734497E-6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0</v>
      </c>
      <c r="M1948" s="1" cm="1">
        <f t="array" ref="M1948">SUMPRODUCT(("Var_Cap"=[1]OUT_TransportEnergyCons!$B$4:$B$10000)*1,("-"=[1]OUT_TransportEnergyCons!$C$4:$C$10000)*1,ISNUMBER(SEARCH("T_C*mhy*dsl*s4",[1]OUT_TransportEnergyCons!$A$4:$A$10000))*1,[1]OUT_TransportEnergyCons!K$4:K$10000)</f>
        <v>0</v>
      </c>
      <c r="N1948" s="1" cm="1">
        <f t="array" ref="N1948">SUMPRODUCT(("Var_Cap"=[1]OUT_TransportEnergyCons!$B$4:$B$10000)*1,("-"=[1]OUT_TransportEnergyCons!$C$4:$C$10000)*1,ISNUMBER(SEARCH("T_C*mhy*dsl*s4",[1]OUT_TransportEnergyCons!$A$4:$A$10000))*1,[1]OUT_TransportEnergyCons!L$4:L$10000)</f>
        <v>0</v>
      </c>
      <c r="O1948" s="1" cm="1">
        <f t="array" ref="O1948">SUMPRODUCT(("Var_Cap"=[1]OUT_TransportEnergyCons!$B$4:$B$10000)*1,("-"=[1]OUT_TransportEnergyCons!$C$4:$C$10000)*1,ISNUMBER(SEARCH("T_C*mhy*dsl*s4",[1]OUT_TransportEnergyCons!$A$4:$A$10000))*1,[1]OUT_TransportEnergyCons!M$4:M$10000)</f>
        <v>0</v>
      </c>
      <c r="P1948" s="1" cm="1">
        <f t="array" ref="P1948">SUMPRODUCT(("Var_Cap"=[1]OUT_TransportEnergyCons!$B$4:$B$10000)*1,("-"=[1]OUT_TransportEnergyCons!$C$4:$C$10000)*1,ISNUMBER(SEARCH("T_C*mhy*dsl*s4",[1]OUT_TransportEnergyCons!$A$4:$A$10000))*1,[1]OUT_TransportEnergyCons!N$4:N$10000)</f>
        <v>0</v>
      </c>
      <c r="Q1948" s="1" cm="1">
        <f t="array" ref="Q1948">SUMPRODUCT(("Var_Cap"=[1]OUT_TransportEnergyCons!$B$4:$B$10000)*1,("-"=[1]OUT_TransportEnergyCons!$C$4:$C$10000)*1,ISNUMBER(SEARCH("T_C*mhy*dsl*s4",[1]OUT_TransportEnergyCons!$A$4:$A$10000))*1,[1]OUT_TransportEnergyCons!O$4:O$10000)</f>
        <v>0</v>
      </c>
      <c r="S1948" s="3"/>
    </row>
    <row r="1949" spans="2:19" x14ac:dyDescent="0.5">
      <c r="B1949" s="5" t="str">
        <f t="shared" si="2152"/>
        <v>SPS1</v>
      </c>
      <c r="C1949" s="5" t="str">
        <f t="shared" si="2153"/>
        <v>CH</v>
      </c>
      <c r="D1949" t="s">
        <v>1966</v>
      </c>
      <c r="E1949" t="str">
        <f t="shared" si="215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M1949" s="1" cm="1">
        <f t="array" ref="M1949">SUMPRODUCT(("Var_Cap"=[1]OUT_TransportEnergyCons!$B$4:$B$10000)*1,("-"=[1]OUT_TransportEnergyCons!$C$4:$C$10000)*1,ISNUMBER(SEARCH("T_C*ICE*nga*ext",[1]OUT_TransportEnergyCons!$A$4:$A$10000))*1,[1]OUT_TransportEnergyCons!K$4:K$10000)</f>
        <v>0</v>
      </c>
      <c r="N1949" s="1" cm="1">
        <f t="array" ref="N1949">SUMPRODUCT(("Var_Cap"=[1]OUT_TransportEnergyCons!$B$4:$B$10000)*1,("-"=[1]OUT_TransportEnergyCons!$C$4:$C$10000)*1,ISNUMBER(SEARCH("T_C*ICE*nga*ext",[1]OUT_TransportEnergyCons!$A$4:$A$10000))*1,[1]OUT_TransportEnergyCons!L$4:L$10000)</f>
        <v>0</v>
      </c>
      <c r="O1949" s="1" cm="1">
        <f t="array" ref="O1949">SUMPRODUCT(("Var_Cap"=[1]OUT_TransportEnergyCons!$B$4:$B$10000)*1,("-"=[1]OUT_TransportEnergyCons!$C$4:$C$10000)*1,ISNUMBER(SEARCH("T_C*ICE*nga*ext",[1]OUT_TransportEnergyCons!$A$4:$A$10000))*1,[1]OUT_TransportEnergyCons!M$4:M$10000)</f>
        <v>0</v>
      </c>
      <c r="P1949" s="1" cm="1">
        <f t="array" ref="P1949">SUMPRODUCT(("Var_Cap"=[1]OUT_TransportEnergyCons!$B$4:$B$10000)*1,("-"=[1]OUT_TransportEnergyCons!$C$4:$C$10000)*1,ISNUMBER(SEARCH("T_C*ICE*nga*ext",[1]OUT_TransportEnergyCons!$A$4:$A$10000))*1,[1]OUT_TransportEnergyCons!N$4:N$10000)</f>
        <v>0</v>
      </c>
      <c r="Q1949" s="1" cm="1">
        <f t="array" ref="Q1949">SUMPRODUCT(("Var_Cap"=[1]OUT_TransportEnergyCons!$B$4:$B$10000)*1,("-"=[1]OUT_TransportEnergyCons!$C$4:$C$10000)*1,ISNUMBER(SEARCH("T_C*ICE*nga*ext",[1]OUT_TransportEnergyCons!$A$4:$A$10000))*1,[1]OUT_TransportEnergyCons!O$4:O$10000)</f>
        <v>0</v>
      </c>
      <c r="S1949" s="3"/>
    </row>
    <row r="1950" spans="2:19" x14ac:dyDescent="0.5">
      <c r="B1950" s="5" t="str">
        <f t="shared" si="2152"/>
        <v>SPS1</v>
      </c>
      <c r="C1950" s="5" t="str">
        <f t="shared" si="2153"/>
        <v>CH</v>
      </c>
      <c r="D1950" t="s">
        <v>1967</v>
      </c>
      <c r="E1950" t="str">
        <f t="shared" si="215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1.8228977987459706E-4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1.8380491506027661E-4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1.0410113143711607E-5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1.87588943324782E-6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1.9287198501149964E-8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0</v>
      </c>
      <c r="M1950" s="1" cm="1">
        <f t="array" ref="M1950">SUMPRODUCT(("Var_Cap"=[1]OUT_TransportEnergyCons!$B$4:$B$10000)*1,("-"=[1]OUT_TransportEnergyCons!$C$4:$C$10000)*1,ISNUMBER(SEARCH("T_C*ICE*nga*s1",[1]OUT_TransportEnergyCons!$A$4:$A$10000))*1,[1]OUT_TransportEnergyCons!K$4:K$10000)</f>
        <v>0</v>
      </c>
      <c r="N1950" s="1" cm="1">
        <f t="array" ref="N1950">SUMPRODUCT(("Var_Cap"=[1]OUT_TransportEnergyCons!$B$4:$B$10000)*1,("-"=[1]OUT_TransportEnergyCons!$C$4:$C$10000)*1,ISNUMBER(SEARCH("T_C*ICE*nga*s1",[1]OUT_TransportEnergyCons!$A$4:$A$10000))*1,[1]OUT_TransportEnergyCons!L$4:L$10000)</f>
        <v>0</v>
      </c>
      <c r="O1950" s="1" cm="1">
        <f t="array" ref="O1950">SUMPRODUCT(("Var_Cap"=[1]OUT_TransportEnergyCons!$B$4:$B$10000)*1,("-"=[1]OUT_TransportEnergyCons!$C$4:$C$10000)*1,ISNUMBER(SEARCH("T_C*ICE*nga*s1",[1]OUT_TransportEnergyCons!$A$4:$A$10000))*1,[1]OUT_TransportEnergyCons!M$4:M$10000)</f>
        <v>0</v>
      </c>
      <c r="P1950" s="1" cm="1">
        <f t="array" ref="P1950">SUMPRODUCT(("Var_Cap"=[1]OUT_TransportEnergyCons!$B$4:$B$10000)*1,("-"=[1]OUT_TransportEnergyCons!$C$4:$C$10000)*1,ISNUMBER(SEARCH("T_C*ICE*nga*s1",[1]OUT_TransportEnergyCons!$A$4:$A$10000))*1,[1]OUT_TransportEnergyCons!N$4:N$10000)</f>
        <v>0</v>
      </c>
      <c r="Q1950" s="1" cm="1">
        <f t="array" ref="Q1950">SUMPRODUCT(("Var_Cap"=[1]OUT_TransportEnergyCons!$B$4:$B$10000)*1,("-"=[1]OUT_TransportEnergyCons!$C$4:$C$10000)*1,ISNUMBER(SEARCH("T_C*ICE*nga*s1",[1]OUT_TransportEnergyCons!$A$4:$A$10000))*1,[1]OUT_TransportEnergyCons!O$4:O$10000)</f>
        <v>0</v>
      </c>
      <c r="S1950" s="3"/>
    </row>
    <row r="1951" spans="2:19" x14ac:dyDescent="0.5">
      <c r="B1951" s="5" t="str">
        <f t="shared" si="2152"/>
        <v>SPS1</v>
      </c>
      <c r="C1951" s="5" t="str">
        <f t="shared" si="2153"/>
        <v>CH</v>
      </c>
      <c r="D1951" t="s">
        <v>1968</v>
      </c>
      <c r="E1951" t="str">
        <f t="shared" si="215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2.6902364593150698E-3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2.8272199919184391E-3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2.7900651234605005E-3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2.6955590735639606E-8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1.7195417558677753E-8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2.5593809821850134E-9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0</v>
      </c>
      <c r="M1951" s="1" cm="1">
        <f t="array" ref="M1951">SUMPRODUCT(("Var_Cap"=[1]OUT_TransportEnergyCons!$B$4:$B$10000)*1,("-"=[1]OUT_TransportEnergyCons!$C$4:$C$10000)*1,ISNUMBER(SEARCH("T_C*ICE*nga*s2",[1]OUT_TransportEnergyCons!$A$4:$A$10000))*1,[1]OUT_TransportEnergyCons!K$4:K$10000)</f>
        <v>0</v>
      </c>
      <c r="N1951" s="1" cm="1">
        <f t="array" ref="N1951">SUMPRODUCT(("Var_Cap"=[1]OUT_TransportEnergyCons!$B$4:$B$10000)*1,("-"=[1]OUT_TransportEnergyCons!$C$4:$C$10000)*1,ISNUMBER(SEARCH("T_C*ICE*nga*s2",[1]OUT_TransportEnergyCons!$A$4:$A$10000))*1,[1]OUT_TransportEnergyCons!L$4:L$10000)</f>
        <v>0</v>
      </c>
      <c r="O1951" s="1" cm="1">
        <f t="array" ref="O1951">SUMPRODUCT(("Var_Cap"=[1]OUT_TransportEnergyCons!$B$4:$B$10000)*1,("-"=[1]OUT_TransportEnergyCons!$C$4:$C$10000)*1,ISNUMBER(SEARCH("T_C*ICE*nga*s2",[1]OUT_TransportEnergyCons!$A$4:$A$10000))*1,[1]OUT_TransportEnergyCons!M$4:M$10000)</f>
        <v>0</v>
      </c>
      <c r="P1951" s="1" cm="1">
        <f t="array" ref="P1951">SUMPRODUCT(("Var_Cap"=[1]OUT_TransportEnergyCons!$B$4:$B$10000)*1,("-"=[1]OUT_TransportEnergyCons!$C$4:$C$10000)*1,ISNUMBER(SEARCH("T_C*ICE*nga*s2",[1]OUT_TransportEnergyCons!$A$4:$A$10000))*1,[1]OUT_TransportEnergyCons!N$4:N$10000)</f>
        <v>0</v>
      </c>
      <c r="Q1951" s="1" cm="1">
        <f t="array" ref="Q1951">SUMPRODUCT(("Var_Cap"=[1]OUT_TransportEnergyCons!$B$4:$B$10000)*1,("-"=[1]OUT_TransportEnergyCons!$C$4:$C$10000)*1,ISNUMBER(SEARCH("T_C*ICE*nga*s2",[1]OUT_TransportEnergyCons!$A$4:$A$10000))*1,[1]OUT_TransportEnergyCons!O$4:O$10000)</f>
        <v>0</v>
      </c>
      <c r="S1951" s="3"/>
    </row>
    <row r="1952" spans="2:19" x14ac:dyDescent="0.5">
      <c r="B1952" s="5" t="str">
        <f t="shared" si="2152"/>
        <v>SPS1</v>
      </c>
      <c r="C1952" s="5" t="str">
        <f t="shared" si="2153"/>
        <v>CH</v>
      </c>
      <c r="D1952" t="s">
        <v>1969</v>
      </c>
      <c r="E1952" t="str">
        <f t="shared" si="215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1.6015142628127987E-4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1.5966446403298774E-4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1.2703100648853133E-5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2.2371806017407902E-6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3.4794519976159987E-9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0</v>
      </c>
      <c r="M1952" s="1" cm="1">
        <f t="array" ref="M1952">SUMPRODUCT(("Var_Cap"=[1]OUT_TransportEnergyCons!$B$4:$B$10000)*1,("-"=[1]OUT_TransportEnergyCons!$C$4:$C$10000)*1,ISNUMBER(SEARCH("T_C*ICE*nga*s3",[1]OUT_TransportEnergyCons!$A$4:$A$10000))*1,[1]OUT_TransportEnergyCons!K$4:K$10000)</f>
        <v>0</v>
      </c>
      <c r="N1952" s="1" cm="1">
        <f t="array" ref="N1952">SUMPRODUCT(("Var_Cap"=[1]OUT_TransportEnergyCons!$B$4:$B$10000)*1,("-"=[1]OUT_TransportEnergyCons!$C$4:$C$10000)*1,ISNUMBER(SEARCH("T_C*ICE*nga*s3",[1]OUT_TransportEnergyCons!$A$4:$A$10000))*1,[1]OUT_TransportEnergyCons!L$4:L$10000)</f>
        <v>0</v>
      </c>
      <c r="O1952" s="1" cm="1">
        <f t="array" ref="O1952">SUMPRODUCT(("Var_Cap"=[1]OUT_TransportEnergyCons!$B$4:$B$10000)*1,("-"=[1]OUT_TransportEnergyCons!$C$4:$C$10000)*1,ISNUMBER(SEARCH("T_C*ICE*nga*s3",[1]OUT_TransportEnergyCons!$A$4:$A$10000))*1,[1]OUT_TransportEnergyCons!M$4:M$10000)</f>
        <v>0</v>
      </c>
      <c r="P1952" s="1" cm="1">
        <f t="array" ref="P1952">SUMPRODUCT(("Var_Cap"=[1]OUT_TransportEnergyCons!$B$4:$B$10000)*1,("-"=[1]OUT_TransportEnergyCons!$C$4:$C$10000)*1,ISNUMBER(SEARCH("T_C*ICE*nga*s3",[1]OUT_TransportEnergyCons!$A$4:$A$10000))*1,[1]OUT_TransportEnergyCons!N$4:N$10000)</f>
        <v>0</v>
      </c>
      <c r="Q1952" s="1" cm="1">
        <f t="array" ref="Q1952">SUMPRODUCT(("Var_Cap"=[1]OUT_TransportEnergyCons!$B$4:$B$10000)*1,("-"=[1]OUT_TransportEnergyCons!$C$4:$C$10000)*1,ISNUMBER(SEARCH("T_C*ICE*nga*s3",[1]OUT_TransportEnergyCons!$A$4:$A$10000))*1,[1]OUT_TransportEnergyCons!O$4:O$10000)</f>
        <v>0</v>
      </c>
      <c r="S1952" s="3"/>
    </row>
    <row r="1953" spans="2:19" x14ac:dyDescent="0.5">
      <c r="B1953" s="5" t="str">
        <f t="shared" si="2152"/>
        <v>SPS1</v>
      </c>
      <c r="C1953" s="5" t="str">
        <f t="shared" si="2153"/>
        <v>CH</v>
      </c>
      <c r="D1953" t="s">
        <v>1970</v>
      </c>
      <c r="E1953" t="str">
        <f t="shared" si="215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2.535421008122837E-3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2.3608004768817959E-3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2.1445820149899528E-8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1.2532220262028663E-8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2.7939772857400145E-9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0</v>
      </c>
      <c r="M1953" s="1" cm="1">
        <f t="array" ref="M1953">SUMPRODUCT(("Var_Cap"=[1]OUT_TransportEnergyCons!$B$4:$B$10000)*1,("-"=[1]OUT_TransportEnergyCons!$C$4:$C$10000)*1,ISNUMBER(SEARCH("T_C*ICE*nga*s4",[1]OUT_TransportEnergyCons!$A$4:$A$10000))*1,[1]OUT_TransportEnergyCons!K$4:K$10000)</f>
        <v>0</v>
      </c>
      <c r="N1953" s="1" cm="1">
        <f t="array" ref="N1953">SUMPRODUCT(("Var_Cap"=[1]OUT_TransportEnergyCons!$B$4:$B$10000)*1,("-"=[1]OUT_TransportEnergyCons!$C$4:$C$10000)*1,ISNUMBER(SEARCH("T_C*ICE*nga*s4",[1]OUT_TransportEnergyCons!$A$4:$A$10000))*1,[1]OUT_TransportEnergyCons!L$4:L$10000)</f>
        <v>0</v>
      </c>
      <c r="O1953" s="1" cm="1">
        <f t="array" ref="O1953">SUMPRODUCT(("Var_Cap"=[1]OUT_TransportEnergyCons!$B$4:$B$10000)*1,("-"=[1]OUT_TransportEnergyCons!$C$4:$C$10000)*1,ISNUMBER(SEARCH("T_C*ICE*nga*s4",[1]OUT_TransportEnergyCons!$A$4:$A$10000))*1,[1]OUT_TransportEnergyCons!M$4:M$10000)</f>
        <v>0</v>
      </c>
      <c r="P1953" s="1" cm="1">
        <f t="array" ref="P1953">SUMPRODUCT(("Var_Cap"=[1]OUT_TransportEnergyCons!$B$4:$B$10000)*1,("-"=[1]OUT_TransportEnergyCons!$C$4:$C$10000)*1,ISNUMBER(SEARCH("T_C*ICE*nga*s4",[1]OUT_TransportEnergyCons!$A$4:$A$10000))*1,[1]OUT_TransportEnergyCons!N$4:N$10000)</f>
        <v>0</v>
      </c>
      <c r="Q1953" s="1" cm="1">
        <f t="array" ref="Q1953">SUMPRODUCT(("Var_Cap"=[1]OUT_TransportEnergyCons!$B$4:$B$10000)*1,("-"=[1]OUT_TransportEnergyCons!$C$4:$C$10000)*1,ISNUMBER(SEARCH("T_C*ICE*nga*s4",[1]OUT_TransportEnergyCons!$A$4:$A$10000))*1,[1]OUT_TransportEnergyCons!O$4:O$10000)</f>
        <v>0</v>
      </c>
      <c r="S1953" s="3"/>
    </row>
    <row r="1954" spans="2:19" x14ac:dyDescent="0.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5.7110843885337301</v>
      </c>
      <c r="G1954" s="3">
        <f t="shared" ref="G1954:K1954" si="2155">SUM(G1955:G1977)</f>
        <v>5.6824963022083805</v>
      </c>
      <c r="H1954" s="3">
        <f t="shared" si="2155"/>
        <v>5.8451735419657247</v>
      </c>
      <c r="I1954" s="3">
        <f t="shared" si="2155"/>
        <v>6.7295990998910167</v>
      </c>
      <c r="J1954" s="3">
        <f t="shared" si="2155"/>
        <v>7.0517065772616974</v>
      </c>
      <c r="K1954" s="3">
        <f t="shared" si="2155"/>
        <v>7.2473994673172824</v>
      </c>
      <c r="L1954" s="3">
        <f t="shared" ref="L1954:O1954" si="2156">SUM(L1955:L1977)</f>
        <v>7.4741186525187082</v>
      </c>
      <c r="M1954" s="3">
        <f t="shared" si="2156"/>
        <v>7.7340069149585036</v>
      </c>
      <c r="N1954" s="3">
        <f t="shared" si="2156"/>
        <v>7.9987099010305025</v>
      </c>
      <c r="O1954" s="3">
        <f t="shared" si="2156"/>
        <v>8.2354025463137486</v>
      </c>
      <c r="P1954" s="3">
        <f>SUM(P1955:P1977)</f>
        <v>8.4633224770818014</v>
      </c>
      <c r="Q1954" s="3">
        <f>SUM(Q1955:Q1977)</f>
        <v>8.6824857339632526</v>
      </c>
      <c r="S1954" s="3"/>
    </row>
    <row r="1955" spans="2:19" x14ac:dyDescent="0.5">
      <c r="B1955" s="5" t="str">
        <f t="shared" ref="B1955:B1977" si="2157">B1954</f>
        <v>SPS1</v>
      </c>
      <c r="C1955" s="5" t="str">
        <f t="shared" ref="C1955:C1977" si="215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3.7787326521869953E-2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M1955" s="1" cm="1">
        <f t="array" ref="M1955">(SUMPRODUCT(("Var_Cap"=[1]OUT_TransportEnergyCons!$B$4:$B$10000)*1,ISNUMBER(SEARCH("T_B_u*bev*ext",[1]OUT_TransportEnergyCons!$A$4:$A$10000))*1,[1]OUT_TransportEnergyCons!K$4:K$10000))*1000</f>
        <v>0</v>
      </c>
      <c r="N1955" s="1" cm="1">
        <f t="array" ref="N1955">(SUMPRODUCT(("Var_Cap"=[1]OUT_TransportEnergyCons!$B$4:$B$10000)*1,ISNUMBER(SEARCH("T_B_u*bev*ext",[1]OUT_TransportEnergyCons!$A$4:$A$10000))*1,[1]OUT_TransportEnergyCons!L$4:L$10000))*1000</f>
        <v>0</v>
      </c>
      <c r="O1955" s="1" cm="1">
        <f t="array" ref="O1955">(SUMPRODUCT(("Var_Cap"=[1]OUT_TransportEnergyCons!$B$4:$B$10000)*1,ISNUMBER(SEARCH("T_B_u*bev*ext",[1]OUT_TransportEnergyCons!$A$4:$A$10000))*1,[1]OUT_TransportEnergyCons!M$4:M$10000))*1000</f>
        <v>0</v>
      </c>
      <c r="P1955" s="1" cm="1">
        <f t="array" ref="P1955">(SUMPRODUCT(("Var_Cap"=[1]OUT_TransportEnergyCons!$B$4:$B$10000)*1,ISNUMBER(SEARCH("T_B_u*bev*ext",[1]OUT_TransportEnergyCons!$A$4:$A$10000))*1,[1]OUT_TransportEnergyCons!N$4:N$10000))*1000</f>
        <v>0</v>
      </c>
      <c r="Q1955" s="1" cm="1">
        <f t="array" ref="Q1955">(SUMPRODUCT(("Var_Cap"=[1]OUT_TransportEnergyCons!$B$4:$B$10000)*1,ISNUMBER(SEARCH("T_B_u*bev*ext",[1]OUT_TransportEnergyCons!$A$4:$A$10000))*1,[1]OUT_TransportEnergyCons!O$4:O$10000))*1000</f>
        <v>0</v>
      </c>
      <c r="S1955" s="3"/>
    </row>
    <row r="1956" spans="2:19" x14ac:dyDescent="0.5">
      <c r="B1956" s="5" t="str">
        <f t="shared" si="2157"/>
        <v>SPS1</v>
      </c>
      <c r="C1956" s="5" t="str">
        <f t="shared" si="215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5.3998509568761646E-3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1.4138726663475454E-2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2.0268860800156414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2.3850351645781296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2.8571664483571837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2.9306079755804078</v>
      </c>
      <c r="M1956" s="1" cm="1">
        <f t="array" ref="M1956">(SUMPRODUCT(("Var_Cap"=[1]OUT_TransportEnergyCons!$B$4:$B$10000)*1,ISNUMBER(SEARCH("T_B_u*bev*s1",[1]OUT_TransportEnergyCons!$A$4:$A$10000))*1,[1]OUT_TransportEnergyCons!K$4:K$10000))*1000</f>
        <v>3.0344811295780394</v>
      </c>
      <c r="N1956" s="1" cm="1">
        <f t="array" ref="N1956">(SUMPRODUCT(("Var_Cap"=[1]OUT_TransportEnergyCons!$B$4:$B$10000)*1,ISNUMBER(SEARCH("T_B_u*bev*s1",[1]OUT_TransportEnergyCons!$A$4:$A$10000))*1,[1]OUT_TransportEnergyCons!L$4:L$10000))*1000</f>
        <v>3.1704032869487828</v>
      </c>
      <c r="O1956" s="1" cm="1">
        <f t="array" ref="O1956">(SUMPRODUCT(("Var_Cap"=[1]OUT_TransportEnergyCons!$B$4:$B$10000)*1,ISNUMBER(SEARCH("T_B_u*bev*s1",[1]OUT_TransportEnergyCons!$A$4:$A$10000))*1,[1]OUT_TransportEnergyCons!M$4:M$10000))*1000</f>
        <v>3.268947566971947</v>
      </c>
      <c r="P1956" s="1" cm="1">
        <f t="array" ref="P1956">(SUMPRODUCT(("Var_Cap"=[1]OUT_TransportEnergyCons!$B$4:$B$10000)*1,ISNUMBER(SEARCH("T_B_u*bev*s1",[1]OUT_TransportEnergyCons!$A$4:$A$10000))*1,[1]OUT_TransportEnergyCons!N$4:N$10000))*1000</f>
        <v>3.345458876814837</v>
      </c>
      <c r="Q1956" s="1" cm="1">
        <f t="array" ref="Q1956">(SUMPRODUCT(("Var_Cap"=[1]OUT_TransportEnergyCons!$B$4:$B$10000)*1,ISNUMBER(SEARCH("T_B_u*bev*s1",[1]OUT_TransportEnergyCons!$A$4:$A$10000))*1,[1]OUT_TransportEnergyCons!O$4:O$10000))*1000</f>
        <v>3.3880965760696129</v>
      </c>
      <c r="S1956" s="3"/>
    </row>
    <row r="1957" spans="2:19" x14ac:dyDescent="0.5">
      <c r="B1957" s="5" t="str">
        <f t="shared" si="2157"/>
        <v>SPS1</v>
      </c>
      <c r="C1957" s="5" t="str">
        <f t="shared" si="215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7.9024469639129898E-3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1.2203824499039305E-2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2.000329189062422E-2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0.75201066353322876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0.79667906938369015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0.81781613301033595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0.84650085446393464</v>
      </c>
      <c r="M1957" s="1" cm="1">
        <f t="array" ref="M1957">(SUMPRODUCT(("Var_Cap"=[1]OUT_TransportEnergyCons!$B$4:$B$10000)*1,ISNUMBER(SEARCH("T_B_u*bev*s2",[1]OUT_TransportEnergyCons!$A$4:$A$10000))*1,[1]OUT_TransportEnergyCons!K$4:K$10000))*1000</f>
        <v>0.87753028740318506</v>
      </c>
      <c r="N1957" s="1" cm="1">
        <f t="array" ref="N1957">(SUMPRODUCT(("Var_Cap"=[1]OUT_TransportEnergyCons!$B$4:$B$10000)*1,ISNUMBER(SEARCH("T_B_u*bev*s2",[1]OUT_TransportEnergyCons!$A$4:$A$10000))*1,[1]OUT_TransportEnergyCons!L$4:L$10000))*1000</f>
        <v>0.89944747469569519</v>
      </c>
      <c r="O1957" s="1" cm="1">
        <f t="array" ref="O1957">(SUMPRODUCT(("Var_Cap"=[1]OUT_TransportEnergyCons!$B$4:$B$10000)*1,ISNUMBER(SEARCH("T_B_u*bev*s2",[1]OUT_TransportEnergyCons!$A$4:$A$10000))*1,[1]OUT_TransportEnergyCons!M$4:M$10000))*1000</f>
        <v>0.92559031370094902</v>
      </c>
      <c r="P1957" s="1" cm="1">
        <f t="array" ref="P1957">(SUMPRODUCT(("Var_Cap"=[1]OUT_TransportEnergyCons!$B$4:$B$10000)*1,ISNUMBER(SEARCH("T_B_u*bev*s2",[1]OUT_TransportEnergyCons!$A$4:$A$10000))*1,[1]OUT_TransportEnergyCons!N$4:N$10000))*1000</f>
        <v>0.95347515619667933</v>
      </c>
      <c r="Q1957" s="1" cm="1">
        <f t="array" ref="Q1957">(SUMPRODUCT(("Var_Cap"=[1]OUT_TransportEnergyCons!$B$4:$B$10000)*1,ISNUMBER(SEARCH("T_B_u*bev*s2",[1]OUT_TransportEnergyCons!$A$4:$A$10000))*1,[1]OUT_TransportEnergyCons!O$4:O$10000))*1000</f>
        <v>0.9870682979525075</v>
      </c>
      <c r="S1957" s="3"/>
    </row>
    <row r="1958" spans="2:19" x14ac:dyDescent="0.5">
      <c r="B1958" s="5" t="str">
        <f t="shared" si="2157"/>
        <v>SPS1</v>
      </c>
      <c r="C1958" s="5" t="str">
        <f t="shared" si="215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1.7816112165533599E-2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3.1406040467839479E-2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3.7839839891600453E-2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3.6320498671275798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3.7869219390352815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3.5719690176024601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3.6965477019032895</v>
      </c>
      <c r="M1958" s="1" cm="1">
        <f t="array" ref="M1958">(SUMPRODUCT(("Var_Cap"=[1]OUT_TransportEnergyCons!$B$4:$B$10000)*1,ISNUMBER(SEARCH("T_B_u*bev*s3",[1]OUT_TransportEnergyCons!$A$4:$A$10000))*1,[1]OUT_TransportEnergyCons!K$4:K$10000))*1000</f>
        <v>3.8212827385273598</v>
      </c>
      <c r="N1958" s="1" cm="1">
        <f t="array" ref="N1958">(SUMPRODUCT(("Var_Cap"=[1]OUT_TransportEnergyCons!$B$4:$B$10000)*1,ISNUMBER(SEARCH("T_B_u*bev*s3",[1]OUT_TransportEnergyCons!$A$4:$A$10000))*1,[1]OUT_TransportEnergyCons!L$4:L$10000))*1000</f>
        <v>3.928261320450698</v>
      </c>
      <c r="O1958" s="1" cm="1">
        <f t="array" ref="O1958">(SUMPRODUCT(("Var_Cap"=[1]OUT_TransportEnergyCons!$B$4:$B$10000)*1,ISNUMBER(SEARCH("T_B_u*bev*s3",[1]OUT_TransportEnergyCons!$A$4:$A$10000))*1,[1]OUT_TransportEnergyCons!M$4:M$10000))*1000</f>
        <v>4.0401459317542505</v>
      </c>
      <c r="P1958" s="1" cm="1">
        <f t="array" ref="P1958">(SUMPRODUCT(("Var_Cap"=[1]OUT_TransportEnergyCons!$B$4:$B$10000)*1,ISNUMBER(SEARCH("T_B_u*bev*s3",[1]OUT_TransportEnergyCons!$A$4:$A$10000))*1,[1]OUT_TransportEnergyCons!N$4:N$10000))*1000</f>
        <v>4.1635502005706897</v>
      </c>
      <c r="Q1958" s="1" cm="1">
        <f t="array" ref="Q1958">(SUMPRODUCT(("Var_Cap"=[1]OUT_TransportEnergyCons!$B$4:$B$10000)*1,ISNUMBER(SEARCH("T_B_u*bev*s3",[1]OUT_TransportEnergyCons!$A$4:$A$10000))*1,[1]OUT_TransportEnergyCons!O$4:O$10000))*1000</f>
        <v>4.3060148378806602</v>
      </c>
      <c r="S1958" s="3"/>
    </row>
    <row r="1959" spans="2:19" x14ac:dyDescent="0.5">
      <c r="B1959" s="5" t="str">
        <f t="shared" si="2157"/>
        <v>SPS1</v>
      </c>
      <c r="C1959" s="5" t="str">
        <f t="shared" si="215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6.0305757502542706E-4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8.3239230301436202E-4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0.31849288178820445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8.3060050429995355E-2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4.25447177387818E-4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4.5678756493938423E-4</v>
      </c>
      <c r="M1959" s="1" cm="1">
        <f t="array" ref="M1959">(SUMPRODUCT(("Var_Cap"=[1]OUT_TransportEnergyCons!$B$4:$B$10000)*1,ISNUMBER(SEARCH("T_B_u*bev*s4",[1]OUT_TransportEnergyCons!$A$4:$A$10000))*1,[1]OUT_TransportEnergyCons!K$4:K$10000))*1000</f>
        <v>7.1275944991879101E-4</v>
      </c>
      <c r="N1959" s="1" cm="1">
        <f t="array" ref="N1959">(SUMPRODUCT(("Var_Cap"=[1]OUT_TransportEnergyCons!$B$4:$B$10000)*1,ISNUMBER(SEARCH("T_B_u*bev*s4",[1]OUT_TransportEnergyCons!$A$4:$A$10000))*1,[1]OUT_TransportEnergyCons!L$4:L$10000))*1000</f>
        <v>5.9781893532618495E-4</v>
      </c>
      <c r="O1959" s="1" cm="1">
        <f t="array" ref="O1959">(SUMPRODUCT(("Var_Cap"=[1]OUT_TransportEnergyCons!$B$4:$B$10000)*1,ISNUMBER(SEARCH("T_B_u*bev*s4",[1]OUT_TransportEnergyCons!$A$4:$A$10000))*1,[1]OUT_TransportEnergyCons!M$4:M$10000))*1000</f>
        <v>7.1873388660228296E-4</v>
      </c>
      <c r="P1959" s="1" cm="1">
        <f t="array" ref="P1959">(SUMPRODUCT(("Var_Cap"=[1]OUT_TransportEnergyCons!$B$4:$B$10000)*1,ISNUMBER(SEARCH("T_B_u*bev*s4",[1]OUT_TransportEnergyCons!$A$4:$A$10000))*1,[1]OUT_TransportEnergyCons!N$4:N$10000))*1000</f>
        <v>8.3824349959597192E-4</v>
      </c>
      <c r="Q1959" s="1" cm="1">
        <f t="array" ref="Q1959">(SUMPRODUCT(("Var_Cap"=[1]OUT_TransportEnergyCons!$B$4:$B$10000)*1,ISNUMBER(SEARCH("T_B_u*bev*s4",[1]OUT_TransportEnergyCons!$A$4:$A$10000))*1,[1]OUT_TransportEnergyCons!O$4:O$10000))*1000</f>
        <v>1.3060220604716585E-3</v>
      </c>
      <c r="S1959" s="3"/>
    </row>
    <row r="1960" spans="2:19" x14ac:dyDescent="0.5">
      <c r="B1960" s="5" t="str">
        <f t="shared" si="2157"/>
        <v>SPS1</v>
      </c>
      <c r="C1960" s="5" t="str">
        <f t="shared" si="215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0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0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0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0</v>
      </c>
      <c r="M1960" s="1" cm="1">
        <f t="array" ref="M1960">(SUMPRODUCT(("Var_Cap"=[1]OUT_TransportEnergyCons!$B$4:$B$10000)*1,ISNUMBER(SEARCH("T_B_u*h2o*s1",[1]OUT_TransportEnergyCons!$A$4:$A$10000))*1,[1]OUT_TransportEnergyCons!K$4:K$10000))*1000</f>
        <v>0</v>
      </c>
      <c r="N1960" s="1" cm="1">
        <f t="array" ref="N1960">(SUMPRODUCT(("Var_Cap"=[1]OUT_TransportEnergyCons!$B$4:$B$10000)*1,ISNUMBER(SEARCH("T_B_u*h2o*s1",[1]OUT_TransportEnergyCons!$A$4:$A$10000))*1,[1]OUT_TransportEnergyCons!L$4:L$10000))*1000</f>
        <v>0</v>
      </c>
      <c r="O1960" s="1" cm="1">
        <f t="array" ref="O1960">(SUMPRODUCT(("Var_Cap"=[1]OUT_TransportEnergyCons!$B$4:$B$10000)*1,ISNUMBER(SEARCH("T_B_u*h2o*s1",[1]OUT_TransportEnergyCons!$A$4:$A$10000))*1,[1]OUT_TransportEnergyCons!M$4:M$10000))*1000</f>
        <v>0</v>
      </c>
      <c r="P1960" s="1" cm="1">
        <f t="array" ref="P1960">(SUMPRODUCT(("Var_Cap"=[1]OUT_TransportEnergyCons!$B$4:$B$10000)*1,ISNUMBER(SEARCH("T_B_u*h2o*s1",[1]OUT_TransportEnergyCons!$A$4:$A$10000))*1,[1]OUT_TransportEnergyCons!N$4:N$10000))*1000</f>
        <v>0</v>
      </c>
      <c r="Q1960" s="1" cm="1">
        <f t="array" ref="Q1960">(SUMPRODUCT(("Var_Cap"=[1]OUT_TransportEnergyCons!$B$4:$B$10000)*1,ISNUMBER(SEARCH("T_B_u*h2o*s1",[1]OUT_TransportEnergyCons!$A$4:$A$10000))*1,[1]OUT_TransportEnergyCons!O$4:O$10000))*1000</f>
        <v>0</v>
      </c>
      <c r="S1960" s="3"/>
    </row>
    <row r="1961" spans="2:19" x14ac:dyDescent="0.5">
      <c r="B1961" s="5" t="str">
        <f t="shared" si="2157"/>
        <v>SPS1</v>
      </c>
      <c r="C1961" s="5" t="str">
        <f t="shared" si="215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0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0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0</v>
      </c>
      <c r="M1961" s="1" cm="1">
        <f t="array" ref="M1961">IF((SUMPRODUCT(("Var_Cap"=[1]OUT_TransportEnergyCons!$B$4:$B$10000)*1,ISNUMBER(SEARCH("T_B_u*h2o*s2",[1]OUT_TransportEnergyCons!$A$4:$A$10000))*1,[1]OUT_TransportEnergyCons!K$4:K$10000))*1000&lt;0,0,(SUMPRODUCT(("Var_Cap"=[1]OUT_TransportEnergyCons!$B$4:$B$10000)*1,ISNUMBER(SEARCH("T_B_u*h2o*s2",[1]OUT_TransportEnergyCons!$A$4:$A$10000))*1,[1]OUT_TransportEnergyCons!K$4:K$10000))*1000)</f>
        <v>0</v>
      </c>
      <c r="N1961" s="1" cm="1">
        <f t="array" ref="N1961">IF((SUMPRODUCT(("Var_Cap"=[1]OUT_TransportEnergyCons!$B$4:$B$10000)*1,ISNUMBER(SEARCH("T_B_u*h2o*s2",[1]OUT_TransportEnergyCons!$A$4:$A$10000))*1,[1]OUT_TransportEnergyCons!L$4:L$10000))*1000&lt;0,0,(SUMPRODUCT(("Var_Cap"=[1]OUT_TransportEnergyCons!$B$4:$B$10000)*1,ISNUMBER(SEARCH("T_B_u*h2o*s2",[1]OUT_TransportEnergyCons!$A$4:$A$10000))*1,[1]OUT_TransportEnergyCons!L$4:L$10000))*1000)</f>
        <v>0</v>
      </c>
      <c r="O1961" s="1" cm="1">
        <f t="array" ref="O1961">IF((SUMPRODUCT(("Var_Cap"=[1]OUT_TransportEnergyCons!$B$4:$B$10000)*1,ISNUMBER(SEARCH("T_B_u*h2o*s2",[1]OUT_TransportEnergyCons!$A$4:$A$10000))*1,[1]OUT_TransportEnergyCons!M$4:M$10000))*1000&lt;0,0,(SUMPRODUCT(("Var_Cap"=[1]OUT_TransportEnergyCons!$B$4:$B$10000)*1,ISNUMBER(SEARCH("T_B_u*h2o*s2",[1]OUT_TransportEnergyCons!$A$4:$A$10000))*1,[1]OUT_TransportEnergyCons!M$4:M$10000))*1000)</f>
        <v>0</v>
      </c>
      <c r="P1961" s="1" cm="1">
        <f t="array" ref="P1961">IF((SUMPRODUCT(("Var_Cap"=[1]OUT_TransportEnergyCons!$B$4:$B$10000)*1,ISNUMBER(SEARCH("T_B_u*h2o*s2",[1]OUT_TransportEnergyCons!$A$4:$A$10000))*1,[1]OUT_TransportEnergyCons!N$4:N$10000))*1000&lt;0,0,(SUMPRODUCT(("Var_Cap"=[1]OUT_TransportEnergyCons!$B$4:$B$10000)*1,ISNUMBER(SEARCH("T_B_u*h2o*s2",[1]OUT_TransportEnergyCons!$A$4:$A$10000))*1,[1]OUT_TransportEnergyCons!N$4:N$10000))*1000)</f>
        <v>0</v>
      </c>
      <c r="Q1961" s="1" cm="1">
        <f t="array" ref="Q1961">IF((SUMPRODUCT(("Var_Cap"=[1]OUT_TransportEnergyCons!$B$4:$B$10000)*1,ISNUMBER(SEARCH("T_B_u*h2o*s2",[1]OUT_TransportEnergyCons!$A$4:$A$10000))*1,[1]OUT_TransportEnergyCons!O$4:O$10000))*1000&lt;0,0,(SUMPRODUCT(("Var_Cap"=[1]OUT_TransportEnergyCons!$B$4:$B$10000)*1,ISNUMBER(SEARCH("T_B_u*h2o*s2",[1]OUT_TransportEnergyCons!$A$4:$A$10000))*1,[1]OUT_TransportEnergyCons!O$4:O$10000))*1000)</f>
        <v>0</v>
      </c>
      <c r="S1961" s="3"/>
    </row>
    <row r="1962" spans="2:19" x14ac:dyDescent="0.5">
      <c r="B1962" s="5" t="str">
        <f t="shared" si="2157"/>
        <v>SPS1</v>
      </c>
      <c r="C1962" s="5" t="str">
        <f t="shared" si="215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0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0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0</v>
      </c>
      <c r="M1962" s="1" cm="1">
        <f t="array" ref="M1962">IF((SUMPRODUCT(("Var_Cap"=[1]OUT_TransportEnergyCons!$B$4:$B$10000)*1,ISNUMBER(SEARCH("T_B_u*h2o*s3",[1]OUT_TransportEnergyCons!$A$4:$A$10000))*1,[1]OUT_TransportEnergyCons!K$4:K$10000))*1000&lt;0,0,(SUMPRODUCT(("Var_Cap"=[1]OUT_TransportEnergyCons!$B$4:$B$10000)*1,ISNUMBER(SEARCH("T_B_u*h2o*s3",[1]OUT_TransportEnergyCons!$A$4:$A$10000))*1,[1]OUT_TransportEnergyCons!K$4:K$10000))*1000)</f>
        <v>0</v>
      </c>
      <c r="N1962" s="1" cm="1">
        <f t="array" ref="N1962">IF((SUMPRODUCT(("Var_Cap"=[1]OUT_TransportEnergyCons!$B$4:$B$10000)*1,ISNUMBER(SEARCH("T_B_u*h2o*s3",[1]OUT_TransportEnergyCons!$A$4:$A$10000))*1,[1]OUT_TransportEnergyCons!L$4:L$10000))*1000&lt;0,0,(SUMPRODUCT(("Var_Cap"=[1]OUT_TransportEnergyCons!$B$4:$B$10000)*1,ISNUMBER(SEARCH("T_B_u*h2o*s3",[1]OUT_TransportEnergyCons!$A$4:$A$10000))*1,[1]OUT_TransportEnergyCons!L$4:L$10000))*1000)</f>
        <v>0</v>
      </c>
      <c r="O1962" s="1" cm="1">
        <f t="array" ref="O1962">IF((SUMPRODUCT(("Var_Cap"=[1]OUT_TransportEnergyCons!$B$4:$B$10000)*1,ISNUMBER(SEARCH("T_B_u*h2o*s3",[1]OUT_TransportEnergyCons!$A$4:$A$10000))*1,[1]OUT_TransportEnergyCons!M$4:M$10000))*1000&lt;0,0,(SUMPRODUCT(("Var_Cap"=[1]OUT_TransportEnergyCons!$B$4:$B$10000)*1,ISNUMBER(SEARCH("T_B_u*h2o*s3",[1]OUT_TransportEnergyCons!$A$4:$A$10000))*1,[1]OUT_TransportEnergyCons!M$4:M$10000))*1000)</f>
        <v>0</v>
      </c>
      <c r="P1962" s="1" cm="1">
        <f t="array" ref="P1962">IF((SUMPRODUCT(("Var_Cap"=[1]OUT_TransportEnergyCons!$B$4:$B$10000)*1,ISNUMBER(SEARCH("T_B_u*h2o*s3",[1]OUT_TransportEnergyCons!$A$4:$A$10000))*1,[1]OUT_TransportEnergyCons!N$4:N$10000))*1000&lt;0,0,(SUMPRODUCT(("Var_Cap"=[1]OUT_TransportEnergyCons!$B$4:$B$10000)*1,ISNUMBER(SEARCH("T_B_u*h2o*s3",[1]OUT_TransportEnergyCons!$A$4:$A$10000))*1,[1]OUT_TransportEnergyCons!N$4:N$10000))*1000)</f>
        <v>0</v>
      </c>
      <c r="Q1962" s="1" cm="1">
        <f t="array" ref="Q1962">IF((SUMPRODUCT(("Var_Cap"=[1]OUT_TransportEnergyCons!$B$4:$B$10000)*1,ISNUMBER(SEARCH("T_B_u*h2o*s3",[1]OUT_TransportEnergyCons!$A$4:$A$10000))*1,[1]OUT_TransportEnergyCons!O$4:O$10000))*1000&lt;0,0,(SUMPRODUCT(("Var_Cap"=[1]OUT_TransportEnergyCons!$B$4:$B$10000)*1,ISNUMBER(SEARCH("T_B_u*h2o*s3",[1]OUT_TransportEnergyCons!$A$4:$A$10000))*1,[1]OUT_TransportEnergyCons!O$4:O$10000))*1000)</f>
        <v>0</v>
      </c>
      <c r="S1962" s="3"/>
    </row>
    <row r="1963" spans="2:19" x14ac:dyDescent="0.5">
      <c r="B1963" s="5" t="str">
        <f t="shared" si="2157"/>
        <v>SPS1</v>
      </c>
      <c r="C1963" s="5" t="str">
        <f t="shared" si="215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M1963" s="1" cm="1">
        <f t="array" ref="M1963">IF((SUMPRODUCT(("Var_Cap"=[1]OUT_TransportEnergyCons!$B$4:$B$10000)*1,ISNUMBER(SEARCH("T_B_u*h2o*s4",[1]OUT_TransportEnergyCons!$A$4:$A$10000))*1,[1]OUT_TransportEnergyCons!K$4:K$10000))*1000&lt;0,0,(SUMPRODUCT(("Var_Cap"=[1]OUT_TransportEnergyCons!$B$4:$B$10000)*1,ISNUMBER(SEARCH("T_B_u*h2o*s4",[1]OUT_TransportEnergyCons!$A$4:$A$10000))*1,[1]OUT_TransportEnergyCons!K$4:K$10000))*1000)</f>
        <v>0</v>
      </c>
      <c r="N1963" s="1" cm="1">
        <f t="array" ref="N1963">IF((SUMPRODUCT(("Var_Cap"=[1]OUT_TransportEnergyCons!$B$4:$B$10000)*1,ISNUMBER(SEARCH("T_B_u*h2o*s4",[1]OUT_TransportEnergyCons!$A$4:$A$10000))*1,[1]OUT_TransportEnergyCons!L$4:L$10000))*1000&lt;0,0,(SUMPRODUCT(("Var_Cap"=[1]OUT_TransportEnergyCons!$B$4:$B$10000)*1,ISNUMBER(SEARCH("T_B_u*h2o*s4",[1]OUT_TransportEnergyCons!$A$4:$A$10000))*1,[1]OUT_TransportEnergyCons!L$4:L$10000))*1000)</f>
        <v>0</v>
      </c>
      <c r="O1963" s="1" cm="1">
        <f t="array" ref="O1963">IF((SUMPRODUCT(("Var_Cap"=[1]OUT_TransportEnergyCons!$B$4:$B$10000)*1,ISNUMBER(SEARCH("T_B_u*h2o*s4",[1]OUT_TransportEnergyCons!$A$4:$A$10000))*1,[1]OUT_TransportEnergyCons!M$4:M$10000))*1000&lt;0,0,(SUMPRODUCT(("Var_Cap"=[1]OUT_TransportEnergyCons!$B$4:$B$10000)*1,ISNUMBER(SEARCH("T_B_u*h2o*s4",[1]OUT_TransportEnergyCons!$A$4:$A$10000))*1,[1]OUT_TransportEnergyCons!M$4:M$10000))*1000)</f>
        <v>0</v>
      </c>
      <c r="P1963" s="1" cm="1">
        <f t="array" ref="P1963">IF((SUMPRODUCT(("Var_Cap"=[1]OUT_TransportEnergyCons!$B$4:$B$10000)*1,ISNUMBER(SEARCH("T_B_u*h2o*s4",[1]OUT_TransportEnergyCons!$A$4:$A$10000))*1,[1]OUT_TransportEnergyCons!N$4:N$10000))*1000&lt;0,0,(SUMPRODUCT(("Var_Cap"=[1]OUT_TransportEnergyCons!$B$4:$B$10000)*1,ISNUMBER(SEARCH("T_B_u*h2o*s4",[1]OUT_TransportEnergyCons!$A$4:$A$10000))*1,[1]OUT_TransportEnergyCons!N$4:N$10000))*1000)</f>
        <v>0</v>
      </c>
      <c r="Q1963" s="1" cm="1">
        <f t="array" ref="Q1963">IF((SUMPRODUCT(("Var_Cap"=[1]OUT_TransportEnergyCons!$B$4:$B$10000)*1,ISNUMBER(SEARCH("T_B_u*h2o*s4",[1]OUT_TransportEnergyCons!$A$4:$A$10000))*1,[1]OUT_TransportEnergyCons!O$4:O$10000))*1000&lt;0,0,(SUMPRODUCT(("Var_Cap"=[1]OUT_TransportEnergyCons!$B$4:$B$10000)*1,ISNUMBER(SEARCH("T_B_u*h2o*s4",[1]OUT_TransportEnergyCons!$A$4:$A$10000))*1,[1]OUT_TransportEnergyCons!O$4:O$10000))*1000)</f>
        <v>0</v>
      </c>
      <c r="S1963" s="3"/>
    </row>
    <row r="1964" spans="2:19" x14ac:dyDescent="0.5">
      <c r="B1964" s="5" t="str">
        <f t="shared" si="2157"/>
        <v>SPS1</v>
      </c>
      <c r="C1964" s="5" t="str">
        <f t="shared" si="215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0.17007091269704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0.17131155386701902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9.2081944901099139E-7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5.4159053787897192E-7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0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0</v>
      </c>
      <c r="M1964" s="1" cm="1">
        <f t="array" ref="M1964">(SUMPRODUCT(("Var_Cap"=[1]OUT_TransportEnergyCons!$B$4:$B$10000)*1,ISNUMBER(SEARCH("T_B_u*hyb*DSL*s1",[1]OUT_TransportEnergyCons!$A$4:$A$10000))*1,[1]OUT_TransportEnergyCons!K$4:K$10000))*1000</f>
        <v>0</v>
      </c>
      <c r="N1964" s="1" cm="1">
        <f t="array" ref="N1964">(SUMPRODUCT(("Var_Cap"=[1]OUT_TransportEnergyCons!$B$4:$B$10000)*1,ISNUMBER(SEARCH("T_B_u*hyb*DSL*s1",[1]OUT_TransportEnergyCons!$A$4:$A$10000))*1,[1]OUT_TransportEnergyCons!L$4:L$10000))*1000</f>
        <v>0</v>
      </c>
      <c r="O1964" s="1" cm="1">
        <f t="array" ref="O1964">(SUMPRODUCT(("Var_Cap"=[1]OUT_TransportEnergyCons!$B$4:$B$10000)*1,ISNUMBER(SEARCH("T_B_u*hyb*DSL*s1",[1]OUT_TransportEnergyCons!$A$4:$A$10000))*1,[1]OUT_TransportEnergyCons!M$4:M$10000))*1000</f>
        <v>0</v>
      </c>
      <c r="P1964" s="1" cm="1">
        <f t="array" ref="P1964">(SUMPRODUCT(("Var_Cap"=[1]OUT_TransportEnergyCons!$B$4:$B$10000)*1,ISNUMBER(SEARCH("T_B_u*hyb*DSL*s1",[1]OUT_TransportEnergyCons!$A$4:$A$10000))*1,[1]OUT_TransportEnergyCons!N$4:N$10000))*1000</f>
        <v>0</v>
      </c>
      <c r="Q1964" s="1" cm="1">
        <f t="array" ref="Q1964">(SUMPRODUCT(("Var_Cap"=[1]OUT_TransportEnergyCons!$B$4:$B$10000)*1,ISNUMBER(SEARCH("T_B_u*hyb*DSL*s1",[1]OUT_TransportEnergyCons!$A$4:$A$10000))*1,[1]OUT_TransportEnergyCons!O$4:O$10000))*1000</f>
        <v>0</v>
      </c>
      <c r="S1964" s="3"/>
    </row>
    <row r="1965" spans="2:19" x14ac:dyDescent="0.5">
      <c r="B1965" s="5" t="str">
        <f t="shared" si="2157"/>
        <v>SPS1</v>
      </c>
      <c r="C1965" s="5" t="str">
        <f t="shared" si="215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1.0434598891258401E-3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1.5757075733202599E-3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7.8249368309100838E-6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3.6522140279709807E-6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0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0</v>
      </c>
      <c r="M1965" s="1" cm="1">
        <f t="array" ref="M1965">IF((SUMPRODUCT(("Var_Cap"=[1]OUT_TransportEnergyCons!$B$4:$B$10000)*1,ISNUMBER(SEARCH("T_B_u*hyb*DSL*s2",[1]OUT_TransportEnergyCons!$A$4:$A$10000))*1,[1]OUT_TransportEnergyCons!K$4:K$10000))*1000&lt;0,0,(SUMPRODUCT(("Var_Cap"=[1]OUT_TransportEnergyCons!$B$4:$B$10000)*1,ISNUMBER(SEARCH("T_B_u*hyb*DSL*s2",[1]OUT_TransportEnergyCons!$A$4:$A$10000))*1,[1]OUT_TransportEnergyCons!K$4:K$10000))*1000)</f>
        <v>0</v>
      </c>
      <c r="N1965" s="1" cm="1">
        <f t="array" ref="N1965">IF((SUMPRODUCT(("Var_Cap"=[1]OUT_TransportEnergyCons!$B$4:$B$10000)*1,ISNUMBER(SEARCH("T_B_u*hyb*DSL*s2",[1]OUT_TransportEnergyCons!$A$4:$A$10000))*1,[1]OUT_TransportEnergyCons!L$4:L$10000))*1000&lt;0,0,(SUMPRODUCT(("Var_Cap"=[1]OUT_TransportEnergyCons!$B$4:$B$10000)*1,ISNUMBER(SEARCH("T_B_u*hyb*DSL*s2",[1]OUT_TransportEnergyCons!$A$4:$A$10000))*1,[1]OUT_TransportEnergyCons!L$4:L$10000))*1000)</f>
        <v>0</v>
      </c>
      <c r="O1965" s="1" cm="1">
        <f t="array" ref="O1965">IF((SUMPRODUCT(("Var_Cap"=[1]OUT_TransportEnergyCons!$B$4:$B$10000)*1,ISNUMBER(SEARCH("T_B_u*hyb*DSL*s2",[1]OUT_TransportEnergyCons!$A$4:$A$10000))*1,[1]OUT_TransportEnergyCons!M$4:M$10000))*1000&lt;0,0,(SUMPRODUCT(("Var_Cap"=[1]OUT_TransportEnergyCons!$B$4:$B$10000)*1,ISNUMBER(SEARCH("T_B_u*hyb*DSL*s2",[1]OUT_TransportEnergyCons!$A$4:$A$10000))*1,[1]OUT_TransportEnergyCons!M$4:M$10000))*1000)</f>
        <v>0</v>
      </c>
      <c r="P1965" s="1" cm="1">
        <f t="array" ref="P1965">IF((SUMPRODUCT(("Var_Cap"=[1]OUT_TransportEnergyCons!$B$4:$B$10000)*1,ISNUMBER(SEARCH("T_B_u*hyb*DSL*s2",[1]OUT_TransportEnergyCons!$A$4:$A$10000))*1,[1]OUT_TransportEnergyCons!N$4:N$10000))*1000&lt;0,0,(SUMPRODUCT(("Var_Cap"=[1]OUT_TransportEnergyCons!$B$4:$B$10000)*1,ISNUMBER(SEARCH("T_B_u*hyb*DSL*s2",[1]OUT_TransportEnergyCons!$A$4:$A$10000))*1,[1]OUT_TransportEnergyCons!N$4:N$10000))*1000)</f>
        <v>0</v>
      </c>
      <c r="Q1965" s="1" cm="1">
        <f t="array" ref="Q1965">IF((SUMPRODUCT(("Var_Cap"=[1]OUT_TransportEnergyCons!$B$4:$B$10000)*1,ISNUMBER(SEARCH("T_B_u*hyb*DSL*s2",[1]OUT_TransportEnergyCons!$A$4:$A$10000))*1,[1]OUT_TransportEnergyCons!O$4:O$10000))*1000&lt;0,0,(SUMPRODUCT(("Var_Cap"=[1]OUT_TransportEnergyCons!$B$4:$B$10000)*1,ISNUMBER(SEARCH("T_B_u*hyb*DSL*s2",[1]OUT_TransportEnergyCons!$A$4:$A$10000))*1,[1]OUT_TransportEnergyCons!O$4:O$10000))*1000)</f>
        <v>0</v>
      </c>
      <c r="S1965" s="3"/>
    </row>
    <row r="1966" spans="2:19" x14ac:dyDescent="0.5">
      <c r="B1966" s="5" t="str">
        <f t="shared" si="2157"/>
        <v>SPS1</v>
      </c>
      <c r="C1966" s="5" t="str">
        <f t="shared" si="215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7.4012783713685E-4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1.0831349234036E-3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3.5970623929493729E-7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0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0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0</v>
      </c>
      <c r="M1966" s="1" cm="1">
        <f t="array" ref="M1966">IF((SUMPRODUCT(("Var_Cap"=[1]OUT_TransportEnergyCons!$B$4:$B$10000)*1,ISNUMBER(SEARCH("T_B_u*hyb*DSL*s3",[1]OUT_TransportEnergyCons!$A$4:$A$10000))*1,[1]OUT_TransportEnergyCons!K$4:K$10000))*1000&lt;0,0,(SUMPRODUCT(("Var_Cap"=[1]OUT_TransportEnergyCons!$B$4:$B$10000)*1,ISNUMBER(SEARCH("T_B_u*hyb*DSL*s3",[1]OUT_TransportEnergyCons!$A$4:$A$10000))*1,[1]OUT_TransportEnergyCons!K$4:K$10000))*1000)</f>
        <v>0</v>
      </c>
      <c r="N1966" s="1" cm="1">
        <f t="array" ref="N1966">IF((SUMPRODUCT(("Var_Cap"=[1]OUT_TransportEnergyCons!$B$4:$B$10000)*1,ISNUMBER(SEARCH("T_B_u*hyb*DSL*s3",[1]OUT_TransportEnergyCons!$A$4:$A$10000))*1,[1]OUT_TransportEnergyCons!L$4:L$10000))*1000&lt;0,0,(SUMPRODUCT(("Var_Cap"=[1]OUT_TransportEnergyCons!$B$4:$B$10000)*1,ISNUMBER(SEARCH("T_B_u*hyb*DSL*s3",[1]OUT_TransportEnergyCons!$A$4:$A$10000))*1,[1]OUT_TransportEnergyCons!L$4:L$10000))*1000)</f>
        <v>0</v>
      </c>
      <c r="O1966" s="1" cm="1">
        <f t="array" ref="O1966">IF((SUMPRODUCT(("Var_Cap"=[1]OUT_TransportEnergyCons!$B$4:$B$10000)*1,ISNUMBER(SEARCH("T_B_u*hyb*DSL*s3",[1]OUT_TransportEnergyCons!$A$4:$A$10000))*1,[1]OUT_TransportEnergyCons!M$4:M$10000))*1000&lt;0,0,(SUMPRODUCT(("Var_Cap"=[1]OUT_TransportEnergyCons!$B$4:$B$10000)*1,ISNUMBER(SEARCH("T_B_u*hyb*DSL*s3",[1]OUT_TransportEnergyCons!$A$4:$A$10000))*1,[1]OUT_TransportEnergyCons!M$4:M$10000))*1000)</f>
        <v>0</v>
      </c>
      <c r="P1966" s="1" cm="1">
        <f t="array" ref="P1966">IF((SUMPRODUCT(("Var_Cap"=[1]OUT_TransportEnergyCons!$B$4:$B$10000)*1,ISNUMBER(SEARCH("T_B_u*hyb*DSL*s3",[1]OUT_TransportEnergyCons!$A$4:$A$10000))*1,[1]OUT_TransportEnergyCons!N$4:N$10000))*1000&lt;0,0,(SUMPRODUCT(("Var_Cap"=[1]OUT_TransportEnergyCons!$B$4:$B$10000)*1,ISNUMBER(SEARCH("T_B_u*hyb*DSL*s3",[1]OUT_TransportEnergyCons!$A$4:$A$10000))*1,[1]OUT_TransportEnergyCons!N$4:N$10000))*1000)</f>
        <v>0</v>
      </c>
      <c r="Q1966" s="1" cm="1">
        <f t="array" ref="Q1966">IF((SUMPRODUCT(("Var_Cap"=[1]OUT_TransportEnergyCons!$B$4:$B$10000)*1,ISNUMBER(SEARCH("T_B_u*hyb*DSL*s3",[1]OUT_TransportEnergyCons!$A$4:$A$10000))*1,[1]OUT_TransportEnergyCons!O$4:O$10000))*1000&lt;0,0,(SUMPRODUCT(("Var_Cap"=[1]OUT_TransportEnergyCons!$B$4:$B$10000)*1,ISNUMBER(SEARCH("T_B_u*hyb*DSL*s3",[1]OUT_TransportEnergyCons!$A$4:$A$10000))*1,[1]OUT_TransportEnergyCons!O$4:O$10000))*1000)</f>
        <v>0</v>
      </c>
      <c r="S1966" s="3"/>
    </row>
    <row r="1967" spans="2:19" x14ac:dyDescent="0.5">
      <c r="B1967" s="5" t="str">
        <f t="shared" si="2157"/>
        <v>SPS1</v>
      </c>
      <c r="C1967" s="5" t="str">
        <f t="shared" si="215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4.56709120277577E-5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8.4608192823781397E-5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5.0994025181477029E-6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0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1.02852324788809E-5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5.3330061372772993E-6</v>
      </c>
      <c r="M1967" s="1" cm="1">
        <f t="array" ref="M1967">IF((SUMPRODUCT(("Var_Cap"=[1]OUT_TransportEnergyCons!$B$4:$B$10000)*1,ISNUMBER(SEARCH("T_B_u*hyb*DSL*s4",[1]OUT_TransportEnergyCons!$A$4:$A$10000))*1,[1]OUT_TransportEnergyCons!K$4:K$10000))*1000&lt;0,0,(SUMPRODUCT(("Var_Cap"=[1]OUT_TransportEnergyCons!$B$4:$B$10000)*1,ISNUMBER(SEARCH("T_B_u*hyb*DSL*s4",[1]OUT_TransportEnergyCons!$A$4:$A$10000))*1,[1]OUT_TransportEnergyCons!K$4:K$10000))*1000)</f>
        <v>0</v>
      </c>
      <c r="N1967" s="1" cm="1">
        <f t="array" ref="N1967">IF((SUMPRODUCT(("Var_Cap"=[1]OUT_TransportEnergyCons!$B$4:$B$10000)*1,ISNUMBER(SEARCH("T_B_u*hyb*DSL*s4",[1]OUT_TransportEnergyCons!$A$4:$A$10000))*1,[1]OUT_TransportEnergyCons!L$4:L$10000))*1000&lt;0,0,(SUMPRODUCT(("Var_Cap"=[1]OUT_TransportEnergyCons!$B$4:$B$10000)*1,ISNUMBER(SEARCH("T_B_u*hyb*DSL*s4",[1]OUT_TransportEnergyCons!$A$4:$A$10000))*1,[1]OUT_TransportEnergyCons!L$4:L$10000))*1000)</f>
        <v>0</v>
      </c>
      <c r="O1967" s="1" cm="1">
        <f t="array" ref="O1967">IF((SUMPRODUCT(("Var_Cap"=[1]OUT_TransportEnergyCons!$B$4:$B$10000)*1,ISNUMBER(SEARCH("T_B_u*hyb*DSL*s4",[1]OUT_TransportEnergyCons!$A$4:$A$10000))*1,[1]OUT_TransportEnergyCons!M$4:M$10000))*1000&lt;0,0,(SUMPRODUCT(("Var_Cap"=[1]OUT_TransportEnergyCons!$B$4:$B$10000)*1,ISNUMBER(SEARCH("T_B_u*hyb*DSL*s4",[1]OUT_TransportEnergyCons!$A$4:$A$10000))*1,[1]OUT_TransportEnergyCons!M$4:M$10000))*1000)</f>
        <v>0</v>
      </c>
      <c r="P1967" s="1" cm="1">
        <f t="array" ref="P1967">IF((SUMPRODUCT(("Var_Cap"=[1]OUT_TransportEnergyCons!$B$4:$B$10000)*1,ISNUMBER(SEARCH("T_B_u*hyb*DSL*s4",[1]OUT_TransportEnergyCons!$A$4:$A$10000))*1,[1]OUT_TransportEnergyCons!N$4:N$10000))*1000&lt;0,0,(SUMPRODUCT(("Var_Cap"=[1]OUT_TransportEnergyCons!$B$4:$B$10000)*1,ISNUMBER(SEARCH("T_B_u*hyb*DSL*s4",[1]OUT_TransportEnergyCons!$A$4:$A$10000))*1,[1]OUT_TransportEnergyCons!N$4:N$10000))*1000)</f>
        <v>0</v>
      </c>
      <c r="Q1967" s="1" cm="1">
        <f t="array" ref="Q1967">IF((SUMPRODUCT(("Var_Cap"=[1]OUT_TransportEnergyCons!$B$4:$B$10000)*1,ISNUMBER(SEARCH("T_B_u*hyb*DSL*s4",[1]OUT_TransportEnergyCons!$A$4:$A$10000))*1,[1]OUT_TransportEnergyCons!O$4:O$10000))*1000&lt;0,0,(SUMPRODUCT(("Var_Cap"=[1]OUT_TransportEnergyCons!$B$4:$B$10000)*1,ISNUMBER(SEARCH("T_B_u*hyb*DSL*s4",[1]OUT_TransportEnergyCons!$A$4:$A$10000))*1,[1]OUT_TransportEnergyCons!O$4:O$10000))*1000)</f>
        <v>0</v>
      </c>
      <c r="S1967" s="3"/>
    </row>
    <row r="1968" spans="2:19" x14ac:dyDescent="0.5">
      <c r="B1968" s="5" t="str">
        <f t="shared" si="2157"/>
        <v>SPS1</v>
      </c>
      <c r="C1968" s="5" t="str">
        <f t="shared" si="215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4.5678318992730045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2.2839071968742104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M1968" s="1" cm="1">
        <f t="array" ref="M1968">(SUMPRODUCT(("Var_Cap"=[1]OUT_TransportEnergyCons!$B$4:$B$10000)*1,ISNUMBER(SEARCH("T_B_u*ICE*DSL*ext",[1]OUT_TransportEnergyCons!$A$4:$A$10000))*1,[1]OUT_TransportEnergyCons!K$4:K$10000))*1000</f>
        <v>0</v>
      </c>
      <c r="N1968" s="1" cm="1">
        <f t="array" ref="N1968">(SUMPRODUCT(("Var_Cap"=[1]OUT_TransportEnergyCons!$B$4:$B$10000)*1,ISNUMBER(SEARCH("T_B_u*ICE*DSL*ext",[1]OUT_TransportEnergyCons!$A$4:$A$10000))*1,[1]OUT_TransportEnergyCons!L$4:L$10000))*1000</f>
        <v>0</v>
      </c>
      <c r="O1968" s="1" cm="1">
        <f t="array" ref="O1968">(SUMPRODUCT(("Var_Cap"=[1]OUT_TransportEnergyCons!$B$4:$B$10000)*1,ISNUMBER(SEARCH("T_B_u*ICE*DSL*ext",[1]OUT_TransportEnergyCons!$A$4:$A$10000))*1,[1]OUT_TransportEnergyCons!M$4:M$10000))*1000</f>
        <v>0</v>
      </c>
      <c r="P1968" s="1" cm="1">
        <f t="array" ref="P1968">(SUMPRODUCT(("Var_Cap"=[1]OUT_TransportEnergyCons!$B$4:$B$10000)*1,ISNUMBER(SEARCH("T_B_u*ICE*DSL*ext",[1]OUT_TransportEnergyCons!$A$4:$A$10000))*1,[1]OUT_TransportEnergyCons!N$4:N$10000))*1000</f>
        <v>0</v>
      </c>
      <c r="Q1968" s="1" cm="1">
        <f t="array" ref="Q1968">(SUMPRODUCT(("Var_Cap"=[1]OUT_TransportEnergyCons!$B$4:$B$10000)*1,ISNUMBER(SEARCH("T_B_u*ICE*DSL*ext",[1]OUT_TransportEnergyCons!$A$4:$A$10000))*1,[1]OUT_TransportEnergyCons!O$4:O$10000))*1000</f>
        <v>0</v>
      </c>
      <c r="S1968" s="3"/>
    </row>
    <row r="1969" spans="2:19" x14ac:dyDescent="0.5">
      <c r="B1969" s="5" t="str">
        <f t="shared" si="2157"/>
        <v>SPS1</v>
      </c>
      <c r="C1969" s="5" t="str">
        <f t="shared" si="215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0.48004197936420145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1.0034390510936324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1.2354393838227666E-4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5.0926834499693055E-7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0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0</v>
      </c>
      <c r="M1969" s="1" cm="1">
        <f t="array" ref="M1969">(SUMPRODUCT(("Var_Cap"=[1]OUT_TransportEnergyCons!$B$4:$B$10000)*1,ISNUMBER(SEARCH("T_B_u*ICE*DSL*s1",[1]OUT_TransportEnergyCons!$A$4:$A$10000))*1,[1]OUT_TransportEnergyCons!K$4:K$10000))*1000</f>
        <v>0</v>
      </c>
      <c r="N1969" s="1" cm="1">
        <f t="array" ref="N1969">(SUMPRODUCT(("Var_Cap"=[1]OUT_TransportEnergyCons!$B$4:$B$10000)*1,ISNUMBER(SEARCH("T_B_u*ICE*DSL*s1",[1]OUT_TransportEnergyCons!$A$4:$A$10000))*1,[1]OUT_TransportEnergyCons!L$4:L$10000))*1000</f>
        <v>0</v>
      </c>
      <c r="O1969" s="1" cm="1">
        <f t="array" ref="O1969">(SUMPRODUCT(("Var_Cap"=[1]OUT_TransportEnergyCons!$B$4:$B$10000)*1,ISNUMBER(SEARCH("T_B_u*ICE*DSL*s1",[1]OUT_TransportEnergyCons!$A$4:$A$10000))*1,[1]OUT_TransportEnergyCons!M$4:M$10000))*1000</f>
        <v>0</v>
      </c>
      <c r="P1969" s="1" cm="1">
        <f t="array" ref="P1969">(SUMPRODUCT(("Var_Cap"=[1]OUT_TransportEnergyCons!$B$4:$B$10000)*1,ISNUMBER(SEARCH("T_B_u*ICE*DSL*s1",[1]OUT_TransportEnergyCons!$A$4:$A$10000))*1,[1]OUT_TransportEnergyCons!N$4:N$10000))*1000</f>
        <v>0</v>
      </c>
      <c r="Q1969" s="1" cm="1">
        <f t="array" ref="Q1969">(SUMPRODUCT(("Var_Cap"=[1]OUT_TransportEnergyCons!$B$4:$B$10000)*1,ISNUMBER(SEARCH("T_B_u*ICE*DSL*s1",[1]OUT_TransportEnergyCons!$A$4:$A$10000))*1,[1]OUT_TransportEnergyCons!O$4:O$10000))*1000</f>
        <v>0</v>
      </c>
      <c r="S1969" s="3"/>
    </row>
    <row r="1970" spans="2:19" x14ac:dyDescent="0.5">
      <c r="B1970" s="5" t="str">
        <f t="shared" si="2157"/>
        <v>SPS1</v>
      </c>
      <c r="C1970" s="5" t="str">
        <f t="shared" si="215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0.18461603375527399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0.22489774612720559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0.4065399904041212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7.5931975819856778E-6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2.8569416365926753E-6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0</v>
      </c>
      <c r="M1970" s="1" cm="1">
        <f t="array" ref="M1970">IF((SUMPRODUCT(("Var_Cap"=[1]OUT_TransportEnergyCons!$B$4:$B$10000)*1,ISNUMBER(SEARCH("T_B_u*ICE*DSL*s2",[1]OUT_TransportEnergyCons!$A$4:$A$10000))*1,[1]OUT_TransportEnergyCons!K$4:K$10000))*1000&lt;0,0,(SUMPRODUCT(("Var_Cap"=[1]OUT_TransportEnergyCons!$B$4:$B$10000)*1,ISNUMBER(SEARCH("T_B_u*ICE*DSL*s2",[1]OUT_TransportEnergyCons!$A$4:$A$10000))*1,[1]OUT_TransportEnergyCons!K$4:K$10000))*1000)</f>
        <v>0</v>
      </c>
      <c r="N1970" s="1" cm="1">
        <f t="array" ref="N1970">IF((SUMPRODUCT(("Var_Cap"=[1]OUT_TransportEnergyCons!$B$4:$B$10000)*1,ISNUMBER(SEARCH("T_B_u*ICE*DSL*s2",[1]OUT_TransportEnergyCons!$A$4:$A$10000))*1,[1]OUT_TransportEnergyCons!L$4:L$10000))*1000&lt;0,0,(SUMPRODUCT(("Var_Cap"=[1]OUT_TransportEnergyCons!$B$4:$B$10000)*1,ISNUMBER(SEARCH("T_B_u*ICE*DSL*s2",[1]OUT_TransportEnergyCons!$A$4:$A$10000))*1,[1]OUT_TransportEnergyCons!L$4:L$10000))*1000)</f>
        <v>0</v>
      </c>
      <c r="O1970" s="1" cm="1">
        <f t="array" ref="O1970">IF((SUMPRODUCT(("Var_Cap"=[1]OUT_TransportEnergyCons!$B$4:$B$10000)*1,ISNUMBER(SEARCH("T_B_u*ICE*DSL*s2",[1]OUT_TransportEnergyCons!$A$4:$A$10000))*1,[1]OUT_TransportEnergyCons!M$4:M$10000))*1000&lt;0,0,(SUMPRODUCT(("Var_Cap"=[1]OUT_TransportEnergyCons!$B$4:$B$10000)*1,ISNUMBER(SEARCH("T_B_u*ICE*DSL*s2",[1]OUT_TransportEnergyCons!$A$4:$A$10000))*1,[1]OUT_TransportEnergyCons!M$4:M$10000))*1000)</f>
        <v>0</v>
      </c>
      <c r="P1970" s="1" cm="1">
        <f t="array" ref="P1970">IF((SUMPRODUCT(("Var_Cap"=[1]OUT_TransportEnergyCons!$B$4:$B$10000)*1,ISNUMBER(SEARCH("T_B_u*ICE*DSL*s2",[1]OUT_TransportEnergyCons!$A$4:$A$10000))*1,[1]OUT_TransportEnergyCons!N$4:N$10000))*1000&lt;0,0,(SUMPRODUCT(("Var_Cap"=[1]OUT_TransportEnergyCons!$B$4:$B$10000)*1,ISNUMBER(SEARCH("T_B_u*ICE*DSL*s2",[1]OUT_TransportEnergyCons!$A$4:$A$10000))*1,[1]OUT_TransportEnergyCons!N$4:N$10000))*1000)</f>
        <v>0</v>
      </c>
      <c r="Q1970" s="1" cm="1">
        <f t="array" ref="Q1970">IF((SUMPRODUCT(("Var_Cap"=[1]OUT_TransportEnergyCons!$B$4:$B$10000)*1,ISNUMBER(SEARCH("T_B_u*ICE*DSL*s2",[1]OUT_TransportEnergyCons!$A$4:$A$10000))*1,[1]OUT_TransportEnergyCons!O$4:O$10000))*1000&lt;0,0,(SUMPRODUCT(("Var_Cap"=[1]OUT_TransportEnergyCons!$B$4:$B$10000)*1,ISNUMBER(SEARCH("T_B_u*ICE*DSL*s2",[1]OUT_TransportEnergyCons!$A$4:$A$10000))*1,[1]OUT_TransportEnergyCons!O$4:O$10000))*1000)</f>
        <v>0</v>
      </c>
      <c r="S1970" s="3"/>
    </row>
    <row r="1971" spans="2:19" x14ac:dyDescent="0.5">
      <c r="B1971" s="5" t="str">
        <f t="shared" si="2157"/>
        <v>SPS1</v>
      </c>
      <c r="C1971" s="5" t="str">
        <f t="shared" si="215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0.80681434599156099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1.0033718905447893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1.8184659653129069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4.6120115192171962E-7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0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0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0</v>
      </c>
      <c r="M1971" s="1" cm="1">
        <f t="array" ref="M1971">IF((SUMPRODUCT(("Var_Cap"=[1]OUT_TransportEnergyCons!$B$4:$B$10000)*1,ISNUMBER(SEARCH("T_B_u*ICE*DSL*s3",[1]OUT_TransportEnergyCons!$A$4:$A$10000))*1,[1]OUT_TransportEnergyCons!K$4:K$10000))*1000&lt;0,0,(SUMPRODUCT(("Var_Cap"=[1]OUT_TransportEnergyCons!$B$4:$B$10000)*1,ISNUMBER(SEARCH("T_B_u*ICE*DSL*s3",[1]OUT_TransportEnergyCons!$A$4:$A$10000))*1,[1]OUT_TransportEnergyCons!K$4:K$10000))*1000)</f>
        <v>0</v>
      </c>
      <c r="N1971" s="1" cm="1">
        <f t="array" ref="N1971">IF((SUMPRODUCT(("Var_Cap"=[1]OUT_TransportEnergyCons!$B$4:$B$10000)*1,ISNUMBER(SEARCH("T_B_u*ICE*DSL*s3",[1]OUT_TransportEnergyCons!$A$4:$A$10000))*1,[1]OUT_TransportEnergyCons!L$4:L$10000))*1000&lt;0,0,(SUMPRODUCT(("Var_Cap"=[1]OUT_TransportEnergyCons!$B$4:$B$10000)*1,ISNUMBER(SEARCH("T_B_u*ICE*DSL*s3",[1]OUT_TransportEnergyCons!$A$4:$A$10000))*1,[1]OUT_TransportEnergyCons!L$4:L$10000))*1000)</f>
        <v>0</v>
      </c>
      <c r="O1971" s="1" cm="1">
        <f t="array" ref="O1971">IF((SUMPRODUCT(("Var_Cap"=[1]OUT_TransportEnergyCons!$B$4:$B$10000)*1,ISNUMBER(SEARCH("T_B_u*ICE*DSL*s3",[1]OUT_TransportEnergyCons!$A$4:$A$10000))*1,[1]OUT_TransportEnergyCons!M$4:M$10000))*1000&lt;0,0,(SUMPRODUCT(("Var_Cap"=[1]OUT_TransportEnergyCons!$B$4:$B$10000)*1,ISNUMBER(SEARCH("T_B_u*ICE*DSL*s3",[1]OUT_TransportEnergyCons!$A$4:$A$10000))*1,[1]OUT_TransportEnergyCons!M$4:M$10000))*1000)</f>
        <v>0</v>
      </c>
      <c r="P1971" s="1" cm="1">
        <f t="array" ref="P1971">IF((SUMPRODUCT(("Var_Cap"=[1]OUT_TransportEnergyCons!$B$4:$B$10000)*1,ISNUMBER(SEARCH("T_B_u*ICE*DSL*s3",[1]OUT_TransportEnergyCons!$A$4:$A$10000))*1,[1]OUT_TransportEnergyCons!N$4:N$10000))*1000&lt;0,0,(SUMPRODUCT(("Var_Cap"=[1]OUT_TransportEnergyCons!$B$4:$B$10000)*1,ISNUMBER(SEARCH("T_B_u*ICE*DSL*s3",[1]OUT_TransportEnergyCons!$A$4:$A$10000))*1,[1]OUT_TransportEnergyCons!N$4:N$10000))*1000)</f>
        <v>0</v>
      </c>
      <c r="Q1971" s="1" cm="1">
        <f t="array" ref="Q1971">IF((SUMPRODUCT(("Var_Cap"=[1]OUT_TransportEnergyCons!$B$4:$B$10000)*1,ISNUMBER(SEARCH("T_B_u*ICE*DSL*s3",[1]OUT_TransportEnergyCons!$A$4:$A$10000))*1,[1]OUT_TransportEnergyCons!O$4:O$10000))*1000&lt;0,0,(SUMPRODUCT(("Var_Cap"=[1]OUT_TransportEnergyCons!$B$4:$B$10000)*1,ISNUMBER(SEARCH("T_B_u*ICE*DSL*s3",[1]OUT_TransportEnergyCons!$A$4:$A$10000))*1,[1]OUT_TransportEnergyCons!O$4:O$10000))*1000)</f>
        <v>0</v>
      </c>
      <c r="S1971" s="3"/>
    </row>
    <row r="1972" spans="2:19" x14ac:dyDescent="0.5">
      <c r="B1972" s="5" t="str">
        <f t="shared" si="2157"/>
        <v>SPS1</v>
      </c>
      <c r="C1972" s="5" t="str">
        <f t="shared" si="215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3.587935001126369E-3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4.5685166926809074E-4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4.2457614875260612E-4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4.8747679374403711E-6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0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0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0</v>
      </c>
      <c r="M1972" s="1" cm="1">
        <f t="array" ref="M1972">IF((SUMPRODUCT(("Var_Cap"=[1]OUT_TransportEnergyCons!$B$4:$B$10000)*1,ISNUMBER(SEARCH("T_B_u*ICE*DSL*s4",[1]OUT_TransportEnergyCons!$A$4:$A$10000))*1,[1]OUT_TransportEnergyCons!K$4:K$10000))*1000&lt;0,0,(SUMPRODUCT(("Var_Cap"=[1]OUT_TransportEnergyCons!$B$4:$B$10000)*1,ISNUMBER(SEARCH("T_B_u*ICE*DSL*s4",[1]OUT_TransportEnergyCons!$A$4:$A$10000))*1,[1]OUT_TransportEnergyCons!K$4:K$10000))*1000)</f>
        <v>0</v>
      </c>
      <c r="N1972" s="1" cm="1">
        <f t="array" ref="N1972">IF((SUMPRODUCT(("Var_Cap"=[1]OUT_TransportEnergyCons!$B$4:$B$10000)*1,ISNUMBER(SEARCH("T_B_u*ICE*DSL*s4",[1]OUT_TransportEnergyCons!$A$4:$A$10000))*1,[1]OUT_TransportEnergyCons!L$4:L$10000))*1000&lt;0,0,(SUMPRODUCT(("Var_Cap"=[1]OUT_TransportEnergyCons!$B$4:$B$10000)*1,ISNUMBER(SEARCH("T_B_u*ICE*DSL*s4",[1]OUT_TransportEnergyCons!$A$4:$A$10000))*1,[1]OUT_TransportEnergyCons!L$4:L$10000))*1000)</f>
        <v>0</v>
      </c>
      <c r="O1972" s="1" cm="1">
        <f t="array" ref="O1972">IF((SUMPRODUCT(("Var_Cap"=[1]OUT_TransportEnergyCons!$B$4:$B$10000)*1,ISNUMBER(SEARCH("T_B_u*ICE*DSL*s4",[1]OUT_TransportEnergyCons!$A$4:$A$10000))*1,[1]OUT_TransportEnergyCons!M$4:M$10000))*1000&lt;0,0,(SUMPRODUCT(("Var_Cap"=[1]OUT_TransportEnergyCons!$B$4:$B$10000)*1,ISNUMBER(SEARCH("T_B_u*ICE*DSL*s4",[1]OUT_TransportEnergyCons!$A$4:$A$10000))*1,[1]OUT_TransportEnergyCons!M$4:M$10000))*1000)</f>
        <v>0</v>
      </c>
      <c r="P1972" s="1" cm="1">
        <f t="array" ref="P1972">IF((SUMPRODUCT(("Var_Cap"=[1]OUT_TransportEnergyCons!$B$4:$B$10000)*1,ISNUMBER(SEARCH("T_B_u*ICE*DSL*s4",[1]OUT_TransportEnergyCons!$A$4:$A$10000))*1,[1]OUT_TransportEnergyCons!N$4:N$10000))*1000&lt;0,0,(SUMPRODUCT(("Var_Cap"=[1]OUT_TransportEnergyCons!$B$4:$B$10000)*1,ISNUMBER(SEARCH("T_B_u*ICE*DSL*s4",[1]OUT_TransportEnergyCons!$A$4:$A$10000))*1,[1]OUT_TransportEnergyCons!N$4:N$10000))*1000)</f>
        <v>0</v>
      </c>
      <c r="Q1972" s="1" cm="1">
        <f t="array" ref="Q1972">IF((SUMPRODUCT(("Var_Cap"=[1]OUT_TransportEnergyCons!$B$4:$B$10000)*1,ISNUMBER(SEARCH("T_B_u*ICE*DSL*s4",[1]OUT_TransportEnergyCons!$A$4:$A$10000))*1,[1]OUT_TransportEnergyCons!O$4:O$10000))*1000&lt;0,0,(SUMPRODUCT(("Var_Cap"=[1]OUT_TransportEnergyCons!$B$4:$B$10000)*1,ISNUMBER(SEARCH("T_B_u*ICE*DSL*s4",[1]OUT_TransportEnergyCons!$A$4:$A$10000))*1,[1]OUT_TransportEnergyCons!O$4:O$10000))*1000)</f>
        <v>0</v>
      </c>
      <c r="S1972" s="3"/>
    </row>
    <row r="1973" spans="2:19" x14ac:dyDescent="0.5">
      <c r="B1973" s="5" t="str">
        <f t="shared" si="2157"/>
        <v>SPS1</v>
      </c>
      <c r="C1973" s="5" t="str">
        <f t="shared" si="215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8.3570061013346186E-2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M1973" s="1" cm="1">
        <f t="array" ref="M1973">(SUMPRODUCT(("Var_Cap"=[1]OUT_TransportEnergyCons!$B$4:$B$10000)*1,ISNUMBER(SEARCH("T_B_u*ICE*nga*ext",[1]OUT_TransportEnergyCons!$A$4:$A$10000))*1,[1]OUT_TransportEnergyCons!K$4:K$10000))*1000</f>
        <v>0</v>
      </c>
      <c r="N1973" s="1" cm="1">
        <f t="array" ref="N1973">(SUMPRODUCT(("Var_Cap"=[1]OUT_TransportEnergyCons!$B$4:$B$10000)*1,ISNUMBER(SEARCH("T_B_u*ICE*nga*ext",[1]OUT_TransportEnergyCons!$A$4:$A$10000))*1,[1]OUT_TransportEnergyCons!L$4:L$10000))*1000</f>
        <v>0</v>
      </c>
      <c r="O1973" s="1" cm="1">
        <f t="array" ref="O1973">(SUMPRODUCT(("Var_Cap"=[1]OUT_TransportEnergyCons!$B$4:$B$10000)*1,ISNUMBER(SEARCH("T_B_u*ICE*nga*ext",[1]OUT_TransportEnergyCons!$A$4:$A$10000))*1,[1]OUT_TransportEnergyCons!M$4:M$10000))*1000</f>
        <v>0</v>
      </c>
      <c r="P1973" s="1" cm="1">
        <f t="array" ref="P1973">(SUMPRODUCT(("Var_Cap"=[1]OUT_TransportEnergyCons!$B$4:$B$10000)*1,ISNUMBER(SEARCH("T_B_u*ICE*nga*ext",[1]OUT_TransportEnergyCons!$A$4:$A$10000))*1,[1]OUT_TransportEnergyCons!N$4:N$10000))*1000</f>
        <v>0</v>
      </c>
      <c r="Q1973" s="1" cm="1">
        <f t="array" ref="Q1973">(SUMPRODUCT(("Var_Cap"=[1]OUT_TransportEnergyCons!$B$4:$B$10000)*1,ISNUMBER(SEARCH("T_B_u*ICE*nga*ext",[1]OUT_TransportEnergyCons!$A$4:$A$10000))*1,[1]OUT_TransportEnergyCons!O$4:O$10000))*1000</f>
        <v>0</v>
      </c>
      <c r="S1973" s="3"/>
    </row>
    <row r="1974" spans="2:19" x14ac:dyDescent="0.5">
      <c r="B1974" s="5" t="str">
        <f t="shared" si="2157"/>
        <v>SPS1</v>
      </c>
      <c r="C1974" s="5" t="str">
        <f t="shared" si="215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4.2103662909691498E-4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1.56727205463075E-3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9.648238505700002E-7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4.6624579857703885E-7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0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0</v>
      </c>
      <c r="M1974" s="1" cm="1">
        <f t="array" ref="M1974">(SUMPRODUCT(("Var_Cap"=[1]OUT_TransportEnergyCons!$B$4:$B$10000)*1,ISNUMBER(SEARCH("T_B_u*ICE*nga*s1",[1]OUT_TransportEnergyCons!$A$4:$A$10000))*1,[1]OUT_TransportEnergyCons!K$4:K$10000))*1000</f>
        <v>0</v>
      </c>
      <c r="N1974" s="1" cm="1">
        <f t="array" ref="N1974">(SUMPRODUCT(("Var_Cap"=[1]OUT_TransportEnergyCons!$B$4:$B$10000)*1,ISNUMBER(SEARCH("T_B_u*ICE*nga*s1",[1]OUT_TransportEnergyCons!$A$4:$A$10000))*1,[1]OUT_TransportEnergyCons!L$4:L$10000))*1000</f>
        <v>0</v>
      </c>
      <c r="O1974" s="1" cm="1">
        <f t="array" ref="O1974">(SUMPRODUCT(("Var_Cap"=[1]OUT_TransportEnergyCons!$B$4:$B$10000)*1,ISNUMBER(SEARCH("T_B_u*ICE*nga*s1",[1]OUT_TransportEnergyCons!$A$4:$A$10000))*1,[1]OUT_TransportEnergyCons!M$4:M$10000))*1000</f>
        <v>0</v>
      </c>
      <c r="P1974" s="1" cm="1">
        <f t="array" ref="P1974">(SUMPRODUCT(("Var_Cap"=[1]OUT_TransportEnergyCons!$B$4:$B$10000)*1,ISNUMBER(SEARCH("T_B_u*ICE*nga*s1",[1]OUT_TransportEnergyCons!$A$4:$A$10000))*1,[1]OUT_TransportEnergyCons!N$4:N$10000))*1000</f>
        <v>0</v>
      </c>
      <c r="Q1974" s="1" cm="1">
        <f t="array" ref="Q1974">(SUMPRODUCT(("Var_Cap"=[1]OUT_TransportEnergyCons!$B$4:$B$10000)*1,ISNUMBER(SEARCH("T_B_u*ICE*nga*s1",[1]OUT_TransportEnergyCons!$A$4:$A$10000))*1,[1]OUT_TransportEnergyCons!O$4:O$10000))*1000</f>
        <v>0</v>
      </c>
      <c r="S1974" s="3"/>
    </row>
    <row r="1975" spans="2:19" x14ac:dyDescent="0.5">
      <c r="B1975" s="5" t="str">
        <f t="shared" si="2157"/>
        <v>SPS1</v>
      </c>
      <c r="C1975" s="5" t="str">
        <f t="shared" si="215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2.4498119567079295E-4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2.3010964439956201E-3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3.7386128542000636E-6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2.3275742556798954E-6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0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0</v>
      </c>
      <c r="M1975" s="1" cm="1">
        <f t="array" ref="M1975">(SUMPRODUCT(("Var_Cap"=[1]OUT_TransportEnergyCons!$B$4:$B$10000)*1,ISNUMBER(SEARCH("T_B_u*ICE*nga*s2",[1]OUT_TransportEnergyCons!$A$4:$A$10000))*1,[1]OUT_TransportEnergyCons!K$4:K$10000))*1000</f>
        <v>0</v>
      </c>
      <c r="N1975" s="1" cm="1">
        <f t="array" ref="N1975">(SUMPRODUCT(("Var_Cap"=[1]OUT_TransportEnergyCons!$B$4:$B$10000)*1,ISNUMBER(SEARCH("T_B_u*ICE*nga*s2",[1]OUT_TransportEnergyCons!$A$4:$A$10000))*1,[1]OUT_TransportEnergyCons!L$4:L$10000))*1000</f>
        <v>0</v>
      </c>
      <c r="O1975" s="1" cm="1">
        <f t="array" ref="O1975">(SUMPRODUCT(("Var_Cap"=[1]OUT_TransportEnergyCons!$B$4:$B$10000)*1,ISNUMBER(SEARCH("T_B_u*ICE*nga*s2",[1]OUT_TransportEnergyCons!$A$4:$A$10000))*1,[1]OUT_TransportEnergyCons!M$4:M$10000))*1000</f>
        <v>0</v>
      </c>
      <c r="P1975" s="1" cm="1">
        <f t="array" ref="P1975">(SUMPRODUCT(("Var_Cap"=[1]OUT_TransportEnergyCons!$B$4:$B$10000)*1,ISNUMBER(SEARCH("T_B_u*ICE*nga*s2",[1]OUT_TransportEnergyCons!$A$4:$A$10000))*1,[1]OUT_TransportEnergyCons!N$4:N$10000))*1000</f>
        <v>0</v>
      </c>
      <c r="Q1975" s="1" cm="1">
        <f t="array" ref="Q1975">(SUMPRODUCT(("Var_Cap"=[1]OUT_TransportEnergyCons!$B$4:$B$10000)*1,ISNUMBER(SEARCH("T_B_u*ICE*nga*s2",[1]OUT_TransportEnergyCons!$A$4:$A$10000))*1,[1]OUT_TransportEnergyCons!O$4:O$10000))*1000</f>
        <v>0</v>
      </c>
      <c r="S1975" s="3"/>
    </row>
    <row r="1976" spans="2:19" x14ac:dyDescent="0.5">
      <c r="B1976" s="5" t="str">
        <f t="shared" si="2157"/>
        <v>SPS1</v>
      </c>
      <c r="C1976" s="5" t="str">
        <f t="shared" si="215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1.6189140081539899E-4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2.0912175289654202E-2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0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0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0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0</v>
      </c>
      <c r="M1976" s="1" cm="1">
        <f t="array" ref="M1976">IF((SUMPRODUCT(("Var_Cap"=[1]OUT_TransportEnergyCons!$B$4:$B$10000)*1,ISNUMBER(SEARCH("T_B_u*ICE*nga*s3",[1]OUT_TransportEnergyCons!$A$4:$A$10000))*1,[1]OUT_TransportEnergyCons!K$4:K$10000))*1000&lt;0,0,(SUMPRODUCT(("Var_Cap"=[1]OUT_TransportEnergyCons!$B$4:$B$10000)*1,ISNUMBER(SEARCH("T_B_u*ICE*nga*s3",[1]OUT_TransportEnergyCons!$A$4:$A$10000))*1,[1]OUT_TransportEnergyCons!K$4:K$10000))*1000)</f>
        <v>0</v>
      </c>
      <c r="N1976" s="1" cm="1">
        <f t="array" ref="N1976">IF((SUMPRODUCT(("Var_Cap"=[1]OUT_TransportEnergyCons!$B$4:$B$10000)*1,ISNUMBER(SEARCH("T_B_u*ICE*nga*s3",[1]OUT_TransportEnergyCons!$A$4:$A$10000))*1,[1]OUT_TransportEnergyCons!L$4:L$10000))*1000&lt;0,0,(SUMPRODUCT(("Var_Cap"=[1]OUT_TransportEnergyCons!$B$4:$B$10000)*1,ISNUMBER(SEARCH("T_B_u*ICE*nga*s3",[1]OUT_TransportEnergyCons!$A$4:$A$10000))*1,[1]OUT_TransportEnergyCons!L$4:L$10000))*1000)</f>
        <v>0</v>
      </c>
      <c r="O1976" s="1" cm="1">
        <f t="array" ref="O1976">IF((SUMPRODUCT(("Var_Cap"=[1]OUT_TransportEnergyCons!$B$4:$B$10000)*1,ISNUMBER(SEARCH("T_B_u*ICE*nga*s3",[1]OUT_TransportEnergyCons!$A$4:$A$10000))*1,[1]OUT_TransportEnergyCons!M$4:M$10000))*1000&lt;0,0,(SUMPRODUCT(("Var_Cap"=[1]OUT_TransportEnergyCons!$B$4:$B$10000)*1,ISNUMBER(SEARCH("T_B_u*ICE*nga*s3",[1]OUT_TransportEnergyCons!$A$4:$A$10000))*1,[1]OUT_TransportEnergyCons!M$4:M$10000))*1000)</f>
        <v>0</v>
      </c>
      <c r="P1976" s="1" cm="1">
        <f t="array" ref="P1976">IF((SUMPRODUCT(("Var_Cap"=[1]OUT_TransportEnergyCons!$B$4:$B$10000)*1,ISNUMBER(SEARCH("T_B_u*ICE*nga*s3",[1]OUT_TransportEnergyCons!$A$4:$A$10000))*1,[1]OUT_TransportEnergyCons!N$4:N$10000))*1000&lt;0,0,(SUMPRODUCT(("Var_Cap"=[1]OUT_TransportEnergyCons!$B$4:$B$10000)*1,ISNUMBER(SEARCH("T_B_u*ICE*nga*s3",[1]OUT_TransportEnergyCons!$A$4:$A$10000))*1,[1]OUT_TransportEnergyCons!N$4:N$10000))*1000)</f>
        <v>0</v>
      </c>
      <c r="Q1976" s="1" cm="1">
        <f t="array" ref="Q1976">IF((SUMPRODUCT(("Var_Cap"=[1]OUT_TransportEnergyCons!$B$4:$B$10000)*1,ISNUMBER(SEARCH("T_B_u*ICE*nga*s3",[1]OUT_TransportEnergyCons!$A$4:$A$10000))*1,[1]OUT_TransportEnergyCons!O$4:O$10000))*1000&lt;0,0,(SUMPRODUCT(("Var_Cap"=[1]OUT_TransportEnergyCons!$B$4:$B$10000)*1,ISNUMBER(SEARCH("T_B_u*ICE*nga*s3",[1]OUT_TransportEnergyCons!$A$4:$A$10000))*1,[1]OUT_TransportEnergyCons!O$4:O$10000))*1000)</f>
        <v>0</v>
      </c>
      <c r="S1976" s="3"/>
    </row>
    <row r="1977" spans="2:19" x14ac:dyDescent="0.5">
      <c r="B1977" s="5" t="str">
        <f t="shared" si="2157"/>
        <v>SPS1</v>
      </c>
      <c r="C1977" s="5" t="str">
        <f t="shared" si="215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2.6041011831172398E-5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6.4484670182823897E-5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4.2260195672894017E-6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0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1.2135937436581199E-5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0</v>
      </c>
      <c r="M1977" s="1" cm="1">
        <f t="array" ref="M1977">IF((SUMPRODUCT(("Var_Cap"=[1]OUT_TransportEnergyCons!$B$4:$B$10000)*1,ISNUMBER(SEARCH("T_B_u*ICE*nga*s4",[1]OUT_TransportEnergyCons!$A$4:$A$10000))*1,[1]OUT_TransportEnergyCons!K$4:K$10000))*1000&lt;0,0,(SUMPRODUCT(("Var_Cap"=[1]OUT_TransportEnergyCons!$B$4:$B$10000)*1,ISNUMBER(SEARCH("T_B_u*ICE*nga*s4",[1]OUT_TransportEnergyCons!$A$4:$A$10000))*1,[1]OUT_TransportEnergyCons!K$4:K$10000))*1000)</f>
        <v>0</v>
      </c>
      <c r="N1977" s="1" cm="1">
        <f t="array" ref="N1977">IF((SUMPRODUCT(("Var_Cap"=[1]OUT_TransportEnergyCons!$B$4:$B$10000)*1,ISNUMBER(SEARCH("T_B_u*ICE*nga*s4",[1]OUT_TransportEnergyCons!$A$4:$A$10000))*1,[1]OUT_TransportEnergyCons!L$4:L$10000))*1000&lt;0,0,(SUMPRODUCT(("Var_Cap"=[1]OUT_TransportEnergyCons!$B$4:$B$10000)*1,ISNUMBER(SEARCH("T_B_u*ICE*nga*s4",[1]OUT_TransportEnergyCons!$A$4:$A$10000))*1,[1]OUT_TransportEnergyCons!L$4:L$10000))*1000)</f>
        <v>0</v>
      </c>
      <c r="O1977" s="1" cm="1">
        <f t="array" ref="O1977">IF((SUMPRODUCT(("Var_Cap"=[1]OUT_TransportEnergyCons!$B$4:$B$10000)*1,ISNUMBER(SEARCH("T_B_u*ICE*nga*s4",[1]OUT_TransportEnergyCons!$A$4:$A$10000))*1,[1]OUT_TransportEnergyCons!M$4:M$10000))*1000&lt;0,0,(SUMPRODUCT(("Var_Cap"=[1]OUT_TransportEnergyCons!$B$4:$B$10000)*1,ISNUMBER(SEARCH("T_B_u*ICE*nga*s4",[1]OUT_TransportEnergyCons!$A$4:$A$10000))*1,[1]OUT_TransportEnergyCons!M$4:M$10000))*1000)</f>
        <v>0</v>
      </c>
      <c r="P1977" s="1" cm="1">
        <f t="array" ref="P1977">IF((SUMPRODUCT(("Var_Cap"=[1]OUT_TransportEnergyCons!$B$4:$B$10000)*1,ISNUMBER(SEARCH("T_B_u*ICE*nga*s4",[1]OUT_TransportEnergyCons!$A$4:$A$10000))*1,[1]OUT_TransportEnergyCons!N$4:N$10000))*1000&lt;0,0,(SUMPRODUCT(("Var_Cap"=[1]OUT_TransportEnergyCons!$B$4:$B$10000)*1,ISNUMBER(SEARCH("T_B_u*ICE*nga*s4",[1]OUT_TransportEnergyCons!$A$4:$A$10000))*1,[1]OUT_TransportEnergyCons!N$4:N$10000))*1000)</f>
        <v>0</v>
      </c>
      <c r="Q1977" s="1" cm="1">
        <f t="array" ref="Q1977">IF((SUMPRODUCT(("Var_Cap"=[1]OUT_TransportEnergyCons!$B$4:$B$10000)*1,ISNUMBER(SEARCH("T_B_u*ICE*nga*s4",[1]OUT_TransportEnergyCons!$A$4:$A$10000))*1,[1]OUT_TransportEnergyCons!O$4:O$10000))*1000&lt;0,0,(SUMPRODUCT(("Var_Cap"=[1]OUT_TransportEnergyCons!$B$4:$B$10000)*1,ISNUMBER(SEARCH("T_B_u*ICE*nga*s4",[1]OUT_TransportEnergyCons!$A$4:$A$10000))*1,[1]OUT_TransportEnergyCons!O$4:O$10000))*1000)</f>
        <v>0</v>
      </c>
      <c r="S1977" s="3"/>
    </row>
    <row r="1978" spans="2:19" x14ac:dyDescent="0.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2.8497127635006696</v>
      </c>
      <c r="G1978" s="3">
        <f t="shared" ref="G1978" si="2159">SUM(G1979:G2001)</f>
        <v>3.0784403221913923</v>
      </c>
      <c r="H1978" s="3">
        <f t="shared" ref="H1978" si="2160">SUM(H1979:H2001)</f>
        <v>2.887223061254828</v>
      </c>
      <c r="I1978" s="3">
        <f t="shared" ref="I1978" si="2161">SUM(I1979:I2001)</f>
        <v>2.9421578355958173</v>
      </c>
      <c r="J1978" s="3">
        <f t="shared" ref="J1978" si="2162">SUM(J1979:J2001)</f>
        <v>2.927648936926782</v>
      </c>
      <c r="K1978" s="3">
        <f t="shared" ref="K1978" si="2163">SUM(K1979:K2001)</f>
        <v>2.9276907592623722</v>
      </c>
      <c r="L1978" s="3">
        <f t="shared" ref="L1978:O1978" si="2164">SUM(L1979:L2001)</f>
        <v>2.9349095601790234</v>
      </c>
      <c r="M1978" s="3">
        <f t="shared" si="2164"/>
        <v>2.9421016146828816</v>
      </c>
      <c r="N1978" s="3">
        <f t="shared" si="2164"/>
        <v>3.0354185645400884</v>
      </c>
      <c r="O1978" s="3">
        <f t="shared" si="2164"/>
        <v>3.1252963816185573</v>
      </c>
      <c r="P1978" s="3">
        <f>SUM(P1979:P2001)</f>
        <v>3.2117728317590779</v>
      </c>
      <c r="Q1978" s="3">
        <f>SUM(Q1979:Q2001)</f>
        <v>3.2949899378170544</v>
      </c>
      <c r="S1978" s="3"/>
    </row>
    <row r="1979" spans="2:19" x14ac:dyDescent="0.5">
      <c r="B1979" s="5" t="str">
        <f t="shared" ref="B1979:B2001" si="2165">B1978</f>
        <v>SPS1</v>
      </c>
      <c r="C1979" s="5" t="str">
        <f t="shared" ref="C1979:C2001" si="2166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M1979" s="1" cm="1">
        <f t="array" ref="M1979">(SUMPRODUCT(("Var_Cap"=[1]OUT_TransportEnergyCons!$B$4:$B$10000)*1,ISNUMBER(SEARCH("T_b_c*bev*ext",[1]OUT_TransportEnergyCons!$A$4:$A$10000))*1,[1]OUT_TransportEnergyCons!K$4:K$10000))*1000</f>
        <v>0</v>
      </c>
      <c r="N1979" s="1" cm="1">
        <f t="array" ref="N1979">(SUMPRODUCT(("Var_Cap"=[1]OUT_TransportEnergyCons!$B$4:$B$10000)*1,ISNUMBER(SEARCH("T_b_c*bev*ext",[1]OUT_TransportEnergyCons!$A$4:$A$10000))*1,[1]OUT_TransportEnergyCons!L$4:L$10000))*1000</f>
        <v>0</v>
      </c>
      <c r="O1979" s="1" cm="1">
        <f t="array" ref="O1979">(SUMPRODUCT(("Var_Cap"=[1]OUT_TransportEnergyCons!$B$4:$B$10000)*1,ISNUMBER(SEARCH("T_b_c*bev*ext",[1]OUT_TransportEnergyCons!$A$4:$A$10000))*1,[1]OUT_TransportEnergyCons!M$4:M$10000))*1000</f>
        <v>0</v>
      </c>
      <c r="P1979" s="1" cm="1">
        <f t="array" ref="P1979">(SUMPRODUCT(("Var_Cap"=[1]OUT_TransportEnergyCons!$B$4:$B$10000)*1,ISNUMBER(SEARCH("T_b_c*bev*ext",[1]OUT_TransportEnergyCons!$A$4:$A$10000))*1,[1]OUT_TransportEnergyCons!N$4:N$10000))*1000</f>
        <v>0</v>
      </c>
      <c r="Q1979" s="1" cm="1">
        <f t="array" ref="Q1979">(SUMPRODUCT(("Var_Cap"=[1]OUT_TransportEnergyCons!$B$4:$B$10000)*1,ISNUMBER(SEARCH("T_b_c*bev*ext",[1]OUT_TransportEnergyCons!$A$4:$A$10000))*1,[1]OUT_TransportEnergyCons!O$4:O$10000))*1000</f>
        <v>0</v>
      </c>
      <c r="S1979" s="3"/>
    </row>
    <row r="1980" spans="2:19" x14ac:dyDescent="0.5">
      <c r="B1980" s="5" t="str">
        <f t="shared" si="2165"/>
        <v>SPS1</v>
      </c>
      <c r="C1980" s="5" t="str">
        <f t="shared" si="2166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1.0111626873591321E-2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1.503209961413788E-2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1.4095714122036136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1.41025896493207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1.4094077857852652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1.4058072019424177</v>
      </c>
      <c r="M1980" s="1" cm="1">
        <f t="array" ref="M1980">(SUMPRODUCT(("Var_Cap"=[1]OUT_TransportEnergyCons!$B$4:$B$10000)*1,ISNUMBER(SEARCH("T_b_c*bev*s1",[1]OUT_TransportEnergyCons!$A$4:$A$10000))*1,[1]OUT_TransportEnergyCons!K$4:K$10000))*1000</f>
        <v>1.4091506081248903</v>
      </c>
      <c r="N1980" s="1" cm="1">
        <f t="array" ref="N1980">(SUMPRODUCT(("Var_Cap"=[1]OUT_TransportEnergyCons!$B$4:$B$10000)*1,ISNUMBER(SEARCH("T_b_c*bev*s1",[1]OUT_TransportEnergyCons!$A$4:$A$10000))*1,[1]OUT_TransportEnergyCons!L$4:L$10000))*1000</f>
        <v>1.4611045210885241</v>
      </c>
      <c r="O1980" s="1" cm="1">
        <f t="array" ref="O1980">(SUMPRODUCT(("Var_Cap"=[1]OUT_TransportEnergyCons!$B$4:$B$10000)*1,ISNUMBER(SEARCH("T_b_c*bev*s1",[1]OUT_TransportEnergyCons!$A$4:$A$10000))*1,[1]OUT_TransportEnergyCons!M$4:M$10000))*1000</f>
        <v>1.5043635660417618</v>
      </c>
      <c r="P1980" s="1" cm="1">
        <f t="array" ref="P1980">(SUMPRODUCT(("Var_Cap"=[1]OUT_TransportEnergyCons!$B$4:$B$10000)*1,ISNUMBER(SEARCH("T_b_c*bev*s1",[1]OUT_TransportEnergyCons!$A$4:$A$10000))*1,[1]OUT_TransportEnergyCons!N$4:N$10000))*1000</f>
        <v>1.5457450947515636</v>
      </c>
      <c r="Q1980" s="1" cm="1">
        <f t="array" ref="Q1980">(SUMPRODUCT(("Var_Cap"=[1]OUT_TransportEnergyCons!$B$4:$B$10000)*1,ISNUMBER(SEARCH("T_b_c*bev*s1",[1]OUT_TransportEnergyCons!$A$4:$A$10000))*1,[1]OUT_TransportEnergyCons!O$4:O$10000))*1000</f>
        <v>1.5854625261929842</v>
      </c>
      <c r="S1980" s="3"/>
    </row>
    <row r="1981" spans="2:19" x14ac:dyDescent="0.5">
      <c r="B1981" s="5" t="str">
        <f t="shared" si="2165"/>
        <v>SPS1</v>
      </c>
      <c r="C1981" s="5" t="str">
        <f t="shared" si="2166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4.3106280622156505E-3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5.1060465310698517E-3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6.0088591115389388E-3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1.2474093403827837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1.249566548878988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1.2503701974935229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1.2533921351584216</v>
      </c>
      <c r="M1981" s="1" cm="1">
        <f t="array" ref="M1981">(SUMPRODUCT(("Var_Cap"=[1]OUT_TransportEnergyCons!$B$4:$B$10000)*1,ISNUMBER(SEARCH("T_b_c*bev*s2",[1]OUT_TransportEnergyCons!$A$4:$A$10000))*1,[1]OUT_TransportEnergyCons!K$4:K$10000))*1000</f>
        <v>1.2564622270107992</v>
      </c>
      <c r="N1981" s="1" cm="1">
        <f t="array" ref="N1981">(SUMPRODUCT(("Var_Cap"=[1]OUT_TransportEnergyCons!$B$4:$B$10000)*1,ISNUMBER(SEARCH("T_b_c*bev*s2",[1]OUT_TransportEnergyCons!$A$4:$A$10000))*1,[1]OUT_TransportEnergyCons!L$4:L$10000))*1000</f>
        <v>1.2963784199450374</v>
      </c>
      <c r="O1981" s="1" cm="1">
        <f t="array" ref="O1981">(SUMPRODUCT(("Var_Cap"=[1]OUT_TransportEnergyCons!$B$4:$B$10000)*1,ISNUMBER(SEARCH("T_b_c*bev*s2",[1]OUT_TransportEnergyCons!$A$4:$A$10000))*1,[1]OUT_TransportEnergyCons!M$4:M$10000))*1000</f>
        <v>1.3347678874656352</v>
      </c>
      <c r="P1981" s="1" cm="1">
        <f t="array" ref="P1981">(SUMPRODUCT(("Var_Cap"=[1]OUT_TransportEnergyCons!$B$4:$B$10000)*1,ISNUMBER(SEARCH("T_b_c*bev*s2",[1]OUT_TransportEnergyCons!$A$4:$A$10000))*1,[1]OUT_TransportEnergyCons!N$4:N$10000))*1000</f>
        <v>1.3716983050284099</v>
      </c>
      <c r="Q1981" s="1" cm="1">
        <f t="array" ref="Q1981">(SUMPRODUCT(("Var_Cap"=[1]OUT_TransportEnergyCons!$B$4:$B$10000)*1,ISNUMBER(SEARCH("T_b_c*bev*s2",[1]OUT_TransportEnergyCons!$A$4:$A$10000))*1,[1]OUT_TransportEnergyCons!O$4:O$10000))*1000</f>
        <v>1.4072400487115666</v>
      </c>
      <c r="S1981" s="3"/>
    </row>
    <row r="1982" spans="2:19" x14ac:dyDescent="0.5">
      <c r="B1982" s="5" t="str">
        <f t="shared" si="2165"/>
        <v>SPS1</v>
      </c>
      <c r="C1982" s="5" t="str">
        <f t="shared" si="2166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1.0374495752275203E-3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1.3946822978953991E-3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1.7280992284866041E-3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0.27045422271183162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0.26759299087054278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0.26743774643131601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0.26810842151841402</v>
      </c>
      <c r="M1982" s="1" cm="1">
        <f t="array" ref="M1982">(SUMPRODUCT(("Var_Cap"=[1]OUT_TransportEnergyCons!$B$4:$B$10000)*1,ISNUMBER(SEARCH("T_b_c*bev*s3",[1]OUT_TransportEnergyCons!$A$4:$A$10000))*1,[1]OUT_TransportEnergyCons!K$4:K$10000))*1000</f>
        <v>0.26875596023438197</v>
      </c>
      <c r="N1982" s="1" cm="1">
        <f t="array" ref="N1982">(SUMPRODUCT(("Var_Cap"=[1]OUT_TransportEnergyCons!$B$4:$B$10000)*1,ISNUMBER(SEARCH("T_b_c*bev*s3",[1]OUT_TransportEnergyCons!$A$4:$A$10000))*1,[1]OUT_TransportEnergyCons!L$4:L$10000))*1000</f>
        <v>0.27727944926276799</v>
      </c>
      <c r="O1982" s="1" cm="1">
        <f t="array" ref="O1982">(SUMPRODUCT(("Var_Cap"=[1]OUT_TransportEnergyCons!$B$4:$B$10000)*1,ISNUMBER(SEARCH("T_b_c*bev*s3",[1]OUT_TransportEnergyCons!$A$4:$A$10000))*1,[1]OUT_TransportEnergyCons!M$4:M$10000))*1000</f>
        <v>0.28548955184153502</v>
      </c>
      <c r="P1982" s="1" cm="1">
        <f t="array" ref="P1982">(SUMPRODUCT(("Var_Cap"=[1]OUT_TransportEnergyCons!$B$4:$B$10000)*1,ISNUMBER(SEARCH("T_b_c*bev*s3",[1]OUT_TransportEnergyCons!$A$4:$A$10000))*1,[1]OUT_TransportEnergyCons!N$4:N$10000))*1000</f>
        <v>0.293389441484602</v>
      </c>
      <c r="Q1982" s="1" cm="1">
        <f t="array" ref="Q1982">(SUMPRODUCT(("Var_Cap"=[1]OUT_TransportEnergyCons!$B$4:$B$10000)*1,ISNUMBER(SEARCH("T_b_c*bev*s3",[1]OUT_TransportEnergyCons!$A$4:$A$10000))*1,[1]OUT_TransportEnergyCons!O$4:O$10000))*1000</f>
        <v>0.300996740761862</v>
      </c>
      <c r="S1982" s="3"/>
    </row>
    <row r="1983" spans="2:19" x14ac:dyDescent="0.5">
      <c r="B1983" s="5" t="str">
        <f t="shared" si="2165"/>
        <v>SPS1</v>
      </c>
      <c r="C1983" s="5" t="str">
        <f t="shared" si="2166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1.2136068979026401E-4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2.2858003098896802E-4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1.2713170739082999E-4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1.6517521581976298E-4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3.9568839714955597E-4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4.6813797672973196E-4</v>
      </c>
      <c r="M1983" s="1" cm="1">
        <f t="array" ref="M1983">(SUMPRODUCT(("Var_Cap"=[1]OUT_TransportEnergyCons!$B$4:$B$10000)*1,ISNUMBER(SEARCH("T_b_c*bev*s4",[1]OUT_TransportEnergyCons!$A$4:$A$10000))*1,[1]OUT_TransportEnergyCons!K$4:K$10000))*1000</f>
        <v>6.4330127779514093E-4</v>
      </c>
      <c r="N1983" s="1" cm="1">
        <f t="array" ref="N1983">(SUMPRODUCT(("Var_Cap"=[1]OUT_TransportEnergyCons!$B$4:$B$10000)*1,ISNUMBER(SEARCH("T_b_c*bev*s4",[1]OUT_TransportEnergyCons!$A$4:$A$10000))*1,[1]OUT_TransportEnergyCons!L$4:L$10000))*1000</f>
        <v>6.56174243758812E-4</v>
      </c>
      <c r="O1983" s="1" cm="1">
        <f t="array" ref="O1983">(SUMPRODUCT(("Var_Cap"=[1]OUT_TransportEnergyCons!$B$4:$B$10000)*1,ISNUMBER(SEARCH("T_b_c*bev*s4",[1]OUT_TransportEnergyCons!$A$4:$A$10000))*1,[1]OUT_TransportEnergyCons!M$4:M$10000))*1000</f>
        <v>6.7537626962511205E-4</v>
      </c>
      <c r="P1983" s="1" cm="1">
        <f t="array" ref="P1983">(SUMPRODUCT(("Var_Cap"=[1]OUT_TransportEnergyCons!$B$4:$B$10000)*1,ISNUMBER(SEARCH("T_b_c*bev*s4",[1]OUT_TransportEnergyCons!$A$4:$A$10000))*1,[1]OUT_TransportEnergyCons!N$4:N$10000))*1000</f>
        <v>9.3999049450215898E-4</v>
      </c>
      <c r="Q1983" s="1" cm="1">
        <f t="array" ref="Q1983">(SUMPRODUCT(("Var_Cap"=[1]OUT_TransportEnergyCons!$B$4:$B$10000)*1,ISNUMBER(SEARCH("T_b_c*bev*s4",[1]OUT_TransportEnergyCons!$A$4:$A$10000))*1,[1]OUT_TransportEnergyCons!O$4:O$10000))*1000</f>
        <v>1.29062215064129E-3</v>
      </c>
      <c r="S1983" s="3"/>
    </row>
    <row r="1984" spans="2:19" x14ac:dyDescent="0.5">
      <c r="B1984" s="5" t="str">
        <f t="shared" si="2165"/>
        <v>SPS1</v>
      </c>
      <c r="C1984" s="5" t="str">
        <f t="shared" si="2166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0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0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0</v>
      </c>
      <c r="M1984" s="1" cm="1">
        <f t="array" ref="M1984">IF((SUMPRODUCT(("Var_Cap"=[1]OUT_TransportEnergyCons!$B$4:$B$10000)*1,ISNUMBER(SEARCH("T_b_c*h2o*s1",[1]OUT_TransportEnergyCons!$A$4:$A$10000))*1,[1]OUT_TransportEnergyCons!K$4:K$10000))*1000&lt;0,0,(SUMPRODUCT(("Var_Cap"=[1]OUT_TransportEnergyCons!$B$4:$B$10000)*1,ISNUMBER(SEARCH("T_b_c*h2o*s1",[1]OUT_TransportEnergyCons!$A$4:$A$10000))*1,[1]OUT_TransportEnergyCons!K$4:K$10000))*1000)</f>
        <v>0</v>
      </c>
      <c r="N1984" s="1" cm="1">
        <f t="array" ref="N1984">IF((SUMPRODUCT(("Var_Cap"=[1]OUT_TransportEnergyCons!$B$4:$B$10000)*1,ISNUMBER(SEARCH("T_b_c*h2o*s1",[1]OUT_TransportEnergyCons!$A$4:$A$10000))*1,[1]OUT_TransportEnergyCons!L$4:L$10000))*1000&lt;0,0,(SUMPRODUCT(("Var_Cap"=[1]OUT_TransportEnergyCons!$B$4:$B$10000)*1,ISNUMBER(SEARCH("T_b_c*h2o*s1",[1]OUT_TransportEnergyCons!$A$4:$A$10000))*1,[1]OUT_TransportEnergyCons!L$4:L$10000))*1000)</f>
        <v>0</v>
      </c>
      <c r="O1984" s="1" cm="1">
        <f t="array" ref="O1984">IF((SUMPRODUCT(("Var_Cap"=[1]OUT_TransportEnergyCons!$B$4:$B$10000)*1,ISNUMBER(SEARCH("T_b_c*h2o*s1",[1]OUT_TransportEnergyCons!$A$4:$A$10000))*1,[1]OUT_TransportEnergyCons!M$4:M$10000))*1000&lt;0,0,(SUMPRODUCT(("Var_Cap"=[1]OUT_TransportEnergyCons!$B$4:$B$10000)*1,ISNUMBER(SEARCH("T_b_c*h2o*s1",[1]OUT_TransportEnergyCons!$A$4:$A$10000))*1,[1]OUT_TransportEnergyCons!M$4:M$10000))*1000)</f>
        <v>0</v>
      </c>
      <c r="P1984" s="1" cm="1">
        <f t="array" ref="P1984">IF((SUMPRODUCT(("Var_Cap"=[1]OUT_TransportEnergyCons!$B$4:$B$10000)*1,ISNUMBER(SEARCH("T_b_c*h2o*s1",[1]OUT_TransportEnergyCons!$A$4:$A$10000))*1,[1]OUT_TransportEnergyCons!N$4:N$10000))*1000&lt;0,0,(SUMPRODUCT(("Var_Cap"=[1]OUT_TransportEnergyCons!$B$4:$B$10000)*1,ISNUMBER(SEARCH("T_b_c*h2o*s1",[1]OUT_TransportEnergyCons!$A$4:$A$10000))*1,[1]OUT_TransportEnergyCons!N$4:N$10000))*1000)</f>
        <v>0</v>
      </c>
      <c r="Q1984" s="1" cm="1">
        <f t="array" ref="Q1984">IF((SUMPRODUCT(("Var_Cap"=[1]OUT_TransportEnergyCons!$B$4:$B$10000)*1,ISNUMBER(SEARCH("T_b_c*h2o*s1",[1]OUT_TransportEnergyCons!$A$4:$A$10000))*1,[1]OUT_TransportEnergyCons!O$4:O$10000))*1000&lt;0,0,(SUMPRODUCT(("Var_Cap"=[1]OUT_TransportEnergyCons!$B$4:$B$10000)*1,ISNUMBER(SEARCH("T_b_c*h2o*s1",[1]OUT_TransportEnergyCons!$A$4:$A$10000))*1,[1]OUT_TransportEnergyCons!O$4:O$10000))*1000)</f>
        <v>0</v>
      </c>
      <c r="S1984" s="3"/>
    </row>
    <row r="1985" spans="2:19" x14ac:dyDescent="0.5">
      <c r="B1985" s="5" t="str">
        <f t="shared" si="2165"/>
        <v>SPS1</v>
      </c>
      <c r="C1985" s="5" t="str">
        <f t="shared" si="2166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0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0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0</v>
      </c>
      <c r="M1985" s="1" cm="1">
        <f t="array" ref="M1985">IF((SUMPRODUCT(("Var_Cap"=[1]OUT_TransportEnergyCons!$B$4:$B$10000)*1,ISNUMBER(SEARCH("T_b_c*h2o*s2",[1]OUT_TransportEnergyCons!$A$4:$A$10000))*1,[1]OUT_TransportEnergyCons!K$4:K$10000))*1000&lt;0,0,(SUMPRODUCT(("Var_Cap"=[1]OUT_TransportEnergyCons!$B$4:$B$10000)*1,ISNUMBER(SEARCH("T_b_c*h2o*s2",[1]OUT_TransportEnergyCons!$A$4:$A$10000))*1,[1]OUT_TransportEnergyCons!K$4:K$10000))*1000)</f>
        <v>0</v>
      </c>
      <c r="N1985" s="1" cm="1">
        <f t="array" ref="N1985">IF((SUMPRODUCT(("Var_Cap"=[1]OUT_TransportEnergyCons!$B$4:$B$10000)*1,ISNUMBER(SEARCH("T_b_c*h2o*s2",[1]OUT_TransportEnergyCons!$A$4:$A$10000))*1,[1]OUT_TransportEnergyCons!L$4:L$10000))*1000&lt;0,0,(SUMPRODUCT(("Var_Cap"=[1]OUT_TransportEnergyCons!$B$4:$B$10000)*1,ISNUMBER(SEARCH("T_b_c*h2o*s2",[1]OUT_TransportEnergyCons!$A$4:$A$10000))*1,[1]OUT_TransportEnergyCons!L$4:L$10000))*1000)</f>
        <v>0</v>
      </c>
      <c r="O1985" s="1" cm="1">
        <f t="array" ref="O1985">IF((SUMPRODUCT(("Var_Cap"=[1]OUT_TransportEnergyCons!$B$4:$B$10000)*1,ISNUMBER(SEARCH("T_b_c*h2o*s2",[1]OUT_TransportEnergyCons!$A$4:$A$10000))*1,[1]OUT_TransportEnergyCons!M$4:M$10000))*1000&lt;0,0,(SUMPRODUCT(("Var_Cap"=[1]OUT_TransportEnergyCons!$B$4:$B$10000)*1,ISNUMBER(SEARCH("T_b_c*h2o*s2",[1]OUT_TransportEnergyCons!$A$4:$A$10000))*1,[1]OUT_TransportEnergyCons!M$4:M$10000))*1000)</f>
        <v>0</v>
      </c>
      <c r="P1985" s="1" cm="1">
        <f t="array" ref="P1985">IF((SUMPRODUCT(("Var_Cap"=[1]OUT_TransportEnergyCons!$B$4:$B$10000)*1,ISNUMBER(SEARCH("T_b_c*h2o*s2",[1]OUT_TransportEnergyCons!$A$4:$A$10000))*1,[1]OUT_TransportEnergyCons!N$4:N$10000))*1000&lt;0,0,(SUMPRODUCT(("Var_Cap"=[1]OUT_TransportEnergyCons!$B$4:$B$10000)*1,ISNUMBER(SEARCH("T_b_c*h2o*s2",[1]OUT_TransportEnergyCons!$A$4:$A$10000))*1,[1]OUT_TransportEnergyCons!N$4:N$10000))*1000)</f>
        <v>0</v>
      </c>
      <c r="Q1985" s="1" cm="1">
        <f t="array" ref="Q1985">IF((SUMPRODUCT(("Var_Cap"=[1]OUT_TransportEnergyCons!$B$4:$B$10000)*1,ISNUMBER(SEARCH("T_b_c*h2o*s2",[1]OUT_TransportEnergyCons!$A$4:$A$10000))*1,[1]OUT_TransportEnergyCons!O$4:O$10000))*1000&lt;0,0,(SUMPRODUCT(("Var_Cap"=[1]OUT_TransportEnergyCons!$B$4:$B$10000)*1,ISNUMBER(SEARCH("T_b_c*h2o*s2",[1]OUT_TransportEnergyCons!$A$4:$A$10000))*1,[1]OUT_TransportEnergyCons!O$4:O$10000))*1000)</f>
        <v>0</v>
      </c>
      <c r="S1985" s="3"/>
    </row>
    <row r="1986" spans="2:19" x14ac:dyDescent="0.5">
      <c r="B1986" s="5" t="str">
        <f t="shared" si="2165"/>
        <v>SPS1</v>
      </c>
      <c r="C1986" s="5" t="str">
        <f t="shared" si="2166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0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0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0</v>
      </c>
      <c r="M1986" s="1" cm="1">
        <f t="array" ref="M1986">IF((SUMPRODUCT(("Var_Cap"=[1]OUT_TransportEnergyCons!$B$4:$B$10000)*1,ISNUMBER(SEARCH("T_b_c*h2o*s3",[1]OUT_TransportEnergyCons!$A$4:$A$10000))*1,[1]OUT_TransportEnergyCons!K$4:K$10000))*1000&lt;0,0,(SUMPRODUCT(("Var_Cap"=[1]OUT_TransportEnergyCons!$B$4:$B$10000)*1,ISNUMBER(SEARCH("T_b_c*h2o*s3",[1]OUT_TransportEnergyCons!$A$4:$A$10000))*1,[1]OUT_TransportEnergyCons!K$4:K$10000))*1000)</f>
        <v>0</v>
      </c>
      <c r="N1986" s="1" cm="1">
        <f t="array" ref="N1986">IF((SUMPRODUCT(("Var_Cap"=[1]OUT_TransportEnergyCons!$B$4:$B$10000)*1,ISNUMBER(SEARCH("T_b_c*h2o*s3",[1]OUT_TransportEnergyCons!$A$4:$A$10000))*1,[1]OUT_TransportEnergyCons!L$4:L$10000))*1000&lt;0,0,(SUMPRODUCT(("Var_Cap"=[1]OUT_TransportEnergyCons!$B$4:$B$10000)*1,ISNUMBER(SEARCH("T_b_c*h2o*s3",[1]OUT_TransportEnergyCons!$A$4:$A$10000))*1,[1]OUT_TransportEnergyCons!L$4:L$10000))*1000)</f>
        <v>0</v>
      </c>
      <c r="O1986" s="1" cm="1">
        <f t="array" ref="O1986">IF((SUMPRODUCT(("Var_Cap"=[1]OUT_TransportEnergyCons!$B$4:$B$10000)*1,ISNUMBER(SEARCH("T_b_c*h2o*s3",[1]OUT_TransportEnergyCons!$A$4:$A$10000))*1,[1]OUT_TransportEnergyCons!M$4:M$10000))*1000&lt;0,0,(SUMPRODUCT(("Var_Cap"=[1]OUT_TransportEnergyCons!$B$4:$B$10000)*1,ISNUMBER(SEARCH("T_b_c*h2o*s3",[1]OUT_TransportEnergyCons!$A$4:$A$10000))*1,[1]OUT_TransportEnergyCons!M$4:M$10000))*1000)</f>
        <v>0</v>
      </c>
      <c r="P1986" s="1" cm="1">
        <f t="array" ref="P1986">IF((SUMPRODUCT(("Var_Cap"=[1]OUT_TransportEnergyCons!$B$4:$B$10000)*1,ISNUMBER(SEARCH("T_b_c*h2o*s3",[1]OUT_TransportEnergyCons!$A$4:$A$10000))*1,[1]OUT_TransportEnergyCons!N$4:N$10000))*1000&lt;0,0,(SUMPRODUCT(("Var_Cap"=[1]OUT_TransportEnergyCons!$B$4:$B$10000)*1,ISNUMBER(SEARCH("T_b_c*h2o*s3",[1]OUT_TransportEnergyCons!$A$4:$A$10000))*1,[1]OUT_TransportEnergyCons!N$4:N$10000))*1000)</f>
        <v>0</v>
      </c>
      <c r="Q1986" s="1" cm="1">
        <f t="array" ref="Q1986">IF((SUMPRODUCT(("Var_Cap"=[1]OUT_TransportEnergyCons!$B$4:$B$10000)*1,ISNUMBER(SEARCH("T_b_c*h2o*s3",[1]OUT_TransportEnergyCons!$A$4:$A$10000))*1,[1]OUT_TransportEnergyCons!O$4:O$10000))*1000&lt;0,0,(SUMPRODUCT(("Var_Cap"=[1]OUT_TransportEnergyCons!$B$4:$B$10000)*1,ISNUMBER(SEARCH("T_b_c*h2o*s3",[1]OUT_TransportEnergyCons!$A$4:$A$10000))*1,[1]OUT_TransportEnergyCons!O$4:O$10000))*1000)</f>
        <v>0</v>
      </c>
      <c r="S1986" s="3"/>
    </row>
    <row r="1987" spans="2:19" x14ac:dyDescent="0.5">
      <c r="B1987" s="5" t="str">
        <f t="shared" si="2165"/>
        <v>SPS1</v>
      </c>
      <c r="C1987" s="5" t="str">
        <f t="shared" si="2166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0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M1987" s="1" cm="1">
        <f t="array" ref="M1987">IF((SUMPRODUCT(("Var_Cap"=[1]OUT_TransportEnergyCons!$B$4:$B$10000)*1,ISNUMBER(SEARCH("T_b_c*h2o*s4",[1]OUT_TransportEnergyCons!$A$4:$A$10000))*1,[1]OUT_TransportEnergyCons!K$4:K$10000))*1000&lt;0,0,(SUMPRODUCT(("Var_Cap"=[1]OUT_TransportEnergyCons!$B$4:$B$10000)*1,ISNUMBER(SEARCH("T_b_c*h2o*s4",[1]OUT_TransportEnergyCons!$A$4:$A$10000))*1,[1]OUT_TransportEnergyCons!K$4:K$10000))*1000)</f>
        <v>0</v>
      </c>
      <c r="N1987" s="1" cm="1">
        <f t="array" ref="N1987">IF((SUMPRODUCT(("Var_Cap"=[1]OUT_TransportEnergyCons!$B$4:$B$10000)*1,ISNUMBER(SEARCH("T_b_c*h2o*s4",[1]OUT_TransportEnergyCons!$A$4:$A$10000))*1,[1]OUT_TransportEnergyCons!L$4:L$10000))*1000&lt;0,0,(SUMPRODUCT(("Var_Cap"=[1]OUT_TransportEnergyCons!$B$4:$B$10000)*1,ISNUMBER(SEARCH("T_b_c*h2o*s4",[1]OUT_TransportEnergyCons!$A$4:$A$10000))*1,[1]OUT_TransportEnergyCons!L$4:L$10000))*1000)</f>
        <v>0</v>
      </c>
      <c r="O1987" s="1" cm="1">
        <f t="array" ref="O1987">IF((SUMPRODUCT(("Var_Cap"=[1]OUT_TransportEnergyCons!$B$4:$B$10000)*1,ISNUMBER(SEARCH("T_b_c*h2o*s4",[1]OUT_TransportEnergyCons!$A$4:$A$10000))*1,[1]OUT_TransportEnergyCons!M$4:M$10000))*1000&lt;0,0,(SUMPRODUCT(("Var_Cap"=[1]OUT_TransportEnergyCons!$B$4:$B$10000)*1,ISNUMBER(SEARCH("T_b_c*h2o*s4",[1]OUT_TransportEnergyCons!$A$4:$A$10000))*1,[1]OUT_TransportEnergyCons!M$4:M$10000))*1000)</f>
        <v>0</v>
      </c>
      <c r="P1987" s="1" cm="1">
        <f t="array" ref="P1987">IF((SUMPRODUCT(("Var_Cap"=[1]OUT_TransportEnergyCons!$B$4:$B$10000)*1,ISNUMBER(SEARCH("T_b_c*h2o*s4",[1]OUT_TransportEnergyCons!$A$4:$A$10000))*1,[1]OUT_TransportEnergyCons!N$4:N$10000))*1000&lt;0,0,(SUMPRODUCT(("Var_Cap"=[1]OUT_TransportEnergyCons!$B$4:$B$10000)*1,ISNUMBER(SEARCH("T_b_c*h2o*s4",[1]OUT_TransportEnergyCons!$A$4:$A$10000))*1,[1]OUT_TransportEnergyCons!N$4:N$10000))*1000)</f>
        <v>0</v>
      </c>
      <c r="Q1987" s="1" cm="1">
        <f t="array" ref="Q1987">IF((SUMPRODUCT(("Var_Cap"=[1]OUT_TransportEnergyCons!$B$4:$B$10000)*1,ISNUMBER(SEARCH("T_b_c*h2o*s4",[1]OUT_TransportEnergyCons!$A$4:$A$10000))*1,[1]OUT_TransportEnergyCons!O$4:O$10000))*1000&lt;0,0,(SUMPRODUCT(("Var_Cap"=[1]OUT_TransportEnergyCons!$B$4:$B$10000)*1,ISNUMBER(SEARCH("T_b_c*h2o*s4",[1]OUT_TransportEnergyCons!$A$4:$A$10000))*1,[1]OUT_TransportEnergyCons!O$4:O$10000))*1000)</f>
        <v>0</v>
      </c>
      <c r="S1987" s="3"/>
    </row>
    <row r="1988" spans="2:19" x14ac:dyDescent="0.5">
      <c r="B1988" s="5" t="str">
        <f t="shared" si="2165"/>
        <v>SPS1</v>
      </c>
      <c r="C1988" s="5" t="str">
        <f t="shared" si="2166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6.4329550910380007E-3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7.59103918340669E-3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4.3388421356049991E-5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2.0259580166061084E-5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2.35170094804166E-5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1.8725366180124201E-3</v>
      </c>
      <c r="M1988" s="1" cm="1">
        <f t="array" ref="M1988">(SUMPRODUCT(("Var_Cap"=[1]OUT_TransportEnergyCons!$B$4:$B$10000)*1,ISNUMBER(SEARCH("T_b_c*hyb*DSL*s1",[1]OUT_TransportEnergyCons!$A$4:$A$10000))*1,[1]OUT_TransportEnergyCons!K$4:K$10000))*1000</f>
        <v>1.85891073467224E-3</v>
      </c>
      <c r="N1988" s="1" cm="1">
        <f t="array" ref="N1988">(SUMPRODUCT(("Var_Cap"=[1]OUT_TransportEnergyCons!$B$4:$B$10000)*1,ISNUMBER(SEARCH("T_b_c*hyb*DSL*s1",[1]OUT_TransportEnergyCons!$A$4:$A$10000))*1,[1]OUT_TransportEnergyCons!L$4:L$10000))*1000</f>
        <v>0</v>
      </c>
      <c r="O1988" s="1" cm="1">
        <f t="array" ref="O1988">(SUMPRODUCT(("Var_Cap"=[1]OUT_TransportEnergyCons!$B$4:$B$10000)*1,ISNUMBER(SEARCH("T_b_c*hyb*DSL*s1",[1]OUT_TransportEnergyCons!$A$4:$A$10000))*1,[1]OUT_TransportEnergyCons!M$4:M$10000))*1000</f>
        <v>0</v>
      </c>
      <c r="P1988" s="1" cm="1">
        <f t="array" ref="P1988">(SUMPRODUCT(("Var_Cap"=[1]OUT_TransportEnergyCons!$B$4:$B$10000)*1,ISNUMBER(SEARCH("T_b_c*hyb*DSL*s1",[1]OUT_TransportEnergyCons!$A$4:$A$10000))*1,[1]OUT_TransportEnergyCons!N$4:N$10000))*1000</f>
        <v>0</v>
      </c>
      <c r="Q1988" s="1" cm="1">
        <f t="array" ref="Q1988">(SUMPRODUCT(("Var_Cap"=[1]OUT_TransportEnergyCons!$B$4:$B$10000)*1,ISNUMBER(SEARCH("T_b_c*hyb*DSL*s1",[1]OUT_TransportEnergyCons!$A$4:$A$10000))*1,[1]OUT_TransportEnergyCons!O$4:O$10000))*1000</f>
        <v>0</v>
      </c>
      <c r="S1988" s="3"/>
    </row>
    <row r="1989" spans="2:19" x14ac:dyDescent="0.5">
      <c r="B1989" s="5" t="str">
        <f t="shared" si="2165"/>
        <v>SPS1</v>
      </c>
      <c r="C1989" s="5" t="str">
        <f t="shared" si="2166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4.4107855077650299E-4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8.6002305065029799E-4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8.6765881301779591E-6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1.6066098777710121E-6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0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0</v>
      </c>
      <c r="M1989" s="1" cm="1">
        <f t="array" ref="M1989">(SUMPRODUCT(("Var_Cap"=[1]OUT_TransportEnergyCons!$B$4:$B$10000)*1,ISNUMBER(SEARCH("T_b_c*hyb*DSL*s2",[1]OUT_TransportEnergyCons!$A$4:$A$10000))*1,[1]OUT_TransportEnergyCons!K$4:K$10000))*1000</f>
        <v>0</v>
      </c>
      <c r="N1989" s="1" cm="1">
        <f t="array" ref="N1989">(SUMPRODUCT(("Var_Cap"=[1]OUT_TransportEnergyCons!$B$4:$B$10000)*1,ISNUMBER(SEARCH("T_b_c*hyb*DSL*s2",[1]OUT_TransportEnergyCons!$A$4:$A$10000))*1,[1]OUT_TransportEnergyCons!L$4:L$10000))*1000</f>
        <v>0</v>
      </c>
      <c r="O1989" s="1" cm="1">
        <f t="array" ref="O1989">(SUMPRODUCT(("Var_Cap"=[1]OUT_TransportEnergyCons!$B$4:$B$10000)*1,ISNUMBER(SEARCH("T_b_c*hyb*DSL*s2",[1]OUT_TransportEnergyCons!$A$4:$A$10000))*1,[1]OUT_TransportEnergyCons!M$4:M$10000))*1000</f>
        <v>0</v>
      </c>
      <c r="P1989" s="1" cm="1">
        <f t="array" ref="P1989">(SUMPRODUCT(("Var_Cap"=[1]OUT_TransportEnergyCons!$B$4:$B$10000)*1,ISNUMBER(SEARCH("T_b_c*hyb*DSL*s2",[1]OUT_TransportEnergyCons!$A$4:$A$10000))*1,[1]OUT_TransportEnergyCons!N$4:N$10000))*1000</f>
        <v>0</v>
      </c>
      <c r="Q1989" s="1" cm="1">
        <f t="array" ref="Q1989">(SUMPRODUCT(("Var_Cap"=[1]OUT_TransportEnergyCons!$B$4:$B$10000)*1,ISNUMBER(SEARCH("T_b_c*hyb*DSL*s2",[1]OUT_TransportEnergyCons!$A$4:$A$10000))*1,[1]OUT_TransportEnergyCons!O$4:O$10000))*1000</f>
        <v>0</v>
      </c>
      <c r="S1989" s="3"/>
    </row>
    <row r="1990" spans="2:19" x14ac:dyDescent="0.5">
      <c r="B1990" s="5" t="str">
        <f t="shared" si="2165"/>
        <v>SPS1</v>
      </c>
      <c r="C1990" s="5" t="str">
        <f t="shared" si="2166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2.06829898095484E-4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3.7882416640290197E-4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1.2082602970779963E-6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0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0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0</v>
      </c>
      <c r="M1990" s="1" cm="1">
        <f t="array" ref="M1990">(SUMPRODUCT(("Var_Cap"=[1]OUT_TransportEnergyCons!$B$4:$B$10000)*1,ISNUMBER(SEARCH("T_b_c*hyb*DSL*s3",[1]OUT_TransportEnergyCons!$A$4:$A$10000))*1,[1]OUT_TransportEnergyCons!K$4:K$10000))*1000</f>
        <v>0</v>
      </c>
      <c r="N1990" s="1" cm="1">
        <f t="array" ref="N1990">(SUMPRODUCT(("Var_Cap"=[1]OUT_TransportEnergyCons!$B$4:$B$10000)*1,ISNUMBER(SEARCH("T_b_c*hyb*DSL*s3",[1]OUT_TransportEnergyCons!$A$4:$A$10000))*1,[1]OUT_TransportEnergyCons!L$4:L$10000))*1000</f>
        <v>0</v>
      </c>
      <c r="O1990" s="1" cm="1">
        <f t="array" ref="O1990">(SUMPRODUCT(("Var_Cap"=[1]OUT_TransportEnergyCons!$B$4:$B$10000)*1,ISNUMBER(SEARCH("T_b_c*hyb*DSL*s3",[1]OUT_TransportEnergyCons!$A$4:$A$10000))*1,[1]OUT_TransportEnergyCons!M$4:M$10000))*1000</f>
        <v>0</v>
      </c>
      <c r="P1990" s="1" cm="1">
        <f t="array" ref="P1990">(SUMPRODUCT(("Var_Cap"=[1]OUT_TransportEnergyCons!$B$4:$B$10000)*1,ISNUMBER(SEARCH("T_b_c*hyb*DSL*s3",[1]OUT_TransportEnergyCons!$A$4:$A$10000))*1,[1]OUT_TransportEnergyCons!N$4:N$10000))*1000</f>
        <v>0</v>
      </c>
      <c r="Q1990" s="1" cm="1">
        <f t="array" ref="Q1990">(SUMPRODUCT(("Var_Cap"=[1]OUT_TransportEnergyCons!$B$4:$B$10000)*1,ISNUMBER(SEARCH("T_b_c*hyb*DSL*s3",[1]OUT_TransportEnergyCons!$A$4:$A$10000))*1,[1]OUT_TransportEnergyCons!O$4:O$10000))*1000</f>
        <v>0</v>
      </c>
      <c r="S1990" s="3"/>
    </row>
    <row r="1991" spans="2:19" x14ac:dyDescent="0.5">
      <c r="B1991" s="5" t="str">
        <f t="shared" si="2165"/>
        <v>SPS1</v>
      </c>
      <c r="C1991" s="5" t="str">
        <f t="shared" si="2166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5.4621987312224799E-5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1.00114345784986E-4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4.0000568017062031E-6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0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0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0</v>
      </c>
      <c r="M1991" s="1" cm="1">
        <f t="array" ref="M1991">IF((SUMPRODUCT(("Var_Cap"=[1]OUT_TransportEnergyCons!$B$4:$B$10000)*1,ISNUMBER(SEARCH("T_b_c*hyb*DSL*s4",[1]OUT_TransportEnergyCons!$A$4:$A$10000))*1,[1]OUT_TransportEnergyCons!K$4:K$10000))*1000&lt;0,0,(SUMPRODUCT(("Var_Cap"=[1]OUT_TransportEnergyCons!$B$4:$B$10000)*1,ISNUMBER(SEARCH("T_b_c*hyb*DSL*s4",[1]OUT_TransportEnergyCons!$A$4:$A$10000))*1,[1]OUT_TransportEnergyCons!K$4:K$10000))*1000)</f>
        <v>0</v>
      </c>
      <c r="N1991" s="1" cm="1">
        <f t="array" ref="N1991">IF((SUMPRODUCT(("Var_Cap"=[1]OUT_TransportEnergyCons!$B$4:$B$10000)*1,ISNUMBER(SEARCH("T_b_c*hyb*DSL*s4",[1]OUT_TransportEnergyCons!$A$4:$A$10000))*1,[1]OUT_TransportEnergyCons!L$4:L$10000))*1000&lt;0,0,(SUMPRODUCT(("Var_Cap"=[1]OUT_TransportEnergyCons!$B$4:$B$10000)*1,ISNUMBER(SEARCH("T_b_c*hyb*DSL*s4",[1]OUT_TransportEnergyCons!$A$4:$A$10000))*1,[1]OUT_TransportEnergyCons!L$4:L$10000))*1000)</f>
        <v>0</v>
      </c>
      <c r="O1991" s="1" cm="1">
        <f t="array" ref="O1991">IF((SUMPRODUCT(("Var_Cap"=[1]OUT_TransportEnergyCons!$B$4:$B$10000)*1,ISNUMBER(SEARCH("T_b_c*hyb*DSL*s4",[1]OUT_TransportEnergyCons!$A$4:$A$10000))*1,[1]OUT_TransportEnergyCons!M$4:M$10000))*1000&lt;0,0,(SUMPRODUCT(("Var_Cap"=[1]OUT_TransportEnergyCons!$B$4:$B$10000)*1,ISNUMBER(SEARCH("T_b_c*hyb*DSL*s4",[1]OUT_TransportEnergyCons!$A$4:$A$10000))*1,[1]OUT_TransportEnergyCons!M$4:M$10000))*1000)</f>
        <v>0</v>
      </c>
      <c r="P1991" s="1" cm="1">
        <f t="array" ref="P1991">IF((SUMPRODUCT(("Var_Cap"=[1]OUT_TransportEnergyCons!$B$4:$B$10000)*1,ISNUMBER(SEARCH("T_b_c*hyb*DSL*s4",[1]OUT_TransportEnergyCons!$A$4:$A$10000))*1,[1]OUT_TransportEnergyCons!N$4:N$10000))*1000&lt;0,0,(SUMPRODUCT(("Var_Cap"=[1]OUT_TransportEnergyCons!$B$4:$B$10000)*1,ISNUMBER(SEARCH("T_b_c*hyb*DSL*s4",[1]OUT_TransportEnergyCons!$A$4:$A$10000))*1,[1]OUT_TransportEnergyCons!N$4:N$10000))*1000)</f>
        <v>0</v>
      </c>
      <c r="Q1991" s="1" cm="1">
        <f t="array" ref="Q1991">IF((SUMPRODUCT(("Var_Cap"=[1]OUT_TransportEnergyCons!$B$4:$B$10000)*1,ISNUMBER(SEARCH("T_b_c*hyb*DSL*s4",[1]OUT_TransportEnergyCons!$A$4:$A$10000))*1,[1]OUT_TransportEnergyCons!O$4:O$10000))*1000&lt;0,0,(SUMPRODUCT(("Var_Cap"=[1]OUT_TransportEnergyCons!$B$4:$B$10000)*1,ISNUMBER(SEARCH("T_b_c*hyb*DSL*s4",[1]OUT_TransportEnergyCons!$A$4:$A$10000))*1,[1]OUT_TransportEnergyCons!O$4:O$10000))*1000)</f>
        <v>0</v>
      </c>
      <c r="S1991" s="3"/>
    </row>
    <row r="1992" spans="2:19" x14ac:dyDescent="0.5">
      <c r="B1992" s="5" t="str">
        <f t="shared" si="2165"/>
        <v>SPS1</v>
      </c>
      <c r="C1992" s="5" t="str">
        <f t="shared" si="2166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1.3033190693948529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M1992" s="1" cm="1">
        <f t="array" ref="M1992">(SUMPRODUCT(("Var_Cap"=[1]OUT_TransportEnergyCons!$B$4:$B$10000)*1,ISNUMBER(SEARCH("T_b_c*ICE*DSL*ext",[1]OUT_TransportEnergyCons!$A$4:$A$10000))*1,[1]OUT_TransportEnergyCons!K$4:K$10000))*1000</f>
        <v>0</v>
      </c>
      <c r="N1992" s="1" cm="1">
        <f t="array" ref="N1992">(SUMPRODUCT(("Var_Cap"=[1]OUT_TransportEnergyCons!$B$4:$B$10000)*1,ISNUMBER(SEARCH("T_b_c*ICE*DSL*ext",[1]OUT_TransportEnergyCons!$A$4:$A$10000))*1,[1]OUT_TransportEnergyCons!L$4:L$10000))*1000</f>
        <v>0</v>
      </c>
      <c r="O1992" s="1" cm="1">
        <f t="array" ref="O1992">(SUMPRODUCT(("Var_Cap"=[1]OUT_TransportEnergyCons!$B$4:$B$10000)*1,ISNUMBER(SEARCH("T_b_c*ICE*DSL*ext",[1]OUT_TransportEnergyCons!$A$4:$A$10000))*1,[1]OUT_TransportEnergyCons!M$4:M$10000))*1000</f>
        <v>0</v>
      </c>
      <c r="P1992" s="1" cm="1">
        <f t="array" ref="P1992">(SUMPRODUCT(("Var_Cap"=[1]OUT_TransportEnergyCons!$B$4:$B$10000)*1,ISNUMBER(SEARCH("T_b_c*ICE*DSL*ext",[1]OUT_TransportEnergyCons!$A$4:$A$10000))*1,[1]OUT_TransportEnergyCons!N$4:N$10000))*1000</f>
        <v>0</v>
      </c>
      <c r="Q1992" s="1" cm="1">
        <f t="array" ref="Q1992">(SUMPRODUCT(("Var_Cap"=[1]OUT_TransportEnergyCons!$B$4:$B$10000)*1,ISNUMBER(SEARCH("T_b_c*ICE*DSL*ext",[1]OUT_TransportEnergyCons!$A$4:$A$10000))*1,[1]OUT_TransportEnergyCons!O$4:O$10000))*1000</f>
        <v>0</v>
      </c>
      <c r="S1992" s="3"/>
    </row>
    <row r="1993" spans="2:19" x14ac:dyDescent="0.5">
      <c r="B1993" s="5" t="str">
        <f t="shared" si="2165"/>
        <v>SPS1</v>
      </c>
      <c r="C1993" s="5" t="str">
        <f t="shared" si="2166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0.84792187967250698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1.036964883107542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3.2676093122879562E-3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1.3860694468795383E-5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1.2557786527140398E-5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4.8316845745229603E-5</v>
      </c>
      <c r="M1993" s="1" cm="1">
        <f t="array" ref="M1993">IF((SUMPRODUCT(("Var_Cap"=[1]OUT_TransportEnergyCons!$B$4:$B$10000)*1,ISNUMBER(SEARCH("T_b_c*ICE*DSL*s1",[1]OUT_TransportEnergyCons!$A$4:$A$10000))*1,[1]OUT_TransportEnergyCons!K$4:K$10000))*1000&lt;0,0,(SUMPRODUCT(("Var_Cap"=[1]OUT_TransportEnergyCons!$B$4:$B$10000)*1,ISNUMBER(SEARCH("T_b_c*ICE*DSL*s1",[1]OUT_TransportEnergyCons!$A$4:$A$10000))*1,[1]OUT_TransportEnergyCons!K$4:K$10000))*1000)</f>
        <v>4.1445369588732401E-5</v>
      </c>
      <c r="N1993" s="1" cm="1">
        <f t="array" ref="N1993">IF((SUMPRODUCT(("Var_Cap"=[1]OUT_TransportEnergyCons!$B$4:$B$10000)*1,ISNUMBER(SEARCH("T_b_c*ICE*DSL*s1",[1]OUT_TransportEnergyCons!$A$4:$A$10000))*1,[1]OUT_TransportEnergyCons!L$4:L$10000))*1000&lt;0,0,(SUMPRODUCT(("Var_Cap"=[1]OUT_TransportEnergyCons!$B$4:$B$10000)*1,ISNUMBER(SEARCH("T_b_c*ICE*DSL*s1",[1]OUT_TransportEnergyCons!$A$4:$A$10000))*1,[1]OUT_TransportEnergyCons!L$4:L$10000))*1000)</f>
        <v>0</v>
      </c>
      <c r="O1993" s="1" cm="1">
        <f t="array" ref="O1993">IF((SUMPRODUCT(("Var_Cap"=[1]OUT_TransportEnergyCons!$B$4:$B$10000)*1,ISNUMBER(SEARCH("T_b_c*ICE*DSL*s1",[1]OUT_TransportEnergyCons!$A$4:$A$10000))*1,[1]OUT_TransportEnergyCons!M$4:M$10000))*1000&lt;0,0,(SUMPRODUCT(("Var_Cap"=[1]OUT_TransportEnergyCons!$B$4:$B$10000)*1,ISNUMBER(SEARCH("T_b_c*ICE*DSL*s1",[1]OUT_TransportEnergyCons!$A$4:$A$10000))*1,[1]OUT_TransportEnergyCons!M$4:M$10000))*1000)</f>
        <v>0</v>
      </c>
      <c r="P1993" s="1" cm="1">
        <f t="array" ref="P1993">IF((SUMPRODUCT(("Var_Cap"=[1]OUT_TransportEnergyCons!$B$4:$B$10000)*1,ISNUMBER(SEARCH("T_b_c*ICE*DSL*s1",[1]OUT_TransportEnergyCons!$A$4:$A$10000))*1,[1]OUT_TransportEnergyCons!N$4:N$10000))*1000&lt;0,0,(SUMPRODUCT(("Var_Cap"=[1]OUT_TransportEnergyCons!$B$4:$B$10000)*1,ISNUMBER(SEARCH("T_b_c*ICE*DSL*s1",[1]OUT_TransportEnergyCons!$A$4:$A$10000))*1,[1]OUT_TransportEnergyCons!N$4:N$10000))*1000)</f>
        <v>0</v>
      </c>
      <c r="Q1993" s="1" cm="1">
        <f t="array" ref="Q1993">IF((SUMPRODUCT(("Var_Cap"=[1]OUT_TransportEnergyCons!$B$4:$B$10000)*1,ISNUMBER(SEARCH("T_b_c*ICE*DSL*s1",[1]OUT_TransportEnergyCons!$A$4:$A$10000))*1,[1]OUT_TransportEnergyCons!O$4:O$10000))*1000&lt;0,0,(SUMPRODUCT(("Var_Cap"=[1]OUT_TransportEnergyCons!$B$4:$B$10000)*1,ISNUMBER(SEARCH("T_b_c*ICE*DSL*s1",[1]OUT_TransportEnergyCons!$A$4:$A$10000))*1,[1]OUT_TransportEnergyCons!O$4:O$10000))*1000)</f>
        <v>0</v>
      </c>
      <c r="S1993" s="3"/>
    </row>
    <row r="1994" spans="2:19" x14ac:dyDescent="0.5">
      <c r="B1994" s="5" t="str">
        <f t="shared" si="2165"/>
        <v>SPS1</v>
      </c>
      <c r="C1994" s="5" t="str">
        <f t="shared" si="2166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0.93855098411936599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0.93978847746107463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9.7867588036361537E-5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2.9055203198269541E-6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2.7653462860833701E-6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1.33378142692385E-5</v>
      </c>
      <c r="M1994" s="1" cm="1">
        <f t="array" ref="M1994">IF((SUMPRODUCT(("Var_Cap"=[1]OUT_TransportEnergyCons!$B$4:$B$10000)*1,ISNUMBER(SEARCH("T_b_c*ICE*DSL*s2",[1]OUT_TransportEnergyCons!$A$4:$A$10000))*1,[1]OUT_TransportEnergyCons!K$4:K$10000))*1000&lt;0,0,(SUMPRODUCT(("Var_Cap"=[1]OUT_TransportEnergyCons!$B$4:$B$10000)*1,ISNUMBER(SEARCH("T_b_c*ICE*DSL*s2",[1]OUT_TransportEnergyCons!$A$4:$A$10000))*1,[1]OUT_TransportEnergyCons!K$4:K$10000))*1000)</f>
        <v>1.33378142692385E-5</v>
      </c>
      <c r="N1994" s="1" cm="1">
        <f t="array" ref="N1994">IF((SUMPRODUCT(("Var_Cap"=[1]OUT_TransportEnergyCons!$B$4:$B$10000)*1,ISNUMBER(SEARCH("T_b_c*ICE*DSL*s2",[1]OUT_TransportEnergyCons!$A$4:$A$10000))*1,[1]OUT_TransportEnergyCons!L$4:L$10000))*1000&lt;0,0,(SUMPRODUCT(("Var_Cap"=[1]OUT_TransportEnergyCons!$B$4:$B$10000)*1,ISNUMBER(SEARCH("T_b_c*ICE*DSL*s2",[1]OUT_TransportEnergyCons!$A$4:$A$10000))*1,[1]OUT_TransportEnergyCons!L$4:L$10000))*1000)</f>
        <v>0</v>
      </c>
      <c r="O1994" s="1" cm="1">
        <f t="array" ref="O1994">IF((SUMPRODUCT(("Var_Cap"=[1]OUT_TransportEnergyCons!$B$4:$B$10000)*1,ISNUMBER(SEARCH("T_b_c*ICE*DSL*s2",[1]OUT_TransportEnergyCons!$A$4:$A$10000))*1,[1]OUT_TransportEnergyCons!M$4:M$10000))*1000&lt;0,0,(SUMPRODUCT(("Var_Cap"=[1]OUT_TransportEnergyCons!$B$4:$B$10000)*1,ISNUMBER(SEARCH("T_b_c*ICE*DSL*s2",[1]OUT_TransportEnergyCons!$A$4:$A$10000))*1,[1]OUT_TransportEnergyCons!M$4:M$10000))*1000)</f>
        <v>0</v>
      </c>
      <c r="P1994" s="1" cm="1">
        <f t="array" ref="P1994">IF((SUMPRODUCT(("Var_Cap"=[1]OUT_TransportEnergyCons!$B$4:$B$10000)*1,ISNUMBER(SEARCH("T_b_c*ICE*DSL*s2",[1]OUT_TransportEnergyCons!$A$4:$A$10000))*1,[1]OUT_TransportEnergyCons!N$4:N$10000))*1000&lt;0,0,(SUMPRODUCT(("Var_Cap"=[1]OUT_TransportEnergyCons!$B$4:$B$10000)*1,ISNUMBER(SEARCH("T_b_c*ICE*DSL*s2",[1]OUT_TransportEnergyCons!$A$4:$A$10000))*1,[1]OUT_TransportEnergyCons!N$4:N$10000))*1000)</f>
        <v>0</v>
      </c>
      <c r="Q1994" s="1" cm="1">
        <f t="array" ref="Q1994">IF((SUMPRODUCT(("Var_Cap"=[1]OUT_TransportEnergyCons!$B$4:$B$10000)*1,ISNUMBER(SEARCH("T_b_c*ICE*DSL*s2",[1]OUT_TransportEnergyCons!$A$4:$A$10000))*1,[1]OUT_TransportEnergyCons!O$4:O$10000))*1000&lt;0,0,(SUMPRODUCT(("Var_Cap"=[1]OUT_TransportEnergyCons!$B$4:$B$10000)*1,ISNUMBER(SEARCH("T_b_c*ICE*DSL*s2",[1]OUT_TransportEnergyCons!$A$4:$A$10000))*1,[1]OUT_TransportEnergyCons!O$4:O$10000))*1000)</f>
        <v>0</v>
      </c>
      <c r="S1994" s="3"/>
    </row>
    <row r="1995" spans="2:19" x14ac:dyDescent="0.5">
      <c r="B1995" s="5" t="str">
        <f t="shared" si="2165"/>
        <v>SPS1</v>
      </c>
      <c r="C1995" s="5" t="str">
        <f t="shared" si="2166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0.20239742396444022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0.20005638314053573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0.2003740931375329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3.9282310646774222E-6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0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0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0</v>
      </c>
      <c r="M1995" s="1" cm="1">
        <f t="array" ref="M1995">IF((SUMPRODUCT(("Var_Cap"=[1]OUT_TransportEnergyCons!$B$4:$B$10000)*1,ISNUMBER(SEARCH("T_b_c*ICE*DSL*s3",[1]OUT_TransportEnergyCons!$A$4:$A$10000))*1,[1]OUT_TransportEnergyCons!K$4:K$10000))*1000&lt;0,0,(SUMPRODUCT(("Var_Cap"=[1]OUT_TransportEnergyCons!$B$4:$B$10000)*1,ISNUMBER(SEARCH("T_b_c*ICE*DSL*s3",[1]OUT_TransportEnergyCons!$A$4:$A$10000))*1,[1]OUT_TransportEnergyCons!K$4:K$10000))*1000)</f>
        <v>0</v>
      </c>
      <c r="N1995" s="1" cm="1">
        <f t="array" ref="N1995">IF((SUMPRODUCT(("Var_Cap"=[1]OUT_TransportEnergyCons!$B$4:$B$10000)*1,ISNUMBER(SEARCH("T_b_c*ICE*DSL*s3",[1]OUT_TransportEnergyCons!$A$4:$A$10000))*1,[1]OUT_TransportEnergyCons!L$4:L$10000))*1000&lt;0,0,(SUMPRODUCT(("Var_Cap"=[1]OUT_TransportEnergyCons!$B$4:$B$10000)*1,ISNUMBER(SEARCH("T_b_c*ICE*DSL*s3",[1]OUT_TransportEnergyCons!$A$4:$A$10000))*1,[1]OUT_TransportEnergyCons!L$4:L$10000))*1000)</f>
        <v>0</v>
      </c>
      <c r="O1995" s="1" cm="1">
        <f t="array" ref="O1995">IF((SUMPRODUCT(("Var_Cap"=[1]OUT_TransportEnergyCons!$B$4:$B$10000)*1,ISNUMBER(SEARCH("T_b_c*ICE*DSL*s3",[1]OUT_TransportEnergyCons!$A$4:$A$10000))*1,[1]OUT_TransportEnergyCons!M$4:M$10000))*1000&lt;0,0,(SUMPRODUCT(("Var_Cap"=[1]OUT_TransportEnergyCons!$B$4:$B$10000)*1,ISNUMBER(SEARCH("T_b_c*ICE*DSL*s3",[1]OUT_TransportEnergyCons!$A$4:$A$10000))*1,[1]OUT_TransportEnergyCons!M$4:M$10000))*1000)</f>
        <v>0</v>
      </c>
      <c r="P1995" s="1" cm="1">
        <f t="array" ref="P1995">IF((SUMPRODUCT(("Var_Cap"=[1]OUT_TransportEnergyCons!$B$4:$B$10000)*1,ISNUMBER(SEARCH("T_b_c*ICE*DSL*s3",[1]OUT_TransportEnergyCons!$A$4:$A$10000))*1,[1]OUT_TransportEnergyCons!N$4:N$10000))*1000&lt;0,0,(SUMPRODUCT(("Var_Cap"=[1]OUT_TransportEnergyCons!$B$4:$B$10000)*1,ISNUMBER(SEARCH("T_b_c*ICE*DSL*s3",[1]OUT_TransportEnergyCons!$A$4:$A$10000))*1,[1]OUT_TransportEnergyCons!N$4:N$10000))*1000)</f>
        <v>0</v>
      </c>
      <c r="Q1995" s="1" cm="1">
        <f t="array" ref="Q1995">IF((SUMPRODUCT(("Var_Cap"=[1]OUT_TransportEnergyCons!$B$4:$B$10000)*1,ISNUMBER(SEARCH("T_b_c*ICE*DSL*s3",[1]OUT_TransportEnergyCons!$A$4:$A$10000))*1,[1]OUT_TransportEnergyCons!O$4:O$10000))*1000&lt;0,0,(SUMPRODUCT(("Var_Cap"=[1]OUT_TransportEnergyCons!$B$4:$B$10000)*1,ISNUMBER(SEARCH("T_b_c*ICE*DSL*s3",[1]OUT_TransportEnergyCons!$A$4:$A$10000))*1,[1]OUT_TransportEnergyCons!O$4:O$10000))*1000)</f>
        <v>0</v>
      </c>
      <c r="S1995" s="3"/>
    </row>
    <row r="1996" spans="2:19" x14ac:dyDescent="0.5">
      <c r="B1996" s="5" t="str">
        <f t="shared" si="2165"/>
        <v>SPS1</v>
      </c>
      <c r="C1996" s="5" t="str">
        <f t="shared" si="2166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1.1906099829858404E-2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4.5614747290310145E-4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4.8073256482464701E-4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5.0015953375480498E-6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0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0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0</v>
      </c>
      <c r="M1996" s="1" cm="1">
        <f t="array" ref="M1996">IF((SUMPRODUCT(("Var_Cap"=[1]OUT_TransportEnergyCons!$B$4:$B$10000)*1,ISNUMBER(SEARCH("T_b_c*ICE*DSL*s4",[1]OUT_TransportEnergyCons!$A$4:$A$10000))*1,[1]OUT_TransportEnergyCons!K$4:K$10000))*1000&lt;0,0,(SUMPRODUCT(("Var_Cap"=[1]OUT_TransportEnergyCons!$B$4:$B$10000)*1,ISNUMBER(SEARCH("T_b_c*ICE*DSL*s4",[1]OUT_TransportEnergyCons!$A$4:$A$10000))*1,[1]OUT_TransportEnergyCons!K$4:K$10000))*1000)</f>
        <v>0</v>
      </c>
      <c r="N1996" s="1" cm="1">
        <f t="array" ref="N1996">IF((SUMPRODUCT(("Var_Cap"=[1]OUT_TransportEnergyCons!$B$4:$B$10000)*1,ISNUMBER(SEARCH("T_b_c*ICE*DSL*s4",[1]OUT_TransportEnergyCons!$A$4:$A$10000))*1,[1]OUT_TransportEnergyCons!L$4:L$10000))*1000&lt;0,0,(SUMPRODUCT(("Var_Cap"=[1]OUT_TransportEnergyCons!$B$4:$B$10000)*1,ISNUMBER(SEARCH("T_b_c*ICE*DSL*s4",[1]OUT_TransportEnergyCons!$A$4:$A$10000))*1,[1]OUT_TransportEnergyCons!L$4:L$10000))*1000)</f>
        <v>0</v>
      </c>
      <c r="O1996" s="1" cm="1">
        <f t="array" ref="O1996">IF((SUMPRODUCT(("Var_Cap"=[1]OUT_TransportEnergyCons!$B$4:$B$10000)*1,ISNUMBER(SEARCH("T_b_c*ICE*DSL*s4",[1]OUT_TransportEnergyCons!$A$4:$A$10000))*1,[1]OUT_TransportEnergyCons!M$4:M$10000))*1000&lt;0,0,(SUMPRODUCT(("Var_Cap"=[1]OUT_TransportEnergyCons!$B$4:$B$10000)*1,ISNUMBER(SEARCH("T_b_c*ICE*DSL*s4",[1]OUT_TransportEnergyCons!$A$4:$A$10000))*1,[1]OUT_TransportEnergyCons!M$4:M$10000))*1000)</f>
        <v>0</v>
      </c>
      <c r="P1996" s="1" cm="1">
        <f t="array" ref="P1996">IF((SUMPRODUCT(("Var_Cap"=[1]OUT_TransportEnergyCons!$B$4:$B$10000)*1,ISNUMBER(SEARCH("T_b_c*ICE*DSL*s4",[1]OUT_TransportEnergyCons!$A$4:$A$10000))*1,[1]OUT_TransportEnergyCons!N$4:N$10000))*1000&lt;0,0,(SUMPRODUCT(("Var_Cap"=[1]OUT_TransportEnergyCons!$B$4:$B$10000)*1,ISNUMBER(SEARCH("T_b_c*ICE*DSL*s4",[1]OUT_TransportEnergyCons!$A$4:$A$10000))*1,[1]OUT_TransportEnergyCons!N$4:N$10000))*1000)</f>
        <v>0</v>
      </c>
      <c r="Q1996" s="1" cm="1">
        <f t="array" ref="Q1996">IF((SUMPRODUCT(("Var_Cap"=[1]OUT_TransportEnergyCons!$B$4:$B$10000)*1,ISNUMBER(SEARCH("T_b_c*ICE*DSL*s4",[1]OUT_TransportEnergyCons!$A$4:$A$10000))*1,[1]OUT_TransportEnergyCons!O$4:O$10000))*1000&lt;0,0,(SUMPRODUCT(("Var_Cap"=[1]OUT_TransportEnergyCons!$B$4:$B$10000)*1,ISNUMBER(SEARCH("T_b_c*ICE*DSL*s4",[1]OUT_TransportEnergyCons!$A$4:$A$10000))*1,[1]OUT_TransportEnergyCons!O$4:O$10000))*1000)</f>
        <v>0</v>
      </c>
      <c r="S1996" s="3"/>
    </row>
    <row r="1997" spans="2:19" x14ac:dyDescent="0.5">
      <c r="B1997" s="5" t="str">
        <f t="shared" si="2165"/>
        <v>SPS1</v>
      </c>
      <c r="C1997" s="5" t="str">
        <f t="shared" si="2166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2.9721659981767436E-2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M1997" s="1" cm="1">
        <f t="array" ref="M1997">(SUMPRODUCT(("Var_Cap"=[1]OUT_TransportEnergyCons!$B$4:$B$10000)*1,ISNUMBER(SEARCH("T_b_c*ICE*nga*ext",[1]OUT_TransportEnergyCons!$A$4:$A$10000))*1,[1]OUT_TransportEnergyCons!K$4:K$10000))*1000</f>
        <v>0</v>
      </c>
      <c r="N1997" s="1" cm="1">
        <f t="array" ref="N1997">(SUMPRODUCT(("Var_Cap"=[1]OUT_TransportEnergyCons!$B$4:$B$10000)*1,ISNUMBER(SEARCH("T_b_c*ICE*nga*ext",[1]OUT_TransportEnergyCons!$A$4:$A$10000))*1,[1]OUT_TransportEnergyCons!L$4:L$10000))*1000</f>
        <v>0</v>
      </c>
      <c r="O1997" s="1" cm="1">
        <f t="array" ref="O1997">(SUMPRODUCT(("Var_Cap"=[1]OUT_TransportEnergyCons!$B$4:$B$10000)*1,ISNUMBER(SEARCH("T_b_c*ICE*nga*ext",[1]OUT_TransportEnergyCons!$A$4:$A$10000))*1,[1]OUT_TransportEnergyCons!M$4:M$10000))*1000</f>
        <v>0</v>
      </c>
      <c r="P1997" s="1" cm="1">
        <f t="array" ref="P1997">(SUMPRODUCT(("Var_Cap"=[1]OUT_TransportEnergyCons!$B$4:$B$10000)*1,ISNUMBER(SEARCH("T_b_c*ICE*nga*ext",[1]OUT_TransportEnergyCons!$A$4:$A$10000))*1,[1]OUT_TransportEnergyCons!N$4:N$10000))*1000</f>
        <v>0</v>
      </c>
      <c r="Q1997" s="1" cm="1">
        <f t="array" ref="Q1997">(SUMPRODUCT(("Var_Cap"=[1]OUT_TransportEnergyCons!$B$4:$B$10000)*1,ISNUMBER(SEARCH("T_b_c*ICE*nga*ext",[1]OUT_TransportEnergyCons!$A$4:$A$10000))*1,[1]OUT_TransportEnergyCons!O$4:O$10000))*1000</f>
        <v>0</v>
      </c>
      <c r="S1997" s="3"/>
    </row>
    <row r="1998" spans="2:19" x14ac:dyDescent="0.5">
      <c r="B1998" s="5" t="str">
        <f t="shared" si="2165"/>
        <v>SPS1</v>
      </c>
      <c r="C1998" s="5" t="str">
        <f t="shared" si="2166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7.7273638892111991E-4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9.8343136735136484E-3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1.1152086811407801E-2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2.5469678117819238E-5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4.0501012824689001E-5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5.1633697139353398E-3</v>
      </c>
      <c r="M1998" s="1" cm="1">
        <f t="array" ref="M1998">(SUMPRODUCT(("Var_Cap"=[1]OUT_TransportEnergyCons!$B$4:$B$10000)*1,ISNUMBER(SEARCH("T_b_c*ICE*nga*s1",[1]OUT_TransportEnergyCons!$A$4:$A$10000))*1,[1]OUT_TransportEnergyCons!K$4:K$10000))*1000</f>
        <v>5.1397215254069505E-3</v>
      </c>
      <c r="N1998" s="1" cm="1">
        <f t="array" ref="N1998">(SUMPRODUCT(("Var_Cap"=[1]OUT_TransportEnergyCons!$B$4:$B$10000)*1,ISNUMBER(SEARCH("T_b_c*ICE*nga*s1",[1]OUT_TransportEnergyCons!$A$4:$A$10000))*1,[1]OUT_TransportEnergyCons!L$4:L$10000))*1000</f>
        <v>0</v>
      </c>
      <c r="O1998" s="1" cm="1">
        <f t="array" ref="O1998">(SUMPRODUCT(("Var_Cap"=[1]OUT_TransportEnergyCons!$B$4:$B$10000)*1,ISNUMBER(SEARCH("T_b_c*ICE*nga*s1",[1]OUT_TransportEnergyCons!$A$4:$A$10000))*1,[1]OUT_TransportEnergyCons!M$4:M$10000))*1000</f>
        <v>0</v>
      </c>
      <c r="P1998" s="1" cm="1">
        <f t="array" ref="P1998">(SUMPRODUCT(("Var_Cap"=[1]OUT_TransportEnergyCons!$B$4:$B$10000)*1,ISNUMBER(SEARCH("T_b_c*ICE*nga*s1",[1]OUT_TransportEnergyCons!$A$4:$A$10000))*1,[1]OUT_TransportEnergyCons!N$4:N$10000))*1000</f>
        <v>0</v>
      </c>
      <c r="Q1998" s="1" cm="1">
        <f t="array" ref="Q1998">(SUMPRODUCT(("Var_Cap"=[1]OUT_TransportEnergyCons!$B$4:$B$10000)*1,ISNUMBER(SEARCH("T_b_c*ICE*nga*s1",[1]OUT_TransportEnergyCons!$A$4:$A$10000))*1,[1]OUT_TransportEnergyCons!O$4:O$10000))*1000</f>
        <v>0</v>
      </c>
      <c r="S1998" s="3"/>
    </row>
    <row r="1999" spans="2:19" x14ac:dyDescent="0.5">
      <c r="B1999" s="5" t="str">
        <f t="shared" si="2165"/>
        <v>SPS1</v>
      </c>
      <c r="C1999" s="5" t="str">
        <f t="shared" si="2166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2.15785440318471E-4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8.5359326676845003E-4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6.100077737414069E-6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1.1549464116559763E-6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0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3.6102591078029899E-5</v>
      </c>
      <c r="M1999" s="1" cm="1">
        <f t="array" ref="M1999">IF((SUMPRODUCT(("Var_Cap"=[1]OUT_TransportEnergyCons!$B$4:$B$10000)*1,ISNUMBER(SEARCH("T_b_c*ICE*nga*s2",[1]OUT_TransportEnergyCons!$A$4:$A$10000))*1,[1]OUT_TransportEnergyCons!K$4:K$10000))*1000&lt;0,0,(SUMPRODUCT(("Var_Cap"=[1]OUT_TransportEnergyCons!$B$4:$B$10000)*1,ISNUMBER(SEARCH("T_b_c*ICE*nga*s2",[1]OUT_TransportEnergyCons!$A$4:$A$10000))*1,[1]OUT_TransportEnergyCons!K$4:K$10000))*1000)</f>
        <v>3.6102591078029899E-5</v>
      </c>
      <c r="N1999" s="1" cm="1">
        <f t="array" ref="N1999">IF((SUMPRODUCT(("Var_Cap"=[1]OUT_TransportEnergyCons!$B$4:$B$10000)*1,ISNUMBER(SEARCH("T_b_c*ICE*nga*s2",[1]OUT_TransportEnergyCons!$A$4:$A$10000))*1,[1]OUT_TransportEnergyCons!L$4:L$10000))*1000&lt;0,0,(SUMPRODUCT(("Var_Cap"=[1]OUT_TransportEnergyCons!$B$4:$B$10000)*1,ISNUMBER(SEARCH("T_b_c*ICE*nga*s2",[1]OUT_TransportEnergyCons!$A$4:$A$10000))*1,[1]OUT_TransportEnergyCons!L$4:L$10000))*1000)</f>
        <v>0</v>
      </c>
      <c r="O1999" s="1" cm="1">
        <f t="array" ref="O1999">IF((SUMPRODUCT(("Var_Cap"=[1]OUT_TransportEnergyCons!$B$4:$B$10000)*1,ISNUMBER(SEARCH("T_b_c*ICE*nga*s2",[1]OUT_TransportEnergyCons!$A$4:$A$10000))*1,[1]OUT_TransportEnergyCons!M$4:M$10000))*1000&lt;0,0,(SUMPRODUCT(("Var_Cap"=[1]OUT_TransportEnergyCons!$B$4:$B$10000)*1,ISNUMBER(SEARCH("T_b_c*ICE*nga*s2",[1]OUT_TransportEnergyCons!$A$4:$A$10000))*1,[1]OUT_TransportEnergyCons!M$4:M$10000))*1000)</f>
        <v>0</v>
      </c>
      <c r="P1999" s="1" cm="1">
        <f t="array" ref="P1999">IF((SUMPRODUCT(("Var_Cap"=[1]OUT_TransportEnergyCons!$B$4:$B$10000)*1,ISNUMBER(SEARCH("T_b_c*ICE*nga*s2",[1]OUT_TransportEnergyCons!$A$4:$A$10000))*1,[1]OUT_TransportEnergyCons!N$4:N$10000))*1000&lt;0,0,(SUMPRODUCT(("Var_Cap"=[1]OUT_TransportEnergyCons!$B$4:$B$10000)*1,ISNUMBER(SEARCH("T_b_c*ICE*nga*s2",[1]OUT_TransportEnergyCons!$A$4:$A$10000))*1,[1]OUT_TransportEnergyCons!N$4:N$10000))*1000)</f>
        <v>0</v>
      </c>
      <c r="Q1999" s="1" cm="1">
        <f t="array" ref="Q1999">IF((SUMPRODUCT(("Var_Cap"=[1]OUT_TransportEnergyCons!$B$4:$B$10000)*1,ISNUMBER(SEARCH("T_b_c*ICE*nga*s2",[1]OUT_TransportEnergyCons!$A$4:$A$10000))*1,[1]OUT_TransportEnergyCons!O$4:O$10000))*1000&lt;0,0,(SUMPRODUCT(("Var_Cap"=[1]OUT_TransportEnergyCons!$B$4:$B$10000)*1,ISNUMBER(SEARCH("T_b_c*ICE*nga*s2",[1]OUT_TransportEnergyCons!$A$4:$A$10000))*1,[1]OUT_TransportEnergyCons!O$4:O$10000))*1000)</f>
        <v>0</v>
      </c>
      <c r="S1999" s="3"/>
    </row>
    <row r="2000" spans="2:19" x14ac:dyDescent="0.5">
      <c r="B2000" s="5" t="str">
        <f t="shared" si="2165"/>
        <v>SPS1</v>
      </c>
      <c r="C2000" s="5" t="str">
        <f t="shared" si="2166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1.2365657405367898E-4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3.8866027469913701E-4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2.1518149596980357E-6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0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0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0</v>
      </c>
      <c r="M2000" s="1" cm="1">
        <f t="array" ref="M2000">(SUMPRODUCT(("Var_Cap"=[1]OUT_TransportEnergyCons!$B$4:$B$10000)*1,ISNUMBER(SEARCH("T_b_c*ICE*nga*s3",[1]OUT_TransportEnergyCons!$A$4:$A$10000))*1,[1]OUT_TransportEnergyCons!K$4:K$10000))*1000</f>
        <v>0</v>
      </c>
      <c r="N2000" s="1" cm="1">
        <f t="array" ref="N2000">(SUMPRODUCT(("Var_Cap"=[1]OUT_TransportEnergyCons!$B$4:$B$10000)*1,ISNUMBER(SEARCH("T_b_c*ICE*nga*s3",[1]OUT_TransportEnergyCons!$A$4:$A$10000))*1,[1]OUT_TransportEnergyCons!L$4:L$10000))*1000</f>
        <v>0</v>
      </c>
      <c r="O2000" s="1" cm="1">
        <f t="array" ref="O2000">(SUMPRODUCT(("Var_Cap"=[1]OUT_TransportEnergyCons!$B$4:$B$10000)*1,ISNUMBER(SEARCH("T_b_c*ICE*nga*s3",[1]OUT_TransportEnergyCons!$A$4:$A$10000))*1,[1]OUT_TransportEnergyCons!M$4:M$10000))*1000</f>
        <v>0</v>
      </c>
      <c r="P2000" s="1" cm="1">
        <f t="array" ref="P2000">(SUMPRODUCT(("Var_Cap"=[1]OUT_TransportEnergyCons!$B$4:$B$10000)*1,ISNUMBER(SEARCH("T_b_c*ICE*nga*s3",[1]OUT_TransportEnergyCons!$A$4:$A$10000))*1,[1]OUT_TransportEnergyCons!N$4:N$10000))*1000</f>
        <v>0</v>
      </c>
      <c r="Q2000" s="1" cm="1">
        <f t="array" ref="Q2000">(SUMPRODUCT(("Var_Cap"=[1]OUT_TransportEnergyCons!$B$4:$B$10000)*1,ISNUMBER(SEARCH("T_b_c*ICE*nga*s3",[1]OUT_TransportEnergyCons!$A$4:$A$10000))*1,[1]OUT_TransportEnergyCons!O$4:O$10000))*1000</f>
        <v>0</v>
      </c>
      <c r="S2000" s="3"/>
    </row>
    <row r="2001" spans="2:19" x14ac:dyDescent="0.5">
      <c r="B2001" s="5" t="str">
        <f t="shared" si="2165"/>
        <v>SPS1</v>
      </c>
      <c r="C2001" s="5" t="str">
        <f t="shared" si="2166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3.8933206836186302E-5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8.9035127238879701E-5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3.7098327806646044E-6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0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0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0</v>
      </c>
      <c r="M2001" s="1" cm="1">
        <f t="array" ref="M2001">IF((SUMPRODUCT(("Var_Cap"=[1]OUT_TransportEnergyCons!$B$4:$B$10000)*1,ISNUMBER(SEARCH("T_b_c*ICE*nga*s4",[1]OUT_TransportEnergyCons!$A$4:$A$10000))*1,[1]OUT_TransportEnergyCons!K$4:K$10000))*1000&lt;0,0,(SUMPRODUCT(("Var_Cap"=[1]OUT_TransportEnergyCons!$B$4:$B$10000)*1,ISNUMBER(SEARCH("T_b_c*ICE*nga*s4",[1]OUT_TransportEnergyCons!$A$4:$A$10000))*1,[1]OUT_TransportEnergyCons!K$4:K$10000))*1000)</f>
        <v>0</v>
      </c>
      <c r="N2001" s="1" cm="1">
        <f t="array" ref="N2001">IF((SUMPRODUCT(("Var_Cap"=[1]OUT_TransportEnergyCons!$B$4:$B$10000)*1,ISNUMBER(SEARCH("T_b_c*ICE*nga*s4",[1]OUT_TransportEnergyCons!$A$4:$A$10000))*1,[1]OUT_TransportEnergyCons!L$4:L$10000))*1000&lt;0,0,(SUMPRODUCT(("Var_Cap"=[1]OUT_TransportEnergyCons!$B$4:$B$10000)*1,ISNUMBER(SEARCH("T_b_c*ICE*nga*s4",[1]OUT_TransportEnergyCons!$A$4:$A$10000))*1,[1]OUT_TransportEnergyCons!L$4:L$10000))*1000)</f>
        <v>0</v>
      </c>
      <c r="O2001" s="1" cm="1">
        <f t="array" ref="O2001">IF((SUMPRODUCT(("Var_Cap"=[1]OUT_TransportEnergyCons!$B$4:$B$10000)*1,ISNUMBER(SEARCH("T_b_c*ICE*nga*s4",[1]OUT_TransportEnergyCons!$A$4:$A$10000))*1,[1]OUT_TransportEnergyCons!M$4:M$10000))*1000&lt;0,0,(SUMPRODUCT(("Var_Cap"=[1]OUT_TransportEnergyCons!$B$4:$B$10000)*1,ISNUMBER(SEARCH("T_b_c*ICE*nga*s4",[1]OUT_TransportEnergyCons!$A$4:$A$10000))*1,[1]OUT_TransportEnergyCons!M$4:M$10000))*1000)</f>
        <v>0</v>
      </c>
      <c r="P2001" s="1" cm="1">
        <f t="array" ref="P2001">IF((SUMPRODUCT(("Var_Cap"=[1]OUT_TransportEnergyCons!$B$4:$B$10000)*1,ISNUMBER(SEARCH("T_b_c*ICE*nga*s4",[1]OUT_TransportEnergyCons!$A$4:$A$10000))*1,[1]OUT_TransportEnergyCons!N$4:N$10000))*1000&lt;0,0,(SUMPRODUCT(("Var_Cap"=[1]OUT_TransportEnergyCons!$B$4:$B$10000)*1,ISNUMBER(SEARCH("T_b_c*ICE*nga*s4",[1]OUT_TransportEnergyCons!$A$4:$A$10000))*1,[1]OUT_TransportEnergyCons!N$4:N$10000))*1000)</f>
        <v>0</v>
      </c>
      <c r="Q2001" s="1" cm="1">
        <f t="array" ref="Q2001">IF((SUMPRODUCT(("Var_Cap"=[1]OUT_TransportEnergyCons!$B$4:$B$10000)*1,ISNUMBER(SEARCH("T_b_c*ICE*nga*s4",[1]OUT_TransportEnergyCons!$A$4:$A$10000))*1,[1]OUT_TransportEnergyCons!O$4:O$10000))*1000&lt;0,0,(SUMPRODUCT(("Var_Cap"=[1]OUT_TransportEnergyCons!$B$4:$B$10000)*1,ISNUMBER(SEARCH("T_b_c*ICE*nga*s4",[1]OUT_TransportEnergyCons!$A$4:$A$10000))*1,[1]OUT_TransportEnergyCons!O$4:O$10000))*1000)</f>
        <v>0</v>
      </c>
      <c r="S2001" s="3"/>
    </row>
    <row r="2002" spans="2:19" x14ac:dyDescent="0.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393.43706237397288</v>
      </c>
      <c r="G2002" s="3">
        <f t="shared" ref="G2002:K2002" si="2167">SUM(G2003:G2011)</f>
        <v>399.40189952389915</v>
      </c>
      <c r="H2002" s="3">
        <f t="shared" si="2167"/>
        <v>407.07963160425521</v>
      </c>
      <c r="I2002" s="3">
        <f t="shared" si="2167"/>
        <v>419.87586067595134</v>
      </c>
      <c r="J2002" s="3">
        <f t="shared" si="2167"/>
        <v>443.9140334712946</v>
      </c>
      <c r="K2002" s="3">
        <f t="shared" si="2167"/>
        <v>470.70608287821489</v>
      </c>
      <c r="L2002" s="3">
        <f t="shared" ref="L2002:O2002" si="2168">SUM(L2003:L2011)</f>
        <v>502.19541769569315</v>
      </c>
      <c r="M2002" s="3">
        <f t="shared" si="2168"/>
        <v>538.23541155049429</v>
      </c>
      <c r="N2002" s="3">
        <f t="shared" si="2168"/>
        <v>556.6768519688743</v>
      </c>
      <c r="O2002" s="3">
        <f t="shared" si="2168"/>
        <v>573.13074673501546</v>
      </c>
      <c r="P2002" s="3">
        <f>SUM(P2003:P2011)</f>
        <v>588.99887314780324</v>
      </c>
      <c r="Q2002" s="3">
        <f>SUM(Q2003:Q2011)</f>
        <v>604.23661086513596</v>
      </c>
      <c r="S2002" s="3"/>
    </row>
    <row r="2003" spans="2:19" x14ac:dyDescent="0.5">
      <c r="B2003" s="5" t="str">
        <f t="shared" ref="B2003:B2011" si="2169">B2002</f>
        <v>SPS1</v>
      </c>
      <c r="C2003" s="5" t="str">
        <f t="shared" ref="C2003:C2011" si="2170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1.9499735796309787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M2003" s="1" cm="1">
        <f t="array" ref="M2003">(SUMPRODUCT(("Var_Cap"=[1]OUT_TransportEnergyCons!$B$4:$B$10000)*1,("-"=[1]OUT_TransportEnergyCons!$C$4:$C$10000)*1,ISNUMBER(SEARCH("tfl*bev*ext",[1]OUT_TransportEnergyCons!$A$4:$A$10000))*1,[1]OUT_TransportEnergyCons!K$4:K$10000))*1000</f>
        <v>0</v>
      </c>
      <c r="N2003" s="1" cm="1">
        <f t="array" ref="N2003">(SUMPRODUCT(("Var_Cap"=[1]OUT_TransportEnergyCons!$B$4:$B$10000)*1,("-"=[1]OUT_TransportEnergyCons!$C$4:$C$10000)*1,ISNUMBER(SEARCH("tfl*bev*ext",[1]OUT_TransportEnergyCons!$A$4:$A$10000))*1,[1]OUT_TransportEnergyCons!L$4:L$10000))*1000</f>
        <v>0</v>
      </c>
      <c r="O2003" s="1" cm="1">
        <f t="array" ref="O2003">(SUMPRODUCT(("Var_Cap"=[1]OUT_TransportEnergyCons!$B$4:$B$10000)*1,("-"=[1]OUT_TransportEnergyCons!$C$4:$C$10000)*1,ISNUMBER(SEARCH("tfl*bev*ext",[1]OUT_TransportEnergyCons!$A$4:$A$10000))*1,[1]OUT_TransportEnergyCons!M$4:M$10000))*1000</f>
        <v>0</v>
      </c>
      <c r="P2003" s="1" cm="1">
        <f t="array" ref="P2003">(SUMPRODUCT(("Var_Cap"=[1]OUT_TransportEnergyCons!$B$4:$B$10000)*1,("-"=[1]OUT_TransportEnergyCons!$C$4:$C$10000)*1,ISNUMBER(SEARCH("tfl*bev*ext",[1]OUT_TransportEnergyCons!$A$4:$A$10000))*1,[1]OUT_TransportEnergyCons!N$4:N$10000))*1000</f>
        <v>0</v>
      </c>
      <c r="Q2003" s="1" cm="1">
        <f t="array" ref="Q2003">(SUMPRODUCT(("Var_Cap"=[1]OUT_TransportEnergyCons!$B$4:$B$10000)*1,("-"=[1]OUT_TransportEnergyCons!$C$4:$C$10000)*1,ISNUMBER(SEARCH("tfl*bev*ext",[1]OUT_TransportEnergyCons!$A$4:$A$10000))*1,[1]OUT_TransportEnergyCons!O$4:O$10000))*1000</f>
        <v>0</v>
      </c>
      <c r="S2003" s="3"/>
    </row>
    <row r="2004" spans="2:19" x14ac:dyDescent="0.5">
      <c r="B2004" s="5" t="str">
        <f t="shared" si="2169"/>
        <v>SPS1</v>
      </c>
      <c r="C2004" s="5" t="str">
        <f t="shared" si="2170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1.6989999999999998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3.7413619501272102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5.5605327957095039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80.799297643912141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317.79129572312416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470.69550958646431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502.19529601205357</v>
      </c>
      <c r="M2004" s="1" cm="1">
        <f t="array" ref="M2004">(SUMPRODUCT(("Var_Cap"=[1]OUT_TransportEnergyCons!$B$4:$B$10000)*1,("-"=[1]OUT_TransportEnergyCons!$C$4:$C$10000)*1,ISNUMBER(SEARCH("tfl*bev*",[1]OUT_TransportEnergyCons!$A$4:$A$10000))*1,[1]OUT_TransportEnergyCons!K$4:K$10000))*1000-M2003</f>
        <v>538.23530003932854</v>
      </c>
      <c r="N2004" s="1" cm="1">
        <f t="array" ref="N2004">(SUMPRODUCT(("Var_Cap"=[1]OUT_TransportEnergyCons!$B$4:$B$10000)*1,("-"=[1]OUT_TransportEnergyCons!$C$4:$C$10000)*1,ISNUMBER(SEARCH("tfl*bev*",[1]OUT_TransportEnergyCons!$A$4:$A$10000))*1,[1]OUT_TransportEnergyCons!L$4:L$10000))*1000-N2003</f>
        <v>556.67674146744116</v>
      </c>
      <c r="O2004" s="1" cm="1">
        <f t="array" ref="O2004">(SUMPRODUCT(("Var_Cap"=[1]OUT_TransportEnergyCons!$B$4:$B$10000)*1,("-"=[1]OUT_TransportEnergyCons!$C$4:$C$10000)*1,ISNUMBER(SEARCH("tfl*bev*",[1]OUT_TransportEnergyCons!$A$4:$A$10000))*1,[1]OUT_TransportEnergyCons!M$4:M$10000))*1000-O2003</f>
        <v>573.13064042631208</v>
      </c>
      <c r="P2004" s="1" cm="1">
        <f t="array" ref="P2004">(SUMPRODUCT(("Var_Cap"=[1]OUT_TransportEnergyCons!$B$4:$B$10000)*1,("-"=[1]OUT_TransportEnergyCons!$C$4:$C$10000)*1,ISNUMBER(SEARCH("tfl*bev*",[1]OUT_TransportEnergyCons!$A$4:$A$10000))*1,[1]OUT_TransportEnergyCons!N$4:N$10000))*1000-P2003</f>
        <v>588.99877836525502</v>
      </c>
      <c r="Q2004" s="1" cm="1">
        <f t="array" ref="Q2004">(SUMPRODUCT(("Var_Cap"=[1]OUT_TransportEnergyCons!$B$4:$B$10000)*1,("-"=[1]OUT_TransportEnergyCons!$C$4:$C$10000)*1,ISNUMBER(SEARCH("tfl*bev*",[1]OUT_TransportEnergyCons!$A$4:$A$10000))*1,[1]OUT_TransportEnergyCons!O$4:O$10000))*1000-Q2003</f>
        <v>604.23643268232308</v>
      </c>
      <c r="S2004" s="3"/>
    </row>
    <row r="2005" spans="2:19" x14ac:dyDescent="0.5">
      <c r="B2005" s="5" t="str">
        <f t="shared" si="2169"/>
        <v>SPS1</v>
      </c>
      <c r="C2005" s="5" t="str">
        <f t="shared" si="2170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1.78275432786176E-3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2.5940004478948999E-3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1.2376622303749007E-4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1.1885866876636898E-4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1.10544657031678E-4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1.2168363960403699E-4</v>
      </c>
      <c r="M2005" s="1" cm="1">
        <f t="array" ref="M2005">(SUMPRODUCT(("Var_Cap"=[1]OUT_TransportEnergyCons!$B$4:$B$10000)*1,("-"=[1]OUT_TransportEnergyCons!$C$4:$C$10000)*1,ISNUMBER(SEARCH("tfl*h2o*",[1]OUT_TransportEnergyCons!$A$4:$A$10000))*1,[1]OUT_TransportEnergyCons!K$4:K$10000))*1000</f>
        <v>1.11511165774253E-4</v>
      </c>
      <c r="N2005" s="1" cm="1">
        <f t="array" ref="N2005">(SUMPRODUCT(("Var_Cap"=[1]OUT_TransportEnergyCons!$B$4:$B$10000)*1,("-"=[1]OUT_TransportEnergyCons!$C$4:$C$10000)*1,ISNUMBER(SEARCH("tfl*h2o*",[1]OUT_TransportEnergyCons!$A$4:$A$10000))*1,[1]OUT_TransportEnergyCons!L$4:L$10000))*1000</f>
        <v>1.1050143310744301E-4</v>
      </c>
      <c r="O2005" s="1" cm="1">
        <f t="array" ref="O2005">(SUMPRODUCT(("Var_Cap"=[1]OUT_TransportEnergyCons!$B$4:$B$10000)*1,("-"=[1]OUT_TransportEnergyCons!$C$4:$C$10000)*1,ISNUMBER(SEARCH("tfl*h2o*",[1]OUT_TransportEnergyCons!$A$4:$A$10000))*1,[1]OUT_TransportEnergyCons!M$4:M$10000))*1000</f>
        <v>1.0630870334503099E-4</v>
      </c>
      <c r="P2005" s="1" cm="1">
        <f t="array" ref="P2005">(SUMPRODUCT(("Var_Cap"=[1]OUT_TransportEnergyCons!$B$4:$B$10000)*1,("-"=[1]OUT_TransportEnergyCons!$C$4:$C$10000)*1,ISNUMBER(SEARCH("tfl*h2o*",[1]OUT_TransportEnergyCons!$A$4:$A$10000))*1,[1]OUT_TransportEnergyCons!N$4:N$10000))*1000</f>
        <v>9.4782548201382795E-5</v>
      </c>
      <c r="Q2005" s="1" cm="1">
        <f t="array" ref="Q2005">(SUMPRODUCT(("Var_Cap"=[1]OUT_TransportEnergyCons!$B$4:$B$10000)*1,("-"=[1]OUT_TransportEnergyCons!$C$4:$C$10000)*1,ISNUMBER(SEARCH("tfl*h2o*",[1]OUT_TransportEnergyCons!$A$4:$A$10000))*1,[1]OUT_TransportEnergyCons!O$4:O$10000))*1000</f>
        <v>1.7818281291295099E-4</v>
      </c>
      <c r="S2005" s="3"/>
    </row>
    <row r="2006" spans="2:19" x14ac:dyDescent="0.5">
      <c r="B2006" s="5" t="str">
        <f t="shared" si="2169"/>
        <v>SPS1</v>
      </c>
      <c r="C2006" s="5" t="str">
        <f t="shared" si="2170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39.826492264262548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30.6346666666667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M2006" s="1" cm="1">
        <f t="array" ref="M2006">(SUMPRODUCT(("Var_Cap"=[1]OUT_TransportEnergyCons!$B$4:$B$10000)*1,("-"=[1]OUT_TransportEnergyCons!$C$4:$C$10000)*1,ISNUMBER(SEARCH("TfL*ICE*GSL*ext",[1]OUT_TransportEnergyCons!$A$4:$A$10000))*1,[1]OUT_TransportEnergyCons!K$4:K$10000))*1000</f>
        <v>0</v>
      </c>
      <c r="N2006" s="1" cm="1">
        <f t="array" ref="N2006">(SUMPRODUCT(("Var_Cap"=[1]OUT_TransportEnergyCons!$B$4:$B$10000)*1,("-"=[1]OUT_TransportEnergyCons!$C$4:$C$10000)*1,ISNUMBER(SEARCH("TfL*ICE*GSL*ext",[1]OUT_TransportEnergyCons!$A$4:$A$10000))*1,[1]OUT_TransportEnergyCons!L$4:L$10000))*1000</f>
        <v>0</v>
      </c>
      <c r="O2006" s="1" cm="1">
        <f t="array" ref="O2006">(SUMPRODUCT(("Var_Cap"=[1]OUT_TransportEnergyCons!$B$4:$B$10000)*1,("-"=[1]OUT_TransportEnergyCons!$C$4:$C$10000)*1,ISNUMBER(SEARCH("TfL*ICE*GSL*ext",[1]OUT_TransportEnergyCons!$A$4:$A$10000))*1,[1]OUT_TransportEnergyCons!M$4:M$10000))*1000</f>
        <v>0</v>
      </c>
      <c r="P2006" s="1" cm="1">
        <f t="array" ref="P2006">(SUMPRODUCT(("Var_Cap"=[1]OUT_TransportEnergyCons!$B$4:$B$10000)*1,("-"=[1]OUT_TransportEnergyCons!$C$4:$C$10000)*1,ISNUMBER(SEARCH("TfL*ICE*GSL*ext",[1]OUT_TransportEnergyCons!$A$4:$A$10000))*1,[1]OUT_TransportEnergyCons!N$4:N$10000))*1000</f>
        <v>0</v>
      </c>
      <c r="Q2006" s="1" cm="1">
        <f t="array" ref="Q2006">(SUMPRODUCT(("Var_Cap"=[1]OUT_TransportEnergyCons!$B$4:$B$10000)*1,("-"=[1]OUT_TransportEnergyCons!$C$4:$C$10000)*1,ISNUMBER(SEARCH("TfL*ICE*GSL*ext",[1]OUT_TransportEnergyCons!$A$4:$A$10000))*1,[1]OUT_TransportEnergyCons!O$4:O$10000))*1000</f>
        <v>0</v>
      </c>
      <c r="S2006" s="3"/>
    </row>
    <row r="2007" spans="2:19" x14ac:dyDescent="0.5">
      <c r="B2007" s="5" t="str">
        <f t="shared" si="2169"/>
        <v>SPS1</v>
      </c>
      <c r="C2007" s="5" t="str">
        <f t="shared" si="2170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12.435000000000002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14.143010108387074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26.523122447868818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47.580993545628118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33.825841009096763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3.3627885575497965E-3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0</v>
      </c>
      <c r="M2007" s="1" cm="1">
        <f t="array" ref="M2007">(SUMPRODUCT(("Var_Cap"=[1]OUT_TransportEnergyCons!$B$4:$B$10000)*1,("-"=[1]OUT_TransportEnergyCons!$C$4:$C$10000)*1,ISNUMBER(SEARCH("TfL*ICE*GSL*",[1]OUT_TransportEnergyCons!$A$4:$A$10000))*1,[1]OUT_TransportEnergyCons!K$4:K$10000))*1000-M2006</f>
        <v>0</v>
      </c>
      <c r="N2007" s="1" cm="1">
        <f t="array" ref="N2007">(SUMPRODUCT(("Var_Cap"=[1]OUT_TransportEnergyCons!$B$4:$B$10000)*1,("-"=[1]OUT_TransportEnergyCons!$C$4:$C$10000)*1,ISNUMBER(SEARCH("TfL*ICE*GSL*",[1]OUT_TransportEnergyCons!$A$4:$A$10000))*1,[1]OUT_TransportEnergyCons!L$4:L$10000))*1000-N2006</f>
        <v>0</v>
      </c>
      <c r="O2007" s="1" cm="1">
        <f t="array" ref="O2007">(SUMPRODUCT(("Var_Cap"=[1]OUT_TransportEnergyCons!$B$4:$B$10000)*1,("-"=[1]OUT_TransportEnergyCons!$C$4:$C$10000)*1,ISNUMBER(SEARCH("TfL*ICE*GSL*",[1]OUT_TransportEnergyCons!$A$4:$A$10000))*1,[1]OUT_TransportEnergyCons!M$4:M$10000))*1000-O2006</f>
        <v>0</v>
      </c>
      <c r="P2007" s="1" cm="1">
        <f t="array" ref="P2007">(SUMPRODUCT(("Var_Cap"=[1]OUT_TransportEnergyCons!$B$4:$B$10000)*1,("-"=[1]OUT_TransportEnergyCons!$C$4:$C$10000)*1,ISNUMBER(SEARCH("TfL*ICE*GSL*",[1]OUT_TransportEnergyCons!$A$4:$A$10000))*1,[1]OUT_TransportEnergyCons!N$4:N$10000))*1000-P2006</f>
        <v>0</v>
      </c>
      <c r="Q2007" s="1" cm="1">
        <f t="array" ref="Q2007">(SUMPRODUCT(("Var_Cap"=[1]OUT_TransportEnergyCons!$B$4:$B$10000)*1,("-"=[1]OUT_TransportEnergyCons!$C$4:$C$10000)*1,ISNUMBER(SEARCH("TfL*ICE*GSL*",[1]OUT_TransportEnergyCons!$A$4:$A$10000))*1,[1]OUT_TransportEnergyCons!O$4:O$10000))*1000-Q2006</f>
        <v>0</v>
      </c>
      <c r="S2007" s="3"/>
    </row>
    <row r="2008" spans="2:19" x14ac:dyDescent="0.5">
      <c r="B2008" s="5" t="str">
        <f t="shared" si="2169"/>
        <v>SPS1</v>
      </c>
      <c r="C2008" s="5" t="str">
        <f t="shared" si="2170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228.68976143811454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198.46058667885023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152.66198377816892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M2008" s="1" cm="1">
        <f t="array" ref="M2008">(SUMPRODUCT(("Var_Cap"=[1]OUT_TransportEnergyCons!$B$4:$B$10000)*1,("-"=[1]OUT_TransportEnergyCons!$C$4:$C$10000)*1,ISNUMBER(SEARCH("tfl*ICE*DSL*ext",[1]OUT_TransportEnergyCons!$A$4:$A$10000))*1,[1]OUT_TransportEnergyCons!K$4:K$10000))*1000</f>
        <v>0</v>
      </c>
      <c r="N2008" s="1" cm="1">
        <f t="array" ref="N2008">(SUMPRODUCT(("Var_Cap"=[1]OUT_TransportEnergyCons!$B$4:$B$10000)*1,("-"=[1]OUT_TransportEnergyCons!$C$4:$C$10000)*1,ISNUMBER(SEARCH("tfl*ICE*DSL*ext",[1]OUT_TransportEnergyCons!$A$4:$A$10000))*1,[1]OUT_TransportEnergyCons!L$4:L$10000))*1000</f>
        <v>0</v>
      </c>
      <c r="O2008" s="1" cm="1">
        <f t="array" ref="O2008">(SUMPRODUCT(("Var_Cap"=[1]OUT_TransportEnergyCons!$B$4:$B$10000)*1,("-"=[1]OUT_TransportEnergyCons!$C$4:$C$10000)*1,ISNUMBER(SEARCH("tfl*ICE*DSL*ext",[1]OUT_TransportEnergyCons!$A$4:$A$10000))*1,[1]OUT_TransportEnergyCons!M$4:M$10000))*1000</f>
        <v>0</v>
      </c>
      <c r="P2008" s="1" cm="1">
        <f t="array" ref="P2008">(SUMPRODUCT(("Var_Cap"=[1]OUT_TransportEnergyCons!$B$4:$B$10000)*1,("-"=[1]OUT_TransportEnergyCons!$C$4:$C$10000)*1,ISNUMBER(SEARCH("tfl*ICE*DSL*ext",[1]OUT_TransportEnergyCons!$A$4:$A$10000))*1,[1]OUT_TransportEnergyCons!N$4:N$10000))*1000</f>
        <v>0</v>
      </c>
      <c r="Q2008" s="1" cm="1">
        <f t="array" ref="Q2008">(SUMPRODUCT(("Var_Cap"=[1]OUT_TransportEnergyCons!$B$4:$B$10000)*1,("-"=[1]OUT_TransportEnergyCons!$C$4:$C$10000)*1,ISNUMBER(SEARCH("tfl*ICE*DSL*ext",[1]OUT_TransportEnergyCons!$A$4:$A$10000))*1,[1]OUT_TransportEnergyCons!O$4:O$10000))*1000</f>
        <v>0</v>
      </c>
      <c r="S2008" s="3"/>
    </row>
    <row r="2009" spans="2:19" x14ac:dyDescent="0.5">
      <c r="B2009" s="5" t="str">
        <f t="shared" si="2169"/>
        <v>SPS1</v>
      </c>
      <c r="C2009" s="5" t="str">
        <f t="shared" si="2170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106.16897729358658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125.16810292832628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125.24958245932299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70.971463689453103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7.8313236034349254E-2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3.3683471975464703E-3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0</v>
      </c>
      <c r="M2009" s="1" cm="1">
        <f t="array" ref="M2009">(SUMPRODUCT(("Var_Cap"=[1]OUT_TransportEnergyCons!$B$4:$B$10000)*1,("-"=[1]OUT_TransportEnergyCons!$C$4:$C$10000)*1,ISNUMBER(SEARCH("tfl*ICE*DSL*",[1]OUT_TransportEnergyCons!$A$4:$A$10000))*1,[1]OUT_TransportEnergyCons!K$4:K$10000))*1000-M2008</f>
        <v>0</v>
      </c>
      <c r="N2009" s="1" cm="1">
        <f t="array" ref="N2009">(SUMPRODUCT(("Var_Cap"=[1]OUT_TransportEnergyCons!$B$4:$B$10000)*1,("-"=[1]OUT_TransportEnergyCons!$C$4:$C$10000)*1,ISNUMBER(SEARCH("tfl*ICE*DSL*",[1]OUT_TransportEnergyCons!$A$4:$A$10000))*1,[1]OUT_TransportEnergyCons!L$4:L$10000))*1000-N2008</f>
        <v>0</v>
      </c>
      <c r="O2009" s="1" cm="1">
        <f t="array" ref="O2009">(SUMPRODUCT(("Var_Cap"=[1]OUT_TransportEnergyCons!$B$4:$B$10000)*1,("-"=[1]OUT_TransportEnergyCons!$C$4:$C$10000)*1,ISNUMBER(SEARCH("tfl*ICE*DSL*",[1]OUT_TransportEnergyCons!$A$4:$A$10000))*1,[1]OUT_TransportEnergyCons!M$4:M$10000))*1000-O2008</f>
        <v>0</v>
      </c>
      <c r="P2009" s="1" cm="1">
        <f t="array" ref="P2009">(SUMPRODUCT(("Var_Cap"=[1]OUT_TransportEnergyCons!$B$4:$B$10000)*1,("-"=[1]OUT_TransportEnergyCons!$C$4:$C$10000)*1,ISNUMBER(SEARCH("tfl*ICE*DSL*",[1]OUT_TransportEnergyCons!$A$4:$A$10000))*1,[1]OUT_TransportEnergyCons!N$4:N$10000))*1000-P2008</f>
        <v>0</v>
      </c>
      <c r="Q2009" s="1" cm="1">
        <f t="array" ref="Q2009">(SUMPRODUCT(("Var_Cap"=[1]OUT_TransportEnergyCons!$B$4:$B$10000)*1,("-"=[1]OUT_TransportEnergyCons!$C$4:$C$10000)*1,ISNUMBER(SEARCH("tfl*ICE*DSL*",[1]OUT_TransportEnergyCons!$A$4:$A$10000))*1,[1]OUT_TransportEnergyCons!O$4:O$10000))*1000-Q2008</f>
        <v>0</v>
      </c>
      <c r="S2009" s="3"/>
    </row>
    <row r="2010" spans="2:19" x14ac:dyDescent="0.5">
      <c r="B2010" s="5" t="str">
        <f t="shared" si="2169"/>
        <v>SPS1</v>
      </c>
      <c r="C2010" s="5" t="str">
        <f t="shared" si="2170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13.854514109351399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63.045568189905296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128.225646720258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92.218463188876271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3.7316113384987942E-3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0</v>
      </c>
      <c r="M2010" s="1" cm="1">
        <f t="array" ref="M2010">(SUMPRODUCT(("Var_Cap"=[1]OUT_TransportEnergyCons!$B$4:$B$10000)*1,("-"=[1]OUT_TransportEnergyCons!$C$4:$C$10000)*1,ISNUMBER(SEARCH("tfl*hyb*DSL*",[1]OUT_TransportEnergyCons!$A$4:$A$10000))*1,[1]OUT_TransportEnergyCons!K$4:K$10000))*1000</f>
        <v>0</v>
      </c>
      <c r="N2010" s="1" cm="1">
        <f t="array" ref="N2010">(SUMPRODUCT(("Var_Cap"=[1]OUT_TransportEnergyCons!$B$4:$B$10000)*1,("-"=[1]OUT_TransportEnergyCons!$C$4:$C$10000)*1,ISNUMBER(SEARCH("tfl*hyb*DSL*",[1]OUT_TransportEnergyCons!$A$4:$A$10000))*1,[1]OUT_TransportEnergyCons!L$4:L$10000))*1000</f>
        <v>0</v>
      </c>
      <c r="O2010" s="1" cm="1">
        <f t="array" ref="O2010">(SUMPRODUCT(("Var_Cap"=[1]OUT_TransportEnergyCons!$B$4:$B$10000)*1,("-"=[1]OUT_TransportEnergyCons!$C$4:$C$10000)*1,ISNUMBER(SEARCH("tfl*hyb*DSL*",[1]OUT_TransportEnergyCons!$A$4:$A$10000))*1,[1]OUT_TransportEnergyCons!M$4:M$10000))*1000</f>
        <v>0</v>
      </c>
      <c r="P2010" s="1" cm="1">
        <f t="array" ref="P2010">(SUMPRODUCT(("Var_Cap"=[1]OUT_TransportEnergyCons!$B$4:$B$10000)*1,("-"=[1]OUT_TransportEnergyCons!$C$4:$C$10000)*1,ISNUMBER(SEARCH("tfl*hyb*DSL*",[1]OUT_TransportEnergyCons!$A$4:$A$10000))*1,[1]OUT_TransportEnergyCons!N$4:N$10000))*1000</f>
        <v>0</v>
      </c>
      <c r="Q2010" s="1" cm="1">
        <f t="array" ref="Q2010">(SUMPRODUCT(("Var_Cap"=[1]OUT_TransportEnergyCons!$B$4:$B$10000)*1,("-"=[1]OUT_TransportEnergyCons!$C$4:$C$10000)*1,ISNUMBER(SEARCH("tfl*hyb*DSL*",[1]OUT_TransportEnergyCons!$A$4:$A$10000))*1,[1]OUT_TransportEnergyCons!O$4:O$10000))*1000</f>
        <v>0</v>
      </c>
      <c r="S2010" s="3"/>
    </row>
    <row r="2011" spans="2:19" x14ac:dyDescent="0.5">
      <c r="B2011" s="5" t="str">
        <f t="shared" si="2169"/>
        <v>SPS1</v>
      </c>
      <c r="C2011" s="5" t="str">
        <f t="shared" si="2170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2.6678577983782561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2.5174743278624545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2.101581266165137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1.9771435798786839E-6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1.4554942064570025E-6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0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0</v>
      </c>
      <c r="M2011" s="1" cm="1">
        <f t="array" ref="M2011">(SUMPRODUCT(("Var_Cap"=[1]OUT_TransportEnergyCons!$B$4:$B$10000)*1,("-"=[1]OUT_TransportEnergyCons!$C$4:$C$10000)*1,ISNUMBER(SEARCH("tfl*ice*nga*",[1]OUT_TransportEnergyCons!$A$4:$A$10000))*1,[1]OUT_TransportEnergyCons!K$4:K$10000))*1000</f>
        <v>0</v>
      </c>
      <c r="N2011" s="1" cm="1">
        <f t="array" ref="N2011">(SUMPRODUCT(("Var_Cap"=[1]OUT_TransportEnergyCons!$B$4:$B$10000)*1,("-"=[1]OUT_TransportEnergyCons!$C$4:$C$10000)*1,ISNUMBER(SEARCH("tfl*ice*nga*",[1]OUT_TransportEnergyCons!$A$4:$A$10000))*1,[1]OUT_TransportEnergyCons!L$4:L$10000))*1000</f>
        <v>0</v>
      </c>
      <c r="O2011" s="1" cm="1">
        <f t="array" ref="O2011">(SUMPRODUCT(("Var_Cap"=[1]OUT_TransportEnergyCons!$B$4:$B$10000)*1,("-"=[1]OUT_TransportEnergyCons!$C$4:$C$10000)*1,ISNUMBER(SEARCH("tfl*ice*nga*",[1]OUT_TransportEnergyCons!$A$4:$A$10000))*1,[1]OUT_TransportEnergyCons!M$4:M$10000))*1000</f>
        <v>0</v>
      </c>
      <c r="P2011" s="1" cm="1">
        <f t="array" ref="P2011">(SUMPRODUCT(("Var_Cap"=[1]OUT_TransportEnergyCons!$B$4:$B$10000)*1,("-"=[1]OUT_TransportEnergyCons!$C$4:$C$10000)*1,ISNUMBER(SEARCH("tfl*ice*nga*",[1]OUT_TransportEnergyCons!$A$4:$A$10000))*1,[1]OUT_TransportEnergyCons!N$4:N$10000))*1000</f>
        <v>0</v>
      </c>
      <c r="Q2011" s="1" cm="1">
        <f t="array" ref="Q2011">(SUMPRODUCT(("Var_Cap"=[1]OUT_TransportEnergyCons!$B$4:$B$10000)*1,("-"=[1]OUT_TransportEnergyCons!$C$4:$C$10000)*1,ISNUMBER(SEARCH("tfl*ice*nga*",[1]OUT_TransportEnergyCons!$A$4:$A$10000))*1,[1]OUT_TransportEnergyCons!O$4:O$10000))*1000</f>
        <v>0</v>
      </c>
      <c r="S2011" s="3"/>
    </row>
    <row r="2012" spans="2:19" x14ac:dyDescent="0.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41.462406122764754</v>
      </c>
      <c r="G2012" s="3">
        <f t="shared" ref="G2012" si="2171">SUM(G2013:G2021)</f>
        <v>43.007439170247473</v>
      </c>
      <c r="H2012" s="3">
        <f t="shared" ref="H2012" si="2172">SUM(H2013:H2021)</f>
        <v>43.497591802155938</v>
      </c>
      <c r="I2012" s="3">
        <f t="shared" ref="I2012" si="2173">SUM(I2013:I2021)</f>
        <v>45.397779197484248</v>
      </c>
      <c r="J2012" s="3">
        <f t="shared" ref="J2012" si="2174">SUM(J2013:J2021)</f>
        <v>47.377777049911288</v>
      </c>
      <c r="K2012" s="3">
        <f t="shared" ref="K2012" si="2175">SUM(K2013:K2021)</f>
        <v>49.35782479186004</v>
      </c>
      <c r="L2012" s="3">
        <f t="shared" ref="L2012:O2012" si="2176">SUM(L2013:L2021)</f>
        <v>51.363203939856966</v>
      </c>
      <c r="M2012" s="3">
        <f t="shared" si="2176"/>
        <v>53.368437595782133</v>
      </c>
      <c r="N2012" s="3">
        <f t="shared" si="2176"/>
        <v>55.268695121702656</v>
      </c>
      <c r="O2012" s="3">
        <f t="shared" si="2176"/>
        <v>57.194219521676644</v>
      </c>
      <c r="P2012" s="3">
        <f>SUM(P2013:P2021)</f>
        <v>59.231139648906939</v>
      </c>
      <c r="Q2012" s="3">
        <f>SUM(Q2013:Q2021)</f>
        <v>61.549868215694154</v>
      </c>
      <c r="S2012" s="3"/>
    </row>
    <row r="2013" spans="2:19" x14ac:dyDescent="0.5">
      <c r="B2013" s="5" t="str">
        <f t="shared" ref="B2013:B2021" si="2177">B2012</f>
        <v>SPS1</v>
      </c>
      <c r="C2013" s="5" t="str">
        <f t="shared" ref="C2013:C2021" si="217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M2013" s="1" cm="1">
        <f t="array" ref="M2013">(SUMPRODUCT(("Var_Cap"=[1]OUT_TransportEnergyCons!$B$4:$B$10000)*1,("-"=[1]OUT_TransportEnergyCons!$C$4:$C$10000)*1,ISNUMBER(SEARCH("tfh*bev*ext",[1]OUT_TransportEnergyCons!$A$4:$A$10000))*1,[1]OUT_TransportEnergyCons!K$4:K$10000))*1000</f>
        <v>0</v>
      </c>
      <c r="N2013" s="1" cm="1">
        <f t="array" ref="N2013">(SUMPRODUCT(("Var_Cap"=[1]OUT_TransportEnergyCons!$B$4:$B$10000)*1,("-"=[1]OUT_TransportEnergyCons!$C$4:$C$10000)*1,ISNUMBER(SEARCH("tfh*bev*ext",[1]OUT_TransportEnergyCons!$A$4:$A$10000))*1,[1]OUT_TransportEnergyCons!L$4:L$10000))*1000</f>
        <v>0</v>
      </c>
      <c r="O2013" s="1" cm="1">
        <f t="array" ref="O2013">(SUMPRODUCT(("Var_Cap"=[1]OUT_TransportEnergyCons!$B$4:$B$10000)*1,("-"=[1]OUT_TransportEnergyCons!$C$4:$C$10000)*1,ISNUMBER(SEARCH("tfh*bev*ext",[1]OUT_TransportEnergyCons!$A$4:$A$10000))*1,[1]OUT_TransportEnergyCons!M$4:M$10000))*1000</f>
        <v>0</v>
      </c>
      <c r="P2013" s="1" cm="1">
        <f t="array" ref="P2013">(SUMPRODUCT(("Var_Cap"=[1]OUT_TransportEnergyCons!$B$4:$B$10000)*1,("-"=[1]OUT_TransportEnergyCons!$C$4:$C$10000)*1,ISNUMBER(SEARCH("tfh*bev*ext",[1]OUT_TransportEnergyCons!$A$4:$A$10000))*1,[1]OUT_TransportEnergyCons!N$4:N$10000))*1000</f>
        <v>0</v>
      </c>
      <c r="Q2013" s="1" cm="1">
        <f t="array" ref="Q2013">(SUMPRODUCT(("Var_Cap"=[1]OUT_TransportEnergyCons!$B$4:$B$10000)*1,("-"=[1]OUT_TransportEnergyCons!$C$4:$C$10000)*1,ISNUMBER(SEARCH("tfh*bev*ext",[1]OUT_TransportEnergyCons!$A$4:$A$10000))*1,[1]OUT_TransportEnergyCons!O$4:O$10000))*1000</f>
        <v>0</v>
      </c>
      <c r="S2013" s="3"/>
    </row>
    <row r="2014" spans="2:19" x14ac:dyDescent="0.5">
      <c r="B2014" s="5" t="str">
        <f t="shared" si="2177"/>
        <v>SPS1</v>
      </c>
      <c r="C2014" s="5" t="str">
        <f t="shared" si="217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3.2028538732697599E-2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7.011819885062362E-2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7.3837685297963362E-2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2.5586347185287957E-2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8.2339620704795689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14.189297646247399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34.187042531679403</v>
      </c>
      <c r="M2014" s="1" cm="1">
        <f t="array" ref="M2014">(SUMPRODUCT(("Var_Cap"=[1]OUT_TransportEnergyCons!$B$4:$B$10000)*1,("-"=[1]OUT_TransportEnergyCons!$C$4:$C$10000)*1,ISNUMBER(SEARCH("tfh*bev*",[1]OUT_TransportEnergyCons!$A$4:$A$10000))*1,[1]OUT_TransportEnergyCons!K$4:K$10000))*1000-M2013</f>
        <v>45.129050267949403</v>
      </c>
      <c r="N2014" s="1" cm="1">
        <f t="array" ref="N2014">(SUMPRODUCT(("Var_Cap"=[1]OUT_TransportEnergyCons!$B$4:$B$10000)*1,("-"=[1]OUT_TransportEnergyCons!$C$4:$C$10000)*1,ISNUMBER(SEARCH("tfh*bev*",[1]OUT_TransportEnergyCons!$A$4:$A$10000))*1,[1]OUT_TransportEnergyCons!L$4:L$10000))*1000-N2013</f>
        <v>55.268564651278801</v>
      </c>
      <c r="O2014" s="1" cm="1">
        <f t="array" ref="O2014">(SUMPRODUCT(("Var_Cap"=[1]OUT_TransportEnergyCons!$B$4:$B$10000)*1,("-"=[1]OUT_TransportEnergyCons!$C$4:$C$10000)*1,ISNUMBER(SEARCH("tfh*bev*",[1]OUT_TransportEnergyCons!$A$4:$A$10000))*1,[1]OUT_TransportEnergyCons!M$4:M$10000))*1000-O2013</f>
        <v>57.194095955242801</v>
      </c>
      <c r="P2014" s="1" cm="1">
        <f t="array" ref="P2014">(SUMPRODUCT(("Var_Cap"=[1]OUT_TransportEnergyCons!$B$4:$B$10000)*1,("-"=[1]OUT_TransportEnergyCons!$C$4:$C$10000)*1,ISNUMBER(SEARCH("tfh*bev*",[1]OUT_TransportEnergyCons!$A$4:$A$10000))*1,[1]OUT_TransportEnergyCons!N$4:N$10000))*1000-P2013</f>
        <v>59.231015555762902</v>
      </c>
      <c r="Q2014" s="1" cm="1">
        <f t="array" ref="Q2014">(SUMPRODUCT(("Var_Cap"=[1]OUT_TransportEnergyCons!$B$4:$B$10000)*1,("-"=[1]OUT_TransportEnergyCons!$C$4:$C$10000)*1,ISNUMBER(SEARCH("tfh*bev*",[1]OUT_TransportEnergyCons!$A$4:$A$10000))*1,[1]OUT_TransportEnergyCons!O$4:O$10000))*1000-Q2013</f>
        <v>61.5497000674223</v>
      </c>
      <c r="S2014" s="3"/>
    </row>
    <row r="2015" spans="2:19" x14ac:dyDescent="0.5">
      <c r="B2015" s="5" t="str">
        <f t="shared" si="2177"/>
        <v>SPS1</v>
      </c>
      <c r="C2015" s="5" t="str">
        <f t="shared" si="217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1.052328222321141E-2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3.5069382686708237E-3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3.5791659083446062E-3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1.5582819463362709E-4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1.5336409801846597E-4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1.467753844034275E-4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1.4371753620831499E-4</v>
      </c>
      <c r="M2015" s="1" cm="1">
        <f t="array" ref="M2015">IF((SUMPRODUCT(("Var_Cap"=[1]OUT_TransportEnergyCons!$B$4:$B$10000)*1,("-"=[1]OUT_TransportEnergyCons!$C$4:$C$10000)*1,ISNUMBER(SEARCH("tfh*h2o*",[1]OUT_TransportEnergyCons!$A$4:$A$10000))*1,[1]OUT_TransportEnergyCons!K$4:K$10000))*1000&lt;0,0,(SUMPRODUCT(("Var_Cap"=[1]OUT_TransportEnergyCons!$B$4:$B$10000)*1,("-"=[1]OUT_TransportEnergyCons!$C$4:$C$10000)*1,ISNUMBER(SEARCH("tfh*h2o*",[1]OUT_TransportEnergyCons!$A$4:$A$10000))*1,[1]OUT_TransportEnergyCons!K$4:K$10000))*1000)</f>
        <v>1.3638100340956799E-4</v>
      </c>
      <c r="N2015" s="1" cm="1">
        <f t="array" ref="N2015">IF((SUMPRODUCT(("Var_Cap"=[1]OUT_TransportEnergyCons!$B$4:$B$10000)*1,("-"=[1]OUT_TransportEnergyCons!$C$4:$C$10000)*1,ISNUMBER(SEARCH("tfh*h2o*",[1]OUT_TransportEnergyCons!$A$4:$A$10000))*1,[1]OUT_TransportEnergyCons!L$4:L$10000))*1000&lt;0,0,(SUMPRODUCT(("Var_Cap"=[1]OUT_TransportEnergyCons!$B$4:$B$10000)*1,("-"=[1]OUT_TransportEnergyCons!$C$4:$C$10000)*1,ISNUMBER(SEARCH("tfh*h2o*",[1]OUT_TransportEnergyCons!$A$4:$A$10000))*1,[1]OUT_TransportEnergyCons!L$4:L$10000))*1000)</f>
        <v>1.3047042385464701E-4</v>
      </c>
      <c r="O2015" s="1" cm="1">
        <f t="array" ref="O2015">IF((SUMPRODUCT(("Var_Cap"=[1]OUT_TransportEnergyCons!$B$4:$B$10000)*1,("-"=[1]OUT_TransportEnergyCons!$C$4:$C$10000)*1,ISNUMBER(SEARCH("tfh*h2o*",[1]OUT_TransportEnergyCons!$A$4:$A$10000))*1,[1]OUT_TransportEnergyCons!M$4:M$10000))*1000&lt;0,0,(SUMPRODUCT(("Var_Cap"=[1]OUT_TransportEnergyCons!$B$4:$B$10000)*1,("-"=[1]OUT_TransportEnergyCons!$C$4:$C$10000)*1,ISNUMBER(SEARCH("tfh*h2o*",[1]OUT_TransportEnergyCons!$A$4:$A$10000))*1,[1]OUT_TransportEnergyCons!M$4:M$10000))*1000)</f>
        <v>1.23566433842168E-4</v>
      </c>
      <c r="P2015" s="1" cm="1">
        <f t="array" ref="P2015">IF((SUMPRODUCT(("Var_Cap"=[1]OUT_TransportEnergyCons!$B$4:$B$10000)*1,("-"=[1]OUT_TransportEnergyCons!$C$4:$C$10000)*1,ISNUMBER(SEARCH("tfh*h2o*",[1]OUT_TransportEnergyCons!$A$4:$A$10000))*1,[1]OUT_TransportEnergyCons!N$4:N$10000))*1000&lt;0,0,(SUMPRODUCT(("Var_Cap"=[1]OUT_TransportEnergyCons!$B$4:$B$10000)*1,("-"=[1]OUT_TransportEnergyCons!$C$4:$C$10000)*1,ISNUMBER(SEARCH("tfh*h2o*",[1]OUT_TransportEnergyCons!$A$4:$A$10000))*1,[1]OUT_TransportEnergyCons!N$4:N$10000))*1000)</f>
        <v>1.2409314403843681E-4</v>
      </c>
      <c r="Q2015" s="1" cm="1">
        <f t="array" ref="Q2015">IF((SUMPRODUCT(("Var_Cap"=[1]OUT_TransportEnergyCons!$B$4:$B$10000)*1,("-"=[1]OUT_TransportEnergyCons!$C$4:$C$10000)*1,ISNUMBER(SEARCH("tfh*h2o*",[1]OUT_TransportEnergyCons!$A$4:$A$10000))*1,[1]OUT_TransportEnergyCons!O$4:O$10000))*1000&lt;0,0,(SUMPRODUCT(("Var_Cap"=[1]OUT_TransportEnergyCons!$B$4:$B$10000)*1,("-"=[1]OUT_TransportEnergyCons!$C$4:$C$10000)*1,ISNUMBER(SEARCH("tfh*h2o*",[1]OUT_TransportEnergyCons!$A$4:$A$10000))*1,[1]OUT_TransportEnergyCons!O$4:O$10000))*1000)</f>
        <v>1.68148271853109E-4</v>
      </c>
      <c r="S2015" s="3"/>
    </row>
    <row r="2016" spans="2:19" x14ac:dyDescent="0.5">
      <c r="B2016" s="5" t="str">
        <f t="shared" si="2177"/>
        <v>SPS1</v>
      </c>
      <c r="C2016" s="5" t="str">
        <f t="shared" si="217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M2016" s="1" cm="1">
        <f t="array" ref="M2016">(SUMPRODUCT(("Var_Cap"=[1]OUT_TransportEnergyCons!$B$4:$B$10000)*1,("-"=[1]OUT_TransportEnergyCons!$C$4:$C$10000)*1,ISNUMBER(SEARCH("tfh*ICE*GSL*ext",[1]OUT_TransportEnergyCons!$A$4:$A$10000))*1,[1]OUT_TransportEnergyCons!K$4:K$10000))*1000</f>
        <v>0</v>
      </c>
      <c r="N2016" s="1" cm="1">
        <f t="array" ref="N2016">(SUMPRODUCT(("Var_Cap"=[1]OUT_TransportEnergyCons!$B$4:$B$10000)*1,("-"=[1]OUT_TransportEnergyCons!$C$4:$C$10000)*1,ISNUMBER(SEARCH("tfh*ICE*GSL*ext",[1]OUT_TransportEnergyCons!$A$4:$A$10000))*1,[1]OUT_TransportEnergyCons!L$4:L$10000))*1000</f>
        <v>0</v>
      </c>
      <c r="O2016" s="1" cm="1">
        <f t="array" ref="O2016">(SUMPRODUCT(("Var_Cap"=[1]OUT_TransportEnergyCons!$B$4:$B$10000)*1,("-"=[1]OUT_TransportEnergyCons!$C$4:$C$10000)*1,ISNUMBER(SEARCH("tfh*ICE*GSL*ext",[1]OUT_TransportEnergyCons!$A$4:$A$10000))*1,[1]OUT_TransportEnergyCons!M$4:M$10000))*1000</f>
        <v>0</v>
      </c>
      <c r="P2016" s="1" cm="1">
        <f t="array" ref="P2016">(SUMPRODUCT(("Var_Cap"=[1]OUT_TransportEnergyCons!$B$4:$B$10000)*1,("-"=[1]OUT_TransportEnergyCons!$C$4:$C$10000)*1,ISNUMBER(SEARCH("tfh*ICE*GSL*ext",[1]OUT_TransportEnergyCons!$A$4:$A$10000))*1,[1]OUT_TransportEnergyCons!N$4:N$10000))*1000</f>
        <v>0</v>
      </c>
      <c r="Q2016" s="1" cm="1">
        <f t="array" ref="Q2016">(SUMPRODUCT(("Var_Cap"=[1]OUT_TransportEnergyCons!$B$4:$B$10000)*1,("-"=[1]OUT_TransportEnergyCons!$C$4:$C$10000)*1,ISNUMBER(SEARCH("tfh*ICE*GSL*ext",[1]OUT_TransportEnergyCons!$A$4:$A$10000))*1,[1]OUT_TransportEnergyCons!O$4:O$10000))*1000</f>
        <v>0</v>
      </c>
      <c r="S2016" s="3"/>
    </row>
    <row r="2017" spans="2:19" x14ac:dyDescent="0.5">
      <c r="B2017" s="5" t="str">
        <f t="shared" si="2177"/>
        <v>SPS1</v>
      </c>
      <c r="C2017" s="5" t="str">
        <f t="shared" si="217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M2017" s="1" cm="1">
        <f t="array" ref="M2017">(SUMPRODUCT(("Var_Cap"=[1]OUT_TransportEnergyCons!$B$4:$B$10000)*1,("-"=[1]OUT_TransportEnergyCons!$C$4:$C$10000)*1,ISNUMBER(SEARCH("tfh*ICE*GSL*",[1]OUT_TransportEnergyCons!$A$4:$A$10000))*1,[1]OUT_TransportEnergyCons!K$4:K$10000))*1000-M2016</f>
        <v>0</v>
      </c>
      <c r="N2017" s="1" cm="1">
        <f t="array" ref="N2017">(SUMPRODUCT(("Var_Cap"=[1]OUT_TransportEnergyCons!$B$4:$B$10000)*1,("-"=[1]OUT_TransportEnergyCons!$C$4:$C$10000)*1,ISNUMBER(SEARCH("tfh*ICE*GSL*",[1]OUT_TransportEnergyCons!$A$4:$A$10000))*1,[1]OUT_TransportEnergyCons!L$4:L$10000))*1000-N2016</f>
        <v>0</v>
      </c>
      <c r="O2017" s="1" cm="1">
        <f t="array" ref="O2017">(SUMPRODUCT(("Var_Cap"=[1]OUT_TransportEnergyCons!$B$4:$B$10000)*1,("-"=[1]OUT_TransportEnergyCons!$C$4:$C$10000)*1,ISNUMBER(SEARCH("tfh*ICE*GSL*",[1]OUT_TransportEnergyCons!$A$4:$A$10000))*1,[1]OUT_TransportEnergyCons!M$4:M$10000))*1000-O2016</f>
        <v>0</v>
      </c>
      <c r="P2017" s="1" cm="1">
        <f t="array" ref="P2017">(SUMPRODUCT(("Var_Cap"=[1]OUT_TransportEnergyCons!$B$4:$B$10000)*1,("-"=[1]OUT_TransportEnergyCons!$C$4:$C$10000)*1,ISNUMBER(SEARCH("tfh*ICE*GSL*",[1]OUT_TransportEnergyCons!$A$4:$A$10000))*1,[1]OUT_TransportEnergyCons!N$4:N$10000))*1000-P2016</f>
        <v>0</v>
      </c>
      <c r="Q2017" s="1" cm="1">
        <f t="array" ref="Q2017">(SUMPRODUCT(("Var_Cap"=[1]OUT_TransportEnergyCons!$B$4:$B$10000)*1,("-"=[1]OUT_TransportEnergyCons!$C$4:$C$10000)*1,ISNUMBER(SEARCH("tfh*ICE*GSL*",[1]OUT_TransportEnergyCons!$A$4:$A$10000))*1,[1]OUT_TransportEnergyCons!O$4:O$10000))*1000-Q2016</f>
        <v>0</v>
      </c>
      <c r="S2017" s="3"/>
    </row>
    <row r="2018" spans="2:19" x14ac:dyDescent="0.5">
      <c r="B2018" s="5" t="str">
        <f t="shared" si="2177"/>
        <v>SPS1</v>
      </c>
      <c r="C2018" s="5" t="str">
        <f t="shared" si="217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29.661983219314397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19.774657415899974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M2018" s="1" cm="1">
        <f t="array" ref="M2018">(SUMPRODUCT(("Var_Cap"=[1]OUT_TransportEnergyCons!$B$4:$B$10000)*1,("-"=[1]OUT_TransportEnergyCons!$C$4:$C$10000)*1,ISNUMBER(SEARCH("tfh*ICE*DSL*ext",[1]OUT_TransportEnergyCons!$A$4:$A$10000))*1,[1]OUT_TransportEnergyCons!K$4:K$10000))*1000</f>
        <v>0</v>
      </c>
      <c r="N2018" s="1" cm="1">
        <f t="array" ref="N2018">(SUMPRODUCT(("Var_Cap"=[1]OUT_TransportEnergyCons!$B$4:$B$10000)*1,("-"=[1]OUT_TransportEnergyCons!$C$4:$C$10000)*1,ISNUMBER(SEARCH("tfh*ICE*DSL*ext",[1]OUT_TransportEnergyCons!$A$4:$A$10000))*1,[1]OUT_TransportEnergyCons!L$4:L$10000))*1000</f>
        <v>0</v>
      </c>
      <c r="O2018" s="1" cm="1">
        <f t="array" ref="O2018">(SUMPRODUCT(("Var_Cap"=[1]OUT_TransportEnergyCons!$B$4:$B$10000)*1,("-"=[1]OUT_TransportEnergyCons!$C$4:$C$10000)*1,ISNUMBER(SEARCH("tfh*ICE*DSL*ext",[1]OUT_TransportEnergyCons!$A$4:$A$10000))*1,[1]OUT_TransportEnergyCons!M$4:M$10000))*1000</f>
        <v>0</v>
      </c>
      <c r="P2018" s="1" cm="1">
        <f t="array" ref="P2018">(SUMPRODUCT(("Var_Cap"=[1]OUT_TransportEnergyCons!$B$4:$B$10000)*1,("-"=[1]OUT_TransportEnergyCons!$C$4:$C$10000)*1,ISNUMBER(SEARCH("tfh*ICE*DSL*ext",[1]OUT_TransportEnergyCons!$A$4:$A$10000))*1,[1]OUT_TransportEnergyCons!N$4:N$10000))*1000</f>
        <v>0</v>
      </c>
      <c r="Q2018" s="1" cm="1">
        <f t="array" ref="Q2018">(SUMPRODUCT(("Var_Cap"=[1]OUT_TransportEnergyCons!$B$4:$B$10000)*1,("-"=[1]OUT_TransportEnergyCons!$C$4:$C$10000)*1,ISNUMBER(SEARCH("tfh*ICE*DSL*ext",[1]OUT_TransportEnergyCons!$A$4:$A$10000))*1,[1]OUT_TransportEnergyCons!O$4:O$10000))*1000</f>
        <v>0</v>
      </c>
      <c r="S2018" s="3"/>
    </row>
    <row r="2019" spans="2:19" x14ac:dyDescent="0.5">
      <c r="B2019" s="5" t="str">
        <f t="shared" si="2177"/>
        <v>SPS1</v>
      </c>
      <c r="C2019" s="5" t="str">
        <f t="shared" si="217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11.721801723735826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13.721848146965996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10.722376509480238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0.9864115364249173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1.9514578240376903E-3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1.9449879422916599E-3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1.82701694943982E-3</v>
      </c>
      <c r="M2019" s="1" cm="1">
        <f t="array" ref="M2019">(SUMPRODUCT(("Var_Cap"=[1]OUT_TransportEnergyCons!$B$4:$B$10000)*1,("-"=[1]OUT_TransportEnergyCons!$C$4:$C$10000)*1,ISNUMBER(SEARCH("tfh*ICE*DSL*",[1]OUT_TransportEnergyCons!$A$4:$A$10000))*1,[1]OUT_TransportEnergyCons!K$4:K$10000))*1000-M2018</f>
        <v>8.4542787624960103E-4</v>
      </c>
      <c r="N2019" s="1" cm="1">
        <f t="array" ref="N2019">(SUMPRODUCT(("Var_Cap"=[1]OUT_TransportEnergyCons!$B$4:$B$10000)*1,("-"=[1]OUT_TransportEnergyCons!$C$4:$C$10000)*1,ISNUMBER(SEARCH("tfh*ICE*DSL*",[1]OUT_TransportEnergyCons!$A$4:$A$10000))*1,[1]OUT_TransportEnergyCons!L$4:L$10000))*1000-N2018</f>
        <v>0</v>
      </c>
      <c r="O2019" s="1" cm="1">
        <f t="array" ref="O2019">(SUMPRODUCT(("Var_Cap"=[1]OUT_TransportEnergyCons!$B$4:$B$10000)*1,("-"=[1]OUT_TransportEnergyCons!$C$4:$C$10000)*1,ISNUMBER(SEARCH("tfh*ICE*DSL*",[1]OUT_TransportEnergyCons!$A$4:$A$10000))*1,[1]OUT_TransportEnergyCons!M$4:M$10000))*1000-O2018</f>
        <v>0</v>
      </c>
      <c r="P2019" s="1" cm="1">
        <f t="array" ref="P2019">(SUMPRODUCT(("Var_Cap"=[1]OUT_TransportEnergyCons!$B$4:$B$10000)*1,("-"=[1]OUT_TransportEnergyCons!$C$4:$C$10000)*1,ISNUMBER(SEARCH("tfh*ICE*DSL*",[1]OUT_TransportEnergyCons!$A$4:$A$10000))*1,[1]OUT_TransportEnergyCons!N$4:N$10000))*1000-P2018</f>
        <v>0</v>
      </c>
      <c r="Q2019" s="1" cm="1">
        <f t="array" ref="Q2019">(SUMPRODUCT(("Var_Cap"=[1]OUT_TransportEnergyCons!$B$4:$B$10000)*1,("-"=[1]OUT_TransportEnergyCons!$C$4:$C$10000)*1,ISNUMBER(SEARCH("tfh*ICE*DSL*",[1]OUT_TransportEnergyCons!$A$4:$A$10000))*1,[1]OUT_TransportEnergyCons!O$4:O$10000))*1000-Q2018</f>
        <v>0</v>
      </c>
      <c r="S2019" s="3"/>
    </row>
    <row r="2020" spans="2:19" x14ac:dyDescent="0.5">
      <c r="B2020" s="5" t="str">
        <f t="shared" si="2177"/>
        <v>SPS1</v>
      </c>
      <c r="C2020" s="5" t="str">
        <f t="shared" si="217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9.4311277480389499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12.9169498139031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34.492108945656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39.135524608041997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35.160243376277201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17.168001216206498</v>
      </c>
      <c r="M2020" s="1" cm="1">
        <f t="array" ref="M2020">(SUMPRODUCT(("Var_Cap"=[1]OUT_TransportEnergyCons!$B$4:$B$10000)*1,("-"=[1]OUT_TransportEnergyCons!$C$4:$C$10000)*1,ISNUMBER(SEARCH("tfh*hyb*DSL*",[1]OUT_TransportEnergyCons!$A$4:$A$10000))*1,[1]OUT_TransportEnergyCons!K$4:K$10000))*1000</f>
        <v>8.2349825182905594</v>
      </c>
      <c r="N2020" s="1" cm="1">
        <f t="array" ref="N2020">(SUMPRODUCT(("Var_Cap"=[1]OUT_TransportEnergyCons!$B$4:$B$10000)*1,("-"=[1]OUT_TransportEnergyCons!$C$4:$C$10000)*1,ISNUMBER(SEARCH("tfh*hyb*DSL*",[1]OUT_TransportEnergyCons!$A$4:$A$10000))*1,[1]OUT_TransportEnergyCons!L$4:L$10000))*1000</f>
        <v>0</v>
      </c>
      <c r="O2020" s="1" cm="1">
        <f t="array" ref="O2020">(SUMPRODUCT(("Var_Cap"=[1]OUT_TransportEnergyCons!$B$4:$B$10000)*1,("-"=[1]OUT_TransportEnergyCons!$C$4:$C$10000)*1,ISNUMBER(SEARCH("tfh*hyb*DSL*",[1]OUT_TransportEnergyCons!$A$4:$A$10000))*1,[1]OUT_TransportEnergyCons!M$4:M$10000))*1000</f>
        <v>0</v>
      </c>
      <c r="P2020" s="1" cm="1">
        <f t="array" ref="P2020">(SUMPRODUCT(("Var_Cap"=[1]OUT_TransportEnergyCons!$B$4:$B$10000)*1,("-"=[1]OUT_TransportEnergyCons!$C$4:$C$10000)*1,ISNUMBER(SEARCH("tfh*hyb*DSL*",[1]OUT_TransportEnergyCons!$A$4:$A$10000))*1,[1]OUT_TransportEnergyCons!N$4:N$10000))*1000</f>
        <v>0</v>
      </c>
      <c r="Q2020" s="1" cm="1">
        <f t="array" ref="Q2020">(SUMPRODUCT(("Var_Cap"=[1]OUT_TransportEnergyCons!$B$4:$B$10000)*1,("-"=[1]OUT_TransportEnergyCons!$C$4:$C$10000)*1,ISNUMBER(SEARCH("tfh*hyb*DSL*",[1]OUT_TransportEnergyCons!$A$4:$A$10000))*1,[1]OUT_TransportEnergyCons!O$4:O$10000))*1000</f>
        <v>0</v>
      </c>
      <c r="S2020" s="3"/>
    </row>
    <row r="2021" spans="2:19" x14ac:dyDescent="0.5">
      <c r="B2021" s="5" t="str">
        <f t="shared" si="2177"/>
        <v>SPS1</v>
      </c>
      <c r="C2021" s="5" t="str">
        <f t="shared" si="217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3.6069358758625804E-2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6.1807222232589795E-3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6.1819608995868826E-3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6.1832066900819804E-3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6.1855494676689993E-3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6.1920060087431901E-3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6.1894574854104998E-3</v>
      </c>
      <c r="M2021" s="1" cm="1">
        <f t="array" ref="M2021">(SUMPRODUCT(("Var_Cap"=[1]OUT_TransportEnergyCons!$B$4:$B$10000)*1,("-"=[1]OUT_TransportEnergyCons!$C$4:$C$10000)*1,ISNUMBER(SEARCH("tfh*ice*nga*",[1]OUT_TransportEnergyCons!$A$4:$A$10000))*1,[1]OUT_TransportEnergyCons!K$4:K$10000))*1000</f>
        <v>3.4230006625156303E-3</v>
      </c>
      <c r="N2021" s="1" cm="1">
        <f t="array" ref="N2021">(SUMPRODUCT(("Var_Cap"=[1]OUT_TransportEnergyCons!$B$4:$B$10000)*1,("-"=[1]OUT_TransportEnergyCons!$C$4:$C$10000)*1,ISNUMBER(SEARCH("tfh*ice*nga*",[1]OUT_TransportEnergyCons!$A$4:$A$10000))*1,[1]OUT_TransportEnergyCons!L$4:L$10000))*1000</f>
        <v>0</v>
      </c>
      <c r="O2021" s="1" cm="1">
        <f t="array" ref="O2021">(SUMPRODUCT(("Var_Cap"=[1]OUT_TransportEnergyCons!$B$4:$B$10000)*1,("-"=[1]OUT_TransportEnergyCons!$C$4:$C$10000)*1,ISNUMBER(SEARCH("tfh*ice*nga*",[1]OUT_TransportEnergyCons!$A$4:$A$10000))*1,[1]OUT_TransportEnergyCons!M$4:M$10000))*1000</f>
        <v>0</v>
      </c>
      <c r="P2021" s="1" cm="1">
        <f t="array" ref="P2021">(SUMPRODUCT(("Var_Cap"=[1]OUT_TransportEnergyCons!$B$4:$B$10000)*1,("-"=[1]OUT_TransportEnergyCons!$C$4:$C$10000)*1,ISNUMBER(SEARCH("tfh*ice*nga*",[1]OUT_TransportEnergyCons!$A$4:$A$10000))*1,[1]OUT_TransportEnergyCons!N$4:N$10000))*1000</f>
        <v>0</v>
      </c>
      <c r="Q2021" s="1" cm="1">
        <f t="array" ref="Q2021">(SUMPRODUCT(("Var_Cap"=[1]OUT_TransportEnergyCons!$B$4:$B$10000)*1,("-"=[1]OUT_TransportEnergyCons!$C$4:$C$10000)*1,ISNUMBER(SEARCH("tfh*ice*nga*",[1]OUT_TransportEnergyCons!$A$4:$A$10000))*1,[1]OUT_TransportEnergyCons!O$4:O$10000))*1000</f>
        <v>0</v>
      </c>
      <c r="S2021" s="3"/>
    </row>
    <row r="2022" spans="2:19" x14ac:dyDescent="0.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179">SUM(F2023,F2027,F2030)</f>
        <v>2.5951966676221401E-4</v>
      </c>
      <c r="G2022" s="3">
        <f t="shared" ref="G2022" si="2180">SUM(G2023,G2027,G2030)</f>
        <v>3.3444075317623002E-4</v>
      </c>
      <c r="H2022" s="3">
        <f t="shared" ref="H2022" si="2181">SUM(H2023,H2027,H2030)</f>
        <v>3.3699079114821032E-4</v>
      </c>
      <c r="I2022" s="3">
        <f t="shared" ref="I2022" si="2182">SUM(I2023,I2027,I2030)</f>
        <v>4.1867127046831378E-3</v>
      </c>
      <c r="J2022" s="3">
        <f t="shared" ref="J2022" si="2183">SUM(J2023,J2027,J2030)</f>
        <v>0.50667571041894832</v>
      </c>
      <c r="K2022" s="3">
        <f t="shared" ref="K2022" si="2184">SUM(K2023,K2027,K2030)</f>
        <v>0.58139354608651517</v>
      </c>
      <c r="L2022" s="3">
        <f t="shared" ref="L2022:O2022" si="2185">SUM(L2023,L2027,L2030)</f>
        <v>0.63543415687375238</v>
      </c>
      <c r="M2022" s="3">
        <f t="shared" si="2185"/>
        <v>0.92841589849359862</v>
      </c>
      <c r="N2022" s="3">
        <f t="shared" si="2185"/>
        <v>1.0327511737068211</v>
      </c>
      <c r="O2022" s="3">
        <f t="shared" si="2185"/>
        <v>1.1539388054758142</v>
      </c>
      <c r="P2022" s="3">
        <f>SUM(P2023,P2027,P2030)</f>
        <v>1.1967439263535748</v>
      </c>
      <c r="Q2022" s="3">
        <f>SUM(Q2023,Q2027,Q2030)</f>
        <v>1.2336552748727694</v>
      </c>
      <c r="S2022" s="3"/>
    </row>
    <row r="2023" spans="2:19" x14ac:dyDescent="0.5">
      <c r="B2023" s="5" t="str">
        <f t="shared" ref="B2023:B2032" si="2186">B2022</f>
        <v>SPS1</v>
      </c>
      <c r="C2023" s="5" t="str">
        <f t="shared" ref="C2023:C2032" si="218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2.5951966676221401E-4</v>
      </c>
      <c r="G2023" s="1" cm="1">
        <f t="array" ref="G2023">SUMPRODUCT(ISNUMBER(SEARCH("SUP_ELCH2*",[1]OUT_SyntheticFuels!$C$4:$C$1000))*1,("Var_cap"=[1]OUT_SyntheticFuels!$B$4:$B$1000)*1,[1]OUT_SyntheticFuels!F$4:F$1000)</f>
        <v>3.3444075317623002E-4</v>
      </c>
      <c r="H2023" s="1" cm="1">
        <f t="array" ref="H2023">SUMPRODUCT(ISNUMBER(SEARCH("SUP_ELCH2*",[1]OUT_SyntheticFuels!$C$4:$C$1000))*1,("Var_cap"=[1]OUT_SyntheticFuels!$B$4:$B$1000)*1,[1]OUT_SyntheticFuels!G$4:G$1000)</f>
        <v>3.3699079114821032E-4</v>
      </c>
      <c r="I2023" s="1" cm="1">
        <f t="array" ref="I2023">SUMPRODUCT(ISNUMBER(SEARCH("SUP_ELCH2*",[1]OUT_SyntheticFuels!$C$4:$C$1000))*1,("Var_cap"=[1]OUT_SyntheticFuels!$B$4:$B$1000)*1,[1]OUT_SyntheticFuels!H$4:H$1000)</f>
        <v>4.1863581980418185E-3</v>
      </c>
      <c r="J2023" s="1" cm="1">
        <f t="array" ref="J2023">SUMPRODUCT(ISNUMBER(SEARCH("SUP_ELCH2*",[1]OUT_SyntheticFuels!$C$4:$C$1000))*1,("Var_cap"=[1]OUT_SyntheticFuels!$B$4:$B$1000)*1,[1]OUT_SyntheticFuels!I$4:I$1000)</f>
        <v>0.50667481166962469</v>
      </c>
      <c r="K2023" s="1" cm="1">
        <f t="array" ref="K2023">SUMPRODUCT(ISNUMBER(SEARCH("SUP_ELCH2*",[1]OUT_SyntheticFuels!$C$4:$C$1000))*1,("Var_cap"=[1]OUT_SyntheticFuels!$B$4:$B$1000)*1,[1]OUT_SyntheticFuels!J$4:J$1000)</f>
        <v>0.58139176830767036</v>
      </c>
      <c r="L2023" s="1" cm="1">
        <f t="array" ref="L2023">SUMPRODUCT(ISNUMBER(SEARCH("SUP_ELCH2*",[1]OUT_SyntheticFuels!$C$4:$C$1000))*1,("Var_cap"=[1]OUT_SyntheticFuels!$B$4:$B$1000)*1,[1]OUT_SyntheticFuels!K$4:K$1000)</f>
        <v>0.63543103778908461</v>
      </c>
      <c r="M2023" s="1" cm="1">
        <f t="array" ref="M2023">SUMPRODUCT(ISNUMBER(SEARCH("SUP_ELCH2*",[1]OUT_SyntheticFuels!$C$4:$C$1000))*1,("Var_cap"=[1]OUT_SyntheticFuels!$B$4:$B$1000)*1,[1]OUT_SyntheticFuels!L$4:L$1000)</f>
        <v>0.76472502492568717</v>
      </c>
      <c r="N2023" s="1" cm="1">
        <f t="array" ref="N2023">SUMPRODUCT(ISNUMBER(SEARCH("SUP_ELCH2*",[1]OUT_SyntheticFuels!$C$4:$C$1000))*1,("Var_cap"=[1]OUT_SyntheticFuels!$B$4:$B$1000)*1,[1]OUT_SyntheticFuels!M$4:M$1000)</f>
        <v>0.86903743350539375</v>
      </c>
      <c r="O2023" s="1" cm="1">
        <f t="array" ref="O2023">SUMPRODUCT(ISNUMBER(SEARCH("SUP_ELCH2*",[1]OUT_SyntheticFuels!$C$4:$C$1000))*1,("Var_cap"=[1]OUT_SyntheticFuels!$B$4:$B$1000)*1,[1]OUT_SyntheticFuels!N$4:N$1000)</f>
        <v>0.97502499323666836</v>
      </c>
      <c r="P2023" s="1" cm="1">
        <f t="array" ref="P2023">SUMPRODUCT(ISNUMBER(SEARCH("SUP_ELCH2*",[1]OUT_SyntheticFuels!$C$4:$C$1000))*1,("Var_cap"=[1]OUT_SyntheticFuels!$B$4:$B$1000)*1,[1]OUT_SyntheticFuels!O$4:O$1000)</f>
        <v>1.0142580342772414</v>
      </c>
      <c r="Q2023" s="1" cm="1">
        <f t="array" ref="Q2023">SUMPRODUCT(ISNUMBER(SEARCH("SUP_ELCH2*",[1]OUT_SyntheticFuels!$C$4:$C$1000))*1,("Var_cap"=[1]OUT_SyntheticFuels!$B$4:$B$1000)*1,[1]OUT_SyntheticFuels!P$4:P$1000)</f>
        <v>1.0402422155188507</v>
      </c>
      <c r="S2023" s="3"/>
    </row>
    <row r="2024" spans="2:19" x14ac:dyDescent="0.5">
      <c r="B2024" s="5" t="str">
        <f t="shared" si="2186"/>
        <v>SPS1</v>
      </c>
      <c r="C2024" s="5" t="str">
        <f t="shared" si="2187"/>
        <v>CH</v>
      </c>
      <c r="D2024" t="s">
        <v>2145</v>
      </c>
      <c r="E2024" t="s">
        <v>2154</v>
      </c>
      <c r="F2024" s="1">
        <f t="shared" ref="F2024" si="2188">F2023-F2025-F2026</f>
        <v>2.5951966676221401E-4</v>
      </c>
      <c r="G2024" s="1">
        <f t="shared" ref="G2024" si="2189">G2023-G2025-G2026</f>
        <v>3.3444075317623002E-4</v>
      </c>
      <c r="H2024" s="1">
        <f t="shared" ref="H2024" si="2190">H2023-H2025-H2026</f>
        <v>3.3699079114821032E-4</v>
      </c>
      <c r="I2024" s="1">
        <f t="shared" ref="I2024" si="2191">I2023-I2025-I2026</f>
        <v>4.1812515703544117E-3</v>
      </c>
      <c r="J2024" s="1">
        <f t="shared" ref="J2024" si="2192">J2023-J2025-J2026</f>
        <v>0.50662569912514066</v>
      </c>
      <c r="K2024" s="1">
        <f t="shared" ref="K2024" si="2193">K2023-K2025-K2026</f>
        <v>0.58084941928379075</v>
      </c>
      <c r="L2024" s="1">
        <f t="shared" ref="L2024:O2024" si="2194">L2023-L2025-L2026</f>
        <v>0.63479984362562114</v>
      </c>
      <c r="M2024" s="1">
        <f t="shared" si="2194"/>
        <v>0.76410588202028873</v>
      </c>
      <c r="N2024" s="1">
        <f t="shared" si="2194"/>
        <v>0.86832861729498689</v>
      </c>
      <c r="O2024" s="1">
        <f t="shared" si="2194"/>
        <v>0.97396669347098042</v>
      </c>
      <c r="P2024" s="1">
        <f>P2023-P2025-P2026</f>
        <v>1.0133754696055728</v>
      </c>
      <c r="Q2024" s="1">
        <f>Q2023-Q2025-Q2026</f>
        <v>1.0385717948858932</v>
      </c>
      <c r="S2024" s="3"/>
    </row>
    <row r="2025" spans="2:19" x14ac:dyDescent="0.5">
      <c r="B2025" s="5" t="str">
        <f t="shared" si="2186"/>
        <v>SPS1</v>
      </c>
      <c r="C2025" s="5" t="str">
        <f t="shared" si="218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5.1066276874071998E-6</v>
      </c>
      <c r="J2025" s="1" cm="1">
        <f t="array" ref="J2025">SUMPRODUCT(ISNUMBER(SEARCH("SUP_ELCH2*D",[1]OUT_SyntheticFuels!$C$4:$C$1000))*1,("Var_cap"=[1]OUT_SyntheticFuels!$B$4:$B$1000)*1,[1]OUT_SyntheticFuels!I$4:I$1000)</f>
        <v>4.9112544483987499E-5</v>
      </c>
      <c r="K2025" s="1" cm="1">
        <f t="array" ref="K2025">SUMPRODUCT(ISNUMBER(SEARCH("SUP_ELCH2*D",[1]OUT_SyntheticFuels!$C$4:$C$1000))*1,("Var_cap"=[1]OUT_SyntheticFuels!$B$4:$B$1000)*1,[1]OUT_SyntheticFuels!J$4:J$1000)</f>
        <v>1.5431001475139301E-4</v>
      </c>
      <c r="L2025" s="1" cm="1">
        <f t="array" ref="L2025">SUMPRODUCT(ISNUMBER(SEARCH("SUP_ELCH2*D",[1]OUT_SyntheticFuels!$C$4:$C$1000))*1,("Var_cap"=[1]OUT_SyntheticFuels!$B$4:$B$1000)*1,[1]OUT_SyntheticFuels!K$4:K$1000)</f>
        <v>1.7639962651474399E-4</v>
      </c>
      <c r="M2025" s="1" cm="1">
        <f t="array" ref="M2025">SUMPRODUCT(ISNUMBER(SEARCH("SUP_ELCH2*D",[1]OUT_SyntheticFuels!$C$4:$C$1000))*1,("Var_cap"=[1]OUT_SyntheticFuels!$B$4:$B$1000)*1,[1]OUT_SyntheticFuels!L$4:L$1000)</f>
        <v>2.0794114464045701E-4</v>
      </c>
      <c r="N2025" s="1" cm="1">
        <f t="array" ref="N2025">SUMPRODUCT(ISNUMBER(SEARCH("SUP_ELCH2*D",[1]OUT_SyntheticFuels!$C$4:$C$1000))*1,("Var_cap"=[1]OUT_SyntheticFuels!$B$4:$B$1000)*1,[1]OUT_SyntheticFuels!M$4:M$1000)</f>
        <v>1.8674368384973499E-4</v>
      </c>
      <c r="O2025" s="1" cm="1">
        <f t="array" ref="O2025">SUMPRODUCT(ISNUMBER(SEARCH("SUP_ELCH2*D",[1]OUT_SyntheticFuels!$C$4:$C$1000))*1,("Var_cap"=[1]OUT_SyntheticFuels!$B$4:$B$1000)*1,[1]OUT_SyntheticFuels!N$4:N$1000)</f>
        <v>2.0370344810117499E-4</v>
      </c>
      <c r="P2025" s="1" cm="1">
        <f t="array" ref="P2025">SUMPRODUCT(ISNUMBER(SEARCH("SUP_ELCH2*D",[1]OUT_SyntheticFuels!$C$4:$C$1000))*1,("Var_cap"=[1]OUT_SyntheticFuels!$B$4:$B$1000)*1,[1]OUT_SyntheticFuels!O$4:O$1000)</f>
        <v>1.8344581327955E-4</v>
      </c>
      <c r="Q2025" s="1" cm="1">
        <f t="array" ref="Q2025">SUMPRODUCT(ISNUMBER(SEARCH("SUP_ELCH2*D",[1]OUT_SyntheticFuels!$C$4:$C$1000))*1,("Var_cap"=[1]OUT_SyntheticFuels!$B$4:$B$1000)*1,[1]OUT_SyntheticFuels!P$4:P$1000)</f>
        <v>2.7438442264100501E-4</v>
      </c>
      <c r="S2025" s="3"/>
    </row>
    <row r="2026" spans="2:19" x14ac:dyDescent="0.5">
      <c r="B2026" s="5" t="str">
        <f t="shared" si="2186"/>
        <v>SPS1</v>
      </c>
      <c r="C2026" s="5" t="str">
        <f t="shared" si="218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3.8803900912819903E-4</v>
      </c>
      <c r="L2026" s="1" cm="1">
        <f t="array" ref="L2026">SUMPRODUCT(ISNUMBER(SEARCH("SUP_ELCH2*SOEC*",[1]OUT_SyntheticFuels!$C$4:$C$1000))*1,("Var_cap"=[1]OUT_SyntheticFuels!$B$4:$B$1000)*1,[1]OUT_SyntheticFuels!K$4:K$1000)</f>
        <v>4.5479453694870025E-4</v>
      </c>
      <c r="M2026" s="1" cm="1">
        <f t="array" ref="M2026">SUMPRODUCT(ISNUMBER(SEARCH("SUP_ELCH2*SOEC*",[1]OUT_SyntheticFuels!$C$4:$C$1000))*1,("Var_cap"=[1]OUT_SyntheticFuels!$B$4:$B$1000)*1,[1]OUT_SyntheticFuels!L$4:L$1000)</f>
        <v>4.1120176075798187E-4</v>
      </c>
      <c r="N2026" s="1" cm="1">
        <f t="array" ref="N2026">SUMPRODUCT(ISNUMBER(SEARCH("SUP_ELCH2*SOEC*",[1]OUT_SyntheticFuels!$C$4:$C$1000))*1,("Var_cap"=[1]OUT_SyntheticFuels!$B$4:$B$1000)*1,[1]OUT_SyntheticFuels!M$4:M$1000)</f>
        <v>5.2207252655714234E-4</v>
      </c>
      <c r="O2026" s="1" cm="1">
        <f t="array" ref="O2026">SUMPRODUCT(ISNUMBER(SEARCH("SUP_ELCH2*SOEC*",[1]OUT_SyntheticFuels!$C$4:$C$1000))*1,("Var_cap"=[1]OUT_SyntheticFuels!$B$4:$B$1000)*1,[1]OUT_SyntheticFuels!N$4:N$1000)</f>
        <v>8.5459631758681091E-4</v>
      </c>
      <c r="P2026" s="1" cm="1">
        <f t="array" ref="P2026">SUMPRODUCT(ISNUMBER(SEARCH("SUP_ELCH2*SOEC*",[1]OUT_SyntheticFuels!$C$4:$C$1000))*1,("Var_cap"=[1]OUT_SyntheticFuels!$B$4:$B$1000)*1,[1]OUT_SyntheticFuels!O$4:O$1000)</f>
        <v>6.9911885838917179E-4</v>
      </c>
      <c r="Q2026" s="1" cm="1">
        <f t="array" ref="Q2026">SUMPRODUCT(ISNUMBER(SEARCH("SUP_ELCH2*SOEC*",[1]OUT_SyntheticFuels!$C$4:$C$1000))*1,("Var_cap"=[1]OUT_SyntheticFuels!$B$4:$B$1000)*1,[1]OUT_SyntheticFuels!P$4:P$1000)</f>
        <v>1.3960362103164524E-3</v>
      </c>
      <c r="S2026" s="3"/>
    </row>
    <row r="2027" spans="2:19" x14ac:dyDescent="0.5">
      <c r="B2027" s="5" t="str">
        <f t="shared" si="2186"/>
        <v>SPS1</v>
      </c>
      <c r="C2027" s="5" t="str">
        <f t="shared" si="2187"/>
        <v>CH</v>
      </c>
      <c r="D2027" t="s">
        <v>2148</v>
      </c>
      <c r="E2027" t="s">
        <v>2154</v>
      </c>
      <c r="F2027" s="1">
        <f t="shared" ref="F2027" si="2195">SUM(F2028:F2029)</f>
        <v>0</v>
      </c>
      <c r="G2027" s="1">
        <f t="shared" ref="G2027" si="2196">SUM(G2028:G2029)</f>
        <v>0</v>
      </c>
      <c r="H2027" s="1">
        <f t="shared" ref="H2027" si="2197">SUM(H2028:H2029)</f>
        <v>0</v>
      </c>
      <c r="I2027" s="1">
        <f t="shared" ref="I2027" si="2198">SUM(I2028:I2029)</f>
        <v>3.54506641319674E-7</v>
      </c>
      <c r="J2027" s="1">
        <f t="shared" ref="J2027" si="2199">SUM(J2028:J2029)</f>
        <v>8.9874932360617199E-7</v>
      </c>
      <c r="K2027" s="1">
        <f t="shared" ref="K2027" si="2200">SUM(K2028:K2029)</f>
        <v>1.7777788447679002E-6</v>
      </c>
      <c r="L2027" s="1">
        <f t="shared" ref="L2027:O2027" si="2201">SUM(L2028:L2029)</f>
        <v>3.1190846677218032E-6</v>
      </c>
      <c r="M2027" s="1">
        <f t="shared" si="2201"/>
        <v>1.4828999275807926E-4</v>
      </c>
      <c r="N2027" s="1">
        <f t="shared" si="2201"/>
        <v>1.5087958439058584E-4</v>
      </c>
      <c r="O2027" s="1">
        <f t="shared" si="2201"/>
        <v>2.1082695882969124E-4</v>
      </c>
      <c r="P2027" s="1">
        <f>SUM(P2028:P2029)</f>
        <v>2.13267777737715E-4</v>
      </c>
      <c r="Q2027" s="1">
        <f>SUM(Q2028:Q2029)</f>
        <v>4.5407912655443731E-4</v>
      </c>
      <c r="S2027" s="3"/>
    </row>
    <row r="2028" spans="2:19" x14ac:dyDescent="0.5">
      <c r="B2028" s="5" t="str">
        <f t="shared" si="2186"/>
        <v>SPS1</v>
      </c>
      <c r="C2028" s="5" t="str">
        <f t="shared" si="218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3.54506641319674E-7</v>
      </c>
      <c r="J2028" s="1" cm="1">
        <f t="array" ref="J2028">SUMPRODUCT(ISNUMBER(SEARCH("SUP_NGAH2",[1]OUT_SyntheticFuels!$C$4:$C$1000))*1,("Var_cap"=[1]OUT_SyntheticFuels!$B$4:$B$1000)*1,[1]OUT_SyntheticFuels!I$4:I$1000)-J2029</f>
        <v>8.9874932360617199E-7</v>
      </c>
      <c r="K2028" s="1" cm="1">
        <f t="array" ref="K2028">SUMPRODUCT(ISNUMBER(SEARCH("SUP_NGAH2",[1]OUT_SyntheticFuels!$C$4:$C$1000))*1,("Var_cap"=[1]OUT_SyntheticFuels!$B$4:$B$1000)*1,[1]OUT_SyntheticFuels!J$4:J$1000)-K2029</f>
        <v>1.3850774800705982E-6</v>
      </c>
      <c r="L2028" s="1" cm="1">
        <f t="array" ref="L2028">SUMPRODUCT(ISNUMBER(SEARCH("SUP_NGAH2",[1]OUT_SyntheticFuels!$C$4:$C$1000))*1,("Var_cap"=[1]OUT_SyntheticFuels!$B$4:$B$1000)*1,[1]OUT_SyntheticFuels!K$4:K$1000)-L2029</f>
        <v>2.2887934307785301E-6</v>
      </c>
      <c r="M2028" s="1" cm="1">
        <f t="array" ref="M2028">SUMPRODUCT(ISNUMBER(SEARCH("SUP_NGAH2",[1]OUT_SyntheticFuels!$C$4:$C$1000))*1,("Var_cap"=[1]OUT_SyntheticFuels!$B$4:$B$1000)*1,[1]OUT_SyntheticFuels!L$4:L$1000)-M2029</f>
        <v>8.3878084171250481E-5</v>
      </c>
      <c r="N2028" s="1" cm="1">
        <f t="array" ref="N2028">SUMPRODUCT(ISNUMBER(SEARCH("SUP_NGAH2",[1]OUT_SyntheticFuels!$C$4:$C$1000))*1,("Var_cap"=[1]OUT_SyntheticFuels!$B$4:$B$1000)*1,[1]OUT_SyntheticFuels!M$4:M$1000)-N2029</f>
        <v>8.5529145674384136E-5</v>
      </c>
      <c r="O2028" s="1" cm="1">
        <f t="array" ref="O2028">SUMPRODUCT(ISNUMBER(SEARCH("SUP_NGAH2",[1]OUT_SyntheticFuels!$C$4:$C$1000))*1,("Var_cap"=[1]OUT_SyntheticFuels!$B$4:$B$1000)*1,[1]OUT_SyntheticFuels!N$4:N$1000)-O2029</f>
        <v>1.2947393039468963E-4</v>
      </c>
      <c r="P2028" s="1" cm="1">
        <f t="array" ref="P2028">SUMPRODUCT(ISNUMBER(SEARCH("SUP_NGAH2",[1]OUT_SyntheticFuels!$C$4:$C$1000))*1,("Var_cap"=[1]OUT_SyntheticFuels!$B$4:$B$1000)*1,[1]OUT_SyntheticFuels!O$4:O$1000)-P2029</f>
        <v>1.313183767298016E-4</v>
      </c>
      <c r="Q2028" s="1" cm="1">
        <f t="array" ref="Q2028">SUMPRODUCT(ISNUMBER(SEARCH("SUP_NGAH2",[1]OUT_SyntheticFuels!$C$4:$C$1000))*1,("Var_cap"=[1]OUT_SyntheticFuels!$B$4:$B$1000)*1,[1]OUT_SyntheticFuels!P$4:P$1000)-Q2029</f>
        <v>2.9929908650579466E-4</v>
      </c>
      <c r="S2028" s="3"/>
    </row>
    <row r="2029" spans="2:19" x14ac:dyDescent="0.5">
      <c r="B2029" s="5" t="str">
        <f t="shared" si="2186"/>
        <v>SPS1</v>
      </c>
      <c r="C2029" s="5" t="str">
        <f t="shared" si="218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3.9270136469730202E-7</v>
      </c>
      <c r="L2029" s="1" cm="1">
        <f t="array" ref="L2029">SUMPRODUCT(ISNUMBER(SEARCH("SUP_NGAH2CCS",[1]OUT_SyntheticFuels!$C$4:$C$1000))*1,("Var_cap"=[1]OUT_SyntheticFuels!$B$4:$B$1000)*1,[1]OUT_SyntheticFuels!K$4:K$1000)</f>
        <v>8.3029123694327314E-7</v>
      </c>
      <c r="M2029" s="1" cm="1">
        <f t="array" ref="M2029">SUMPRODUCT(ISNUMBER(SEARCH("SUP_NGAH2CCS",[1]OUT_SyntheticFuels!$C$4:$C$1000))*1,("Var_cap"=[1]OUT_SyntheticFuels!$B$4:$B$1000)*1,[1]OUT_SyntheticFuels!L$4:L$1000)</f>
        <v>6.4411908586828784E-5</v>
      </c>
      <c r="N2029" s="1" cm="1">
        <f t="array" ref="N2029">SUMPRODUCT(ISNUMBER(SEARCH("SUP_NGAH2CCS",[1]OUT_SyntheticFuels!$C$4:$C$1000))*1,("Var_cap"=[1]OUT_SyntheticFuels!$B$4:$B$1000)*1,[1]OUT_SyntheticFuels!M$4:M$1000)</f>
        <v>6.5350438716201703E-5</v>
      </c>
      <c r="O2029" s="1" cm="1">
        <f t="array" ref="O2029">SUMPRODUCT(ISNUMBER(SEARCH("SUP_NGAH2CCS",[1]OUT_SyntheticFuels!$C$4:$C$1000))*1,("Var_cap"=[1]OUT_SyntheticFuels!$B$4:$B$1000)*1,[1]OUT_SyntheticFuels!N$4:N$1000)</f>
        <v>8.1353028435001605E-5</v>
      </c>
      <c r="P2029" s="1" cm="1">
        <f t="array" ref="P2029">SUMPRODUCT(ISNUMBER(SEARCH("SUP_NGAH2CCS",[1]OUT_SyntheticFuels!$C$4:$C$1000))*1,("Var_cap"=[1]OUT_SyntheticFuels!$B$4:$B$1000)*1,[1]OUT_SyntheticFuels!O$4:O$1000)</f>
        <v>8.1949401007913383E-5</v>
      </c>
      <c r="Q2029" s="1" cm="1">
        <f t="array" ref="Q2029">SUMPRODUCT(ISNUMBER(SEARCH("SUP_NGAH2CCS",[1]OUT_SyntheticFuels!$C$4:$C$1000))*1,("Var_cap"=[1]OUT_SyntheticFuels!$B$4:$B$1000)*1,[1]OUT_SyntheticFuels!P$4:P$1000)</f>
        <v>1.5478004004864263E-4</v>
      </c>
      <c r="S2029" s="3"/>
    </row>
    <row r="2030" spans="2:19" x14ac:dyDescent="0.5">
      <c r="B2030" s="5" t="str">
        <f t="shared" si="2186"/>
        <v>SPS1</v>
      </c>
      <c r="C2030" s="5" t="str">
        <f t="shared" si="2187"/>
        <v>CH</v>
      </c>
      <c r="D2030" t="s">
        <v>2151</v>
      </c>
      <c r="E2030" t="s">
        <v>2154</v>
      </c>
      <c r="F2030" s="1">
        <f t="shared" ref="F2030" si="2202">SUM(F2031:F2032)</f>
        <v>0</v>
      </c>
      <c r="G2030" s="1">
        <f t="shared" ref="G2030" si="2203">SUM(G2031:G2032)</f>
        <v>0</v>
      </c>
      <c r="H2030" s="1">
        <f t="shared" ref="H2030" si="2204">SUM(H2031:H2032)</f>
        <v>0</v>
      </c>
      <c r="I2030" s="1">
        <f t="shared" ref="I2030" si="2205">SUM(I2031:I2032)</f>
        <v>0</v>
      </c>
      <c r="J2030" s="1">
        <f t="shared" ref="J2030" si="2206">SUM(J2031:J2032)</f>
        <v>0</v>
      </c>
      <c r="K2030" s="1">
        <f t="shared" ref="K2030" si="2207">SUM(K2031:K2032)</f>
        <v>0</v>
      </c>
      <c r="L2030" s="1">
        <f t="shared" ref="L2030:O2030" si="2208">SUM(L2031:L2032)</f>
        <v>0</v>
      </c>
      <c r="M2030" s="1">
        <f t="shared" si="2208"/>
        <v>0.16354258357515333</v>
      </c>
      <c r="N2030" s="1">
        <f t="shared" si="2208"/>
        <v>0.16356286061703676</v>
      </c>
      <c r="O2030" s="1">
        <f t="shared" si="2208"/>
        <v>0.17870298528031611</v>
      </c>
      <c r="P2030" s="1">
        <f>SUM(P2031:P2032)</f>
        <v>0.18227262429859561</v>
      </c>
      <c r="Q2030" s="1">
        <f>SUM(Q2031:Q2032)</f>
        <v>0.19295898022736432</v>
      </c>
      <c r="S2030" s="3"/>
    </row>
    <row r="2031" spans="2:19" x14ac:dyDescent="0.5">
      <c r="B2031" s="5" t="str">
        <f t="shared" si="2186"/>
        <v>SPS1</v>
      </c>
      <c r="C2031" s="5" t="str">
        <f t="shared" si="218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SUMPRODUCT(ISNUMBER(SEARCH("SUP_WODH2",[1]OUT_SyntheticFuels!$C$4:$C$1000))*1,("Var_cap"=[1]OUT_SyntheticFuels!$B$4:$B$1000)*1,[1]OUT_SyntheticFuels!I$4:I$1000)-J2032</f>
        <v>0</v>
      </c>
      <c r="K2031" s="1" cm="1">
        <f t="array" ref="K2031">SUMPRODUCT(ISNUMBER(SEARCH("SUP_WODH2",[1]OUT_SyntheticFuels!$C$4:$C$1000))*1,("Var_cap"=[1]OUT_SyntheticFuels!$B$4:$B$1000)*1,[1]OUT_SyntheticFuels!J$4:J$1000)-K2032</f>
        <v>0</v>
      </c>
      <c r="L2031" s="1" cm="1">
        <f t="array" ref="L2031">SUMPRODUCT(ISNUMBER(SEARCH("SUP_WODH2",[1]OUT_SyntheticFuels!$C$4:$C$1000))*1,("Var_cap"=[1]OUT_SyntheticFuels!$B$4:$B$1000)*1,[1]OUT_SyntheticFuels!K$4:K$1000)-L2032</f>
        <v>0</v>
      </c>
      <c r="M2031" s="1" cm="1">
        <f t="array" ref="M2031">SUMPRODUCT(ISNUMBER(SEARCH("SUP_WODH2",[1]OUT_SyntheticFuels!$C$4:$C$1000))*1,("Var_cap"=[1]OUT_SyntheticFuels!$B$4:$B$1000)*1,[1]OUT_SyntheticFuels!L$4:L$1000)-M2032</f>
        <v>3.2293764987340046E-5</v>
      </c>
      <c r="N2031" s="1" cm="1">
        <f t="array" ref="N2031">SUMPRODUCT(ISNUMBER(SEARCH("SUP_WODH2",[1]OUT_SyntheticFuels!$C$4:$C$1000))*1,("Var_cap"=[1]OUT_SyntheticFuels!$B$4:$B$1000)*1,[1]OUT_SyntheticFuels!M$4:M$1000)-N2032</f>
        <v>3.2980533092585862E-5</v>
      </c>
      <c r="O2031" s="1" cm="1">
        <f t="array" ref="O2031">SUMPRODUCT(ISNUMBER(SEARCH("SUP_WODH2",[1]OUT_SyntheticFuels!$C$4:$C$1000))*1,("Var_cap"=[1]OUT_SyntheticFuels!$B$4:$B$1000)*1,[1]OUT_SyntheticFuels!N$4:N$1000)-O2032</f>
        <v>4.5617269595177312E-5</v>
      </c>
      <c r="P2031" s="1" cm="1">
        <f t="array" ref="P2031">SUMPRODUCT(ISNUMBER(SEARCH("SUP_WODH2",[1]OUT_SyntheticFuels!$C$4:$C$1000))*1,("Var_cap"=[1]OUT_SyntheticFuels!$B$4:$B$1000)*1,[1]OUT_SyntheticFuels!O$4:O$1000)-P2032</f>
        <v>4.5698094610635565E-5</v>
      </c>
      <c r="Q2031" s="1" cm="1">
        <f t="array" ref="Q2031">SUMPRODUCT(ISNUMBER(SEARCH("SUP_WODH2",[1]OUT_SyntheticFuels!$C$4:$C$1000))*1,("Var_cap"=[1]OUT_SyntheticFuels!$B$4:$B$1000)*1,[1]OUT_SyntheticFuels!P$4:P$1000)-Q2032</f>
        <v>9.5301799522246045E-5</v>
      </c>
      <c r="S2031" s="3"/>
    </row>
    <row r="2032" spans="2:19" x14ac:dyDescent="0.5">
      <c r="B2032" s="5" t="str">
        <f t="shared" si="2186"/>
        <v>SPS1</v>
      </c>
      <c r="C2032" s="5" t="str">
        <f t="shared" si="218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M2032" s="1" cm="1">
        <f t="array" ref="M2032">SUMPRODUCT(ISNUMBER(SEARCH("SUP_WODH2CCS",[1]OUT_SyntheticFuels!$C$4:$C$1000))*1,("Var_cap"=[1]OUT_SyntheticFuels!$B$4:$B$1000)*1,[1]OUT_SyntheticFuels!L$4:L$1000)</f>
        <v>0.16351028981016599</v>
      </c>
      <c r="N2032" s="1" cm="1">
        <f t="array" ref="N2032">SUMPRODUCT(ISNUMBER(SEARCH("SUP_WODH2CCS",[1]OUT_SyntheticFuels!$C$4:$C$1000))*1,("Var_cap"=[1]OUT_SyntheticFuels!$B$4:$B$1000)*1,[1]OUT_SyntheticFuels!M$4:M$1000)</f>
        <v>0.16352988008394417</v>
      </c>
      <c r="O2032" s="1" cm="1">
        <f t="array" ref="O2032">SUMPRODUCT(ISNUMBER(SEARCH("SUP_WODH2CCS",[1]OUT_SyntheticFuels!$C$4:$C$1000))*1,("Var_cap"=[1]OUT_SyntheticFuels!$B$4:$B$1000)*1,[1]OUT_SyntheticFuels!N$4:N$1000)</f>
        <v>0.17865736801072093</v>
      </c>
      <c r="P2032" s="1" cm="1">
        <f t="array" ref="P2032">SUMPRODUCT(ISNUMBER(SEARCH("SUP_WODH2CCS",[1]OUT_SyntheticFuels!$C$4:$C$1000))*1,("Var_cap"=[1]OUT_SyntheticFuels!$B$4:$B$1000)*1,[1]OUT_SyntheticFuels!O$4:O$1000)</f>
        <v>0.18222692620398498</v>
      </c>
      <c r="Q2032" s="1" cm="1">
        <f t="array" ref="Q2032">SUMPRODUCT(ISNUMBER(SEARCH("SUP_WODH2CCS",[1]OUT_SyntheticFuels!$C$4:$C$1000))*1,("Var_cap"=[1]OUT_SyntheticFuels!$B$4:$B$1000)*1,[1]OUT_SyntheticFuels!P$4:P$1000)</f>
        <v>0.19286367842784208</v>
      </c>
      <c r="S2032" s="3"/>
    </row>
    <row r="2033" spans="2:19" x14ac:dyDescent="0.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S2033" s="3"/>
    </row>
    <row r="2034" spans="2:19" x14ac:dyDescent="0.5">
      <c r="B2034" s="5" t="str">
        <f t="shared" ref="B2034:B2049" si="2209">B2033</f>
        <v>SPS1</v>
      </c>
      <c r="C2034" s="5" t="str">
        <f t="shared" ref="C2034:C2049" si="2210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3.7889999489824973E-2</v>
      </c>
      <c r="G2034" s="7" cm="1">
        <f t="array" ref="G2034">SUMPRODUCT(("CT_CWODBDS"=[1]OUT_SyntheticFuels!$C$4:$C$1000)*1,("Var_cap"=[1]OUT_SyntheticFuels!$B$4:$B$1000)*1,[1]OUT_SyntheticFuels!F$4:F$1000)</f>
        <v>3.3045380253522452E-2</v>
      </c>
      <c r="H2034" s="7" cm="1">
        <f t="array" ref="H2034">SUMPRODUCT(("CT_CWODBDS"=[1]OUT_SyntheticFuels!$C$4:$C$1000)*1,("Var_cap"=[1]OUT_SyntheticFuels!$B$4:$B$1000)*1,[1]OUT_SyntheticFuels!G$4:G$1000)</f>
        <v>2.4807320632168027E-2</v>
      </c>
      <c r="I2034" s="7" cm="1">
        <f t="array" ref="I2034">SUMPRODUCT(("CT_CWODBDS"=[1]OUT_SyntheticFuels!$C$4:$C$1000)*1,("Var_cap"=[1]OUT_SyntheticFuels!$B$4:$B$1000)*1,[1]OUT_SyntheticFuels!H$4:H$1000)</f>
        <v>3.4688151198725148E-5</v>
      </c>
      <c r="J2034" s="7" cm="1">
        <f t="array" ref="J2034">SUMPRODUCT(("CT_CWODBDS"=[1]OUT_SyntheticFuels!$C$4:$C$1000)*1,("Var_cap"=[1]OUT_SyntheticFuels!$B$4:$B$1000)*1,[1]OUT_SyntheticFuels!I$4:I$1000)</f>
        <v>2.8949067987338317E-5</v>
      </c>
      <c r="K2034" s="7" cm="1">
        <f t="array" ref="K2034">SUMPRODUCT(("CT_CWODBDS"=[1]OUT_SyntheticFuels!$C$4:$C$1000)*1,("Var_cap"=[1]OUT_SyntheticFuels!$B$4:$B$1000)*1,[1]OUT_SyntheticFuels!J$4:J$1000)</f>
        <v>2.1666508809229567E-5</v>
      </c>
      <c r="L2034" s="7" cm="1">
        <f t="array" ref="L2034">SUMPRODUCT(("CT_CWODBDS"=[1]OUT_SyntheticFuels!$C$4:$C$1000)*1,("Var_cap"=[1]OUT_SyntheticFuels!$B$4:$B$1000)*1,[1]OUT_SyntheticFuels!K$4:K$1000)</f>
        <v>2.3369733257901567E-5</v>
      </c>
      <c r="M2034" s="7" cm="1">
        <f t="array" ref="M2034">SUMPRODUCT(("CT_CWODBDS"=[1]OUT_SyntheticFuels!$C$4:$C$1000)*1,("Var_cap"=[1]OUT_SyntheticFuels!$B$4:$B$1000)*1,[1]OUT_SyntheticFuels!L$4:L$1000)</f>
        <v>3.7541396858926823E-5</v>
      </c>
      <c r="N2034" s="7" cm="1">
        <f t="array" ref="N2034">SUMPRODUCT(("CT_CWODBDS"=[1]OUT_SyntheticFuels!$C$4:$C$1000)*1,("Var_cap"=[1]OUT_SyntheticFuels!$B$4:$B$1000)*1,[1]OUT_SyntheticFuels!M$4:M$1000)</f>
        <v>2.5623692070483649E-5</v>
      </c>
      <c r="O2034" s="7" cm="1">
        <f t="array" ref="O2034">SUMPRODUCT(("CT_CWODBDS"=[1]OUT_SyntheticFuels!$C$4:$C$1000)*1,("Var_cap"=[1]OUT_SyntheticFuels!$B$4:$B$1000)*1,[1]OUT_SyntheticFuels!N$4:N$1000)</f>
        <v>6.409301230231246E-5</v>
      </c>
      <c r="P2034" s="7" cm="1">
        <f t="array" ref="P2034">SUMPRODUCT(("CT_CWODBDS"=[1]OUT_SyntheticFuels!$C$4:$C$1000)*1,("Var_cap"=[1]OUT_SyntheticFuels!$B$4:$B$1000)*1,[1]OUT_SyntheticFuels!O$4:O$1000)</f>
        <v>6.119980548022864E-5</v>
      </c>
      <c r="Q2034" s="7" cm="1">
        <f t="array" ref="Q2034">SUMPRODUCT(("CT_CWODBDS"=[1]OUT_SyntheticFuels!$C$4:$C$1000)*1,("Var_cap"=[1]OUT_SyntheticFuels!$B$4:$B$1000)*1,[1]OUT_SyntheticFuels!P$4:P$1000)</f>
        <v>9.0376431529072096E-5</v>
      </c>
      <c r="S2034" s="3"/>
    </row>
    <row r="2035" spans="2:19" x14ac:dyDescent="0.5">
      <c r="B2035" s="5" t="str">
        <f t="shared" si="2209"/>
        <v>SPS1</v>
      </c>
      <c r="C2035" s="5" t="str">
        <f t="shared" si="2210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1.7565908250820099E-5</v>
      </c>
      <c r="L2035" s="7" cm="1">
        <f t="array" ref="L2035">SUMPRODUCT(("CT_CWODBDSCCS"=[1]OUT_SyntheticFuels!$C$4:$C$1000)*1,("Var_cap"=[1]OUT_SyntheticFuels!$B$4:$B$1000)*1,[1]OUT_SyntheticFuels!K$4:K$1000)</f>
        <v>1.9298364081609801E-5</v>
      </c>
      <c r="M2035" s="7" cm="1">
        <f t="array" ref="M2035">SUMPRODUCT(("CT_CWODBDSCCS"=[1]OUT_SyntheticFuels!$C$4:$C$1000)*1,("Var_cap"=[1]OUT_SyntheticFuels!$B$4:$B$1000)*1,[1]OUT_SyntheticFuels!L$4:L$1000)</f>
        <v>0.18860888376834001</v>
      </c>
      <c r="N2035" s="7" cm="1">
        <f t="array" ref="N2035">SUMPRODUCT(("CT_CWODBDSCCS"=[1]OUT_SyntheticFuels!$C$4:$C$1000)*1,("Var_cap"=[1]OUT_SyntheticFuels!$B$4:$B$1000)*1,[1]OUT_SyntheticFuels!M$4:M$1000)</f>
        <v>0.205869391950565</v>
      </c>
      <c r="O2035" s="7" cm="1">
        <f t="array" ref="O2035">SUMPRODUCT(("CT_CWODBDSCCS"=[1]OUT_SyntheticFuels!$C$4:$C$1000)*1,("Var_cap"=[1]OUT_SyntheticFuels!$B$4:$B$1000)*1,[1]OUT_SyntheticFuels!N$4:N$1000)</f>
        <v>0.20585471784738399</v>
      </c>
      <c r="P2035" s="7" cm="1">
        <f t="array" ref="P2035">SUMPRODUCT(("CT_CWODBDSCCS"=[1]OUT_SyntheticFuels!$C$4:$C$1000)*1,("Var_cap"=[1]OUT_SyntheticFuels!$B$4:$B$1000)*1,[1]OUT_SyntheticFuels!O$4:O$1000)</f>
        <v>0.20585531171702401</v>
      </c>
      <c r="Q2035" s="7" cm="1">
        <f t="array" ref="Q2035">SUMPRODUCT(("CT_CWODBDSCCS"=[1]OUT_SyntheticFuels!$C$4:$C$1000)*1,("Var_cap"=[1]OUT_SyntheticFuels!$B$4:$B$1000)*1,[1]OUT_SyntheticFuels!P$4:P$1000)</f>
        <v>0.20487738385432999</v>
      </c>
      <c r="S2035" s="3"/>
    </row>
    <row r="2036" spans="2:19" x14ac:dyDescent="0.5">
      <c r="B2036" s="5" t="str">
        <f t="shared" si="2209"/>
        <v>SPS1</v>
      </c>
      <c r="C2036" s="5" t="str">
        <f t="shared" si="2210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6.899205334769596E-3</v>
      </c>
      <c r="G2036" s="7" cm="1">
        <f t="array" ref="G2036">SUMPRODUCT(("CT_CWODETH"=[1]OUT_SyntheticFuels!$C$4:$C$1000)*1,("Var_cap"=[1]OUT_SyntheticFuels!$B$4:$B$1000)*1,[1]OUT_SyntheticFuels!F$4:F$1000)</f>
        <v>6.8986126851744729E-3</v>
      </c>
      <c r="H2036" s="7" cm="1">
        <f t="array" ref="H2036">SUMPRODUCT(("CT_CWODETH"=[1]OUT_SyntheticFuels!$C$4:$C$1000)*1,("Var_cap"=[1]OUT_SyntheticFuels!$B$4:$B$1000)*1,[1]OUT_SyntheticFuels!G$4:G$1000)</f>
        <v>6.8986439029183758E-3</v>
      </c>
      <c r="I2036" s="7" cm="1">
        <f t="array" ref="I2036">SUMPRODUCT(("CT_CWODETH"=[1]OUT_SyntheticFuels!$C$4:$C$1000)*1,("Var_cap"=[1]OUT_SyntheticFuels!$B$4:$B$1000)*1,[1]OUT_SyntheticFuels!H$4:H$1000)</f>
        <v>2.2892858503420314E-5</v>
      </c>
      <c r="J2036" s="7" cm="1">
        <f t="array" ref="J2036">SUMPRODUCT(("CT_CWODETH"=[1]OUT_SyntheticFuels!$C$4:$C$1000)*1,("Var_cap"=[1]OUT_SyntheticFuels!$B$4:$B$1000)*1,[1]OUT_SyntheticFuels!I$4:I$1000)</f>
        <v>2.3597336420549606E-5</v>
      </c>
      <c r="K2036" s="7" cm="1">
        <f t="array" ref="K2036">SUMPRODUCT(("CT_CWODETH"=[1]OUT_SyntheticFuels!$C$4:$C$1000)*1,("Var_cap"=[1]OUT_SyntheticFuels!$B$4:$B$1000)*1,[1]OUT_SyntheticFuels!J$4:J$1000)</f>
        <v>1.5347375301960273E-5</v>
      </c>
      <c r="L2036" s="7" cm="1">
        <f t="array" ref="L2036">SUMPRODUCT(("CT_CWODETH"=[1]OUT_SyntheticFuels!$C$4:$C$1000)*1,("Var_cap"=[1]OUT_SyntheticFuels!$B$4:$B$1000)*1,[1]OUT_SyntheticFuels!K$4:K$1000)</f>
        <v>1.6091628640068721E-5</v>
      </c>
      <c r="M2036" s="7" cm="1">
        <f t="array" ref="M2036">SUMPRODUCT(("CT_CWODETH"=[1]OUT_SyntheticFuels!$C$4:$C$1000)*1,("Var_cap"=[1]OUT_SyntheticFuels!$B$4:$B$1000)*1,[1]OUT_SyntheticFuels!L$4:L$1000)</f>
        <v>2.5065539853961202E-5</v>
      </c>
      <c r="N2036" s="7" cm="1">
        <f t="array" ref="N2036">SUMPRODUCT(("CT_CWODETH"=[1]OUT_SyntheticFuels!$C$4:$C$1000)*1,("Var_cap"=[1]OUT_SyntheticFuels!$B$4:$B$1000)*1,[1]OUT_SyntheticFuels!M$4:M$1000)</f>
        <v>2.393304209113335E-5</v>
      </c>
      <c r="O2036" s="7" cm="1">
        <f t="array" ref="O2036">SUMPRODUCT(("CT_CWODETH"=[1]OUT_SyntheticFuels!$C$4:$C$1000)*1,("Var_cap"=[1]OUT_SyntheticFuels!$B$4:$B$1000)*1,[1]OUT_SyntheticFuels!N$4:N$1000)</f>
        <v>4.6609691788183697E-5</v>
      </c>
      <c r="P2036" s="7" cm="1">
        <f t="array" ref="P2036">SUMPRODUCT(("CT_CWODETH"=[1]OUT_SyntheticFuels!$C$4:$C$1000)*1,("Var_cap"=[1]OUT_SyntheticFuels!$B$4:$B$1000)*1,[1]OUT_SyntheticFuels!O$4:O$1000)</f>
        <v>3.6634978978647146E-5</v>
      </c>
      <c r="Q2036" s="7" cm="1">
        <f t="array" ref="Q2036">SUMPRODUCT(("CT_CWODETH"=[1]OUT_SyntheticFuels!$C$4:$C$1000)*1,("Var_cap"=[1]OUT_SyntheticFuels!$B$4:$B$1000)*1,[1]OUT_SyntheticFuels!P$4:P$1000)</f>
        <v>7.0867592607833991E-5</v>
      </c>
      <c r="S2036" s="3"/>
    </row>
    <row r="2037" spans="2:19" x14ac:dyDescent="0.5">
      <c r="B2037" s="5" t="str">
        <f t="shared" si="2209"/>
        <v>SPS1</v>
      </c>
      <c r="C2037" s="5" t="str">
        <f t="shared" si="2210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1.1704649805439E-5</v>
      </c>
      <c r="L2037" s="7" cm="1">
        <f t="array" ref="L2037">SUMPRODUCT(("CT_CWODETHCCS"=[1]OUT_SyntheticFuels!$C$4:$C$1000)*1,("Var_cap"=[1]OUT_SyntheticFuels!$B$4:$B$1000)*1,[1]OUT_SyntheticFuels!K$4:K$1000)</f>
        <v>1.4547580497268399E-5</v>
      </c>
      <c r="M2037" s="7" cm="1">
        <f t="array" ref="M2037">SUMPRODUCT(("CT_CWODETHCCS"=[1]OUT_SyntheticFuels!$C$4:$C$1000)*1,("Var_cap"=[1]OUT_SyntheticFuels!$B$4:$B$1000)*1,[1]OUT_SyntheticFuels!L$4:L$1000)</f>
        <v>2.18347467052592E-5</v>
      </c>
      <c r="N2037" s="7" cm="1">
        <f t="array" ref="N2037">SUMPRODUCT(("CT_CWODETHCCS"=[1]OUT_SyntheticFuels!$C$4:$C$1000)*1,("Var_cap"=[1]OUT_SyntheticFuels!$B$4:$B$1000)*1,[1]OUT_SyntheticFuels!M$4:M$1000)</f>
        <v>2.0510761402513401E-5</v>
      </c>
      <c r="O2037" s="7" cm="1">
        <f t="array" ref="O2037">SUMPRODUCT(("CT_CWODETHCCS"=[1]OUT_SyntheticFuels!$C$4:$C$1000)*1,("Var_cap"=[1]OUT_SyntheticFuels!$B$4:$B$1000)*1,[1]OUT_SyntheticFuels!N$4:N$1000)</f>
        <v>4.0282084414121097E-5</v>
      </c>
      <c r="P2037" s="7" cm="1">
        <f t="array" ref="P2037">SUMPRODUCT(("CT_CWODETHCCS"=[1]OUT_SyntheticFuels!$C$4:$C$1000)*1,("Var_cap"=[1]OUT_SyntheticFuels!$B$4:$B$1000)*1,[1]OUT_SyntheticFuels!O$4:O$1000)</f>
        <v>3.7696232654069302E-5</v>
      </c>
      <c r="Q2037" s="7" cm="1">
        <f t="array" ref="Q2037">SUMPRODUCT(("CT_CWODETHCCS"=[1]OUT_SyntheticFuels!$C$4:$C$1000)*1,("Var_cap"=[1]OUT_SyntheticFuels!$B$4:$B$1000)*1,[1]OUT_SyntheticFuels!P$4:P$1000)</f>
        <v>6.49706559413319E-5</v>
      </c>
      <c r="S2037" s="3"/>
    </row>
    <row r="2038" spans="2:19" x14ac:dyDescent="0.5">
      <c r="B2038" s="5" t="str">
        <f t="shared" si="2209"/>
        <v>SPS1</v>
      </c>
      <c r="C2038" s="5" t="str">
        <f t="shared" si="2210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4.9551580918424001E-2</v>
      </c>
      <c r="G2038" s="7" cm="1">
        <f t="array" ref="G2038">SUMPRODUCT(("SUP_MNRBIO"=[1]OUT_SyntheticFuels!$C$4:$C$1000)*1,("Var_cap"=[1]OUT_SyntheticFuels!$B$4:$B$1000)*1,[1]OUT_SyntheticFuels!F$4:F$1000)</f>
        <v>0.12852074124606708</v>
      </c>
      <c r="H2038" s="7" cm="1">
        <f t="array" ref="H2038">SUMPRODUCT(("SUP_MNRBIO"=[1]OUT_SyntheticFuels!$C$4:$C$1000)*1,("Var_cap"=[1]OUT_SyntheticFuels!$B$4:$B$1000)*1,[1]OUT_SyntheticFuels!G$4:G$1000)</f>
        <v>0.16238813612093919</v>
      </c>
      <c r="I2038" s="7" cm="1">
        <f t="array" ref="I2038">SUMPRODUCT(("SUP_MNRBIO"=[1]OUT_SyntheticFuels!$C$4:$C$1000)*1,("Var_cap"=[1]OUT_SyntheticFuels!$B$4:$B$1000)*1,[1]OUT_SyntheticFuels!H$4:H$1000)</f>
        <v>0.1623993144310196</v>
      </c>
      <c r="J2038" s="7" cm="1">
        <f t="array" ref="J2038">SUMPRODUCT(("SUP_MNRBIO"=[1]OUT_SyntheticFuels!$C$4:$C$1000)*1,("Var_cap"=[1]OUT_SyntheticFuels!$B$4:$B$1000)*1,[1]OUT_SyntheticFuels!I$4:I$1000)</f>
        <v>0.16240249273542381</v>
      </c>
      <c r="K2038" s="7" cm="1">
        <f t="array" ref="K2038">SUMPRODUCT(("SUP_MNRBIO"=[1]OUT_SyntheticFuels!$C$4:$C$1000)*1,("Var_cap"=[1]OUT_SyntheticFuels!$B$4:$B$1000)*1,[1]OUT_SyntheticFuels!J$4:J$1000)</f>
        <v>0.16243302158774864</v>
      </c>
      <c r="L2038" s="7" cm="1">
        <f t="array" ref="L2038">SUMPRODUCT(("SUP_MNRBIO"=[1]OUT_SyntheticFuels!$C$4:$C$1000)*1,("Var_cap"=[1]OUT_SyntheticFuels!$B$4:$B$1000)*1,[1]OUT_SyntheticFuels!K$4:K$1000)</f>
        <v>0.16316363659772271</v>
      </c>
      <c r="M2038" s="7" cm="1">
        <f t="array" ref="M2038">SUMPRODUCT(("SUP_MNRBIO"=[1]OUT_SyntheticFuels!$C$4:$C$1000)*1,("Var_cap"=[1]OUT_SyntheticFuels!$B$4:$B$1000)*1,[1]OUT_SyntheticFuels!L$4:L$1000)</f>
        <v>0.2436304729085797</v>
      </c>
      <c r="N2038" s="7" cm="1">
        <f t="array" ref="N2038">SUMPRODUCT(("SUP_MNRBIO"=[1]OUT_SyntheticFuels!$C$4:$C$1000)*1,("Var_cap"=[1]OUT_SyntheticFuels!$B$4:$B$1000)*1,[1]OUT_SyntheticFuels!M$4:M$1000)</f>
        <v>0.24362930372962666</v>
      </c>
      <c r="O2038" s="7" cm="1">
        <f t="array" ref="O2038">SUMPRODUCT(("SUP_MNRBIO"=[1]OUT_SyntheticFuels!$C$4:$C$1000)*1,("Var_cap"=[1]OUT_SyntheticFuels!$B$4:$B$1000)*1,[1]OUT_SyntheticFuels!N$4:N$1000)</f>
        <v>0.24363284333046678</v>
      </c>
      <c r="P2038" s="7" cm="1">
        <f t="array" ref="P2038">SUMPRODUCT(("SUP_MNRBIO"=[1]OUT_SyntheticFuels!$C$4:$C$1000)*1,("Var_cap"=[1]OUT_SyntheticFuels!$B$4:$B$1000)*1,[1]OUT_SyntheticFuels!O$4:O$1000)</f>
        <v>0.24363243985970892</v>
      </c>
      <c r="Q2038" s="7" cm="1">
        <f t="array" ref="Q2038">SUMPRODUCT(("SUP_MNRBIO"=[1]OUT_SyntheticFuels!$C$4:$C$1000)*1,("Var_cap"=[1]OUT_SyntheticFuels!$B$4:$B$1000)*1,[1]OUT_SyntheticFuels!P$4:P$1000)</f>
        <v>0.24366099848742565</v>
      </c>
      <c r="S2038" s="3"/>
    </row>
    <row r="2039" spans="2:19" x14ac:dyDescent="0.5">
      <c r="B2039" s="5" t="str">
        <f t="shared" si="2209"/>
        <v>SPS1</v>
      </c>
      <c r="C2039" s="5" t="str">
        <f t="shared" si="2210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0.21266760303449433</v>
      </c>
      <c r="G2039" s="7" cm="1">
        <f t="array" ref="G2039">SUMPRODUCT(("SUP_WSTBIO"=[1]OUT_SyntheticFuels!$C$4:$C$1000)*1,("Var_cap"=[1]OUT_SyntheticFuels!$B$4:$B$1000)*1,[1]OUT_SyntheticFuels!F$4:F$1000)</f>
        <v>0.232992769899145</v>
      </c>
      <c r="H2039" s="7" cm="1">
        <f t="array" ref="H2039">SUMPRODUCT(("SUP_WSTBIO"=[1]OUT_SyntheticFuels!$C$4:$C$1000)*1,("Var_cap"=[1]OUT_SyntheticFuels!$B$4:$B$1000)*1,[1]OUT_SyntheticFuels!G$4:G$1000)</f>
        <v>0.23299168775530324</v>
      </c>
      <c r="I2039" s="7" cm="1">
        <f t="array" ref="I2039">SUMPRODUCT(("SUP_WSTBIO"=[1]OUT_SyntheticFuels!$C$4:$C$1000)*1,("Var_cap"=[1]OUT_SyntheticFuels!$B$4:$B$1000)*1,[1]OUT_SyntheticFuels!H$4:H$1000)</f>
        <v>0.23225720880814266</v>
      </c>
      <c r="J2039" s="7" cm="1">
        <f t="array" ref="J2039">SUMPRODUCT(("SUP_WSTBIO"=[1]OUT_SyntheticFuels!$C$4:$C$1000)*1,("Var_cap"=[1]OUT_SyntheticFuels!$B$4:$B$1000)*1,[1]OUT_SyntheticFuels!I$4:I$1000)</f>
        <v>0.23179768272160892</v>
      </c>
      <c r="K2039" s="7" cm="1">
        <f t="array" ref="K2039">SUMPRODUCT(("SUP_WSTBIO"=[1]OUT_SyntheticFuels!$C$4:$C$1000)*1,("Var_cap"=[1]OUT_SyntheticFuels!$B$4:$B$1000)*1,[1]OUT_SyntheticFuels!J$4:J$1000)</f>
        <v>0.2203417616522288</v>
      </c>
      <c r="L2039" s="7" cm="1">
        <f t="array" ref="L2039">SUMPRODUCT(("SUP_WSTBIO"=[1]OUT_SyntheticFuels!$C$4:$C$1000)*1,("Var_cap"=[1]OUT_SyntheticFuels!$B$4:$B$1000)*1,[1]OUT_SyntheticFuels!K$4:K$1000)</f>
        <v>0.34819652480258839</v>
      </c>
      <c r="M2039" s="7" cm="1">
        <f t="array" ref="M2039">SUMPRODUCT(("SUP_WSTBIO"=[1]OUT_SyntheticFuels!$C$4:$C$1000)*1,("Var_cap"=[1]OUT_SyntheticFuels!$B$4:$B$1000)*1,[1]OUT_SyntheticFuels!L$4:L$1000)</f>
        <v>0.37191106314934336</v>
      </c>
      <c r="N2039" s="7" cm="1">
        <f t="array" ref="N2039">SUMPRODUCT(("SUP_WSTBIO"=[1]OUT_SyntheticFuels!$C$4:$C$1000)*1,("Var_cap"=[1]OUT_SyntheticFuels!$B$4:$B$1000)*1,[1]OUT_SyntheticFuels!M$4:M$1000)</f>
        <v>0.38931262431325031</v>
      </c>
      <c r="O2039" s="7" cm="1">
        <f t="array" ref="O2039">SUMPRODUCT(("SUP_WSTBIO"=[1]OUT_SyntheticFuels!$C$4:$C$1000)*1,("Var_cap"=[1]OUT_SyntheticFuels!$B$4:$B$1000)*1,[1]OUT_SyntheticFuels!N$4:N$1000)</f>
        <v>0.38935274941666481</v>
      </c>
      <c r="P2039" s="7" cm="1">
        <f t="array" ref="P2039">SUMPRODUCT(("SUP_WSTBIO"=[1]OUT_SyntheticFuels!$C$4:$C$1000)*1,("Var_cap"=[1]OUT_SyntheticFuels!$B$4:$B$1000)*1,[1]OUT_SyntheticFuels!O$4:O$1000)</f>
        <v>0.38936656106223816</v>
      </c>
      <c r="Q2039" s="7" cm="1">
        <f t="array" ref="Q2039">SUMPRODUCT(("SUP_WSTBIO"=[1]OUT_SyntheticFuels!$C$4:$C$1000)*1,("Var_cap"=[1]OUT_SyntheticFuels!$B$4:$B$1000)*1,[1]OUT_SyntheticFuels!P$4:P$1000)</f>
        <v>0.38937380987658793</v>
      </c>
      <c r="S2039" s="3"/>
    </row>
    <row r="2040" spans="2:19" x14ac:dyDescent="0.5">
      <c r="B2040" s="5" t="str">
        <f t="shared" si="2209"/>
        <v>SPS1</v>
      </c>
      <c r="C2040" s="5" t="str">
        <f t="shared" si="2210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M2040" s="7" cm="1">
        <f t="array" ref="M2040">SUMPRODUCT(("SUP_WSTBIOCCS"=[1]OUT_SyntheticFuels!$C$4:$C$1000)*1,("Var_cap"=[1]OUT_SyntheticFuels!$B$4:$B$1000)*1,[1]OUT_SyntheticFuels!L$4:L$1000)</f>
        <v>0</v>
      </c>
      <c r="N2040" s="7" cm="1">
        <f t="array" ref="N2040">SUMPRODUCT(("SUP_WSTBIOCCS"=[1]OUT_SyntheticFuels!$C$4:$C$1000)*1,("Var_cap"=[1]OUT_SyntheticFuels!$B$4:$B$1000)*1,[1]OUT_SyntheticFuels!M$4:M$1000)</f>
        <v>0</v>
      </c>
      <c r="O2040" s="7" cm="1">
        <f t="array" ref="O2040">SUMPRODUCT(("SUP_WSTBIOCCS"=[1]OUT_SyntheticFuels!$C$4:$C$1000)*1,("Var_cap"=[1]OUT_SyntheticFuels!$B$4:$B$1000)*1,[1]OUT_SyntheticFuels!N$4:N$1000)</f>
        <v>0</v>
      </c>
      <c r="P2040" s="7" cm="1">
        <f t="array" ref="P2040">SUMPRODUCT(("SUP_WSTBIOCCS"=[1]OUT_SyntheticFuels!$C$4:$C$1000)*1,("Var_cap"=[1]OUT_SyntheticFuels!$B$4:$B$1000)*1,[1]OUT_SyntheticFuels!O$4:O$1000)</f>
        <v>0</v>
      </c>
      <c r="Q2040" s="7" cm="1">
        <f t="array" ref="Q2040">SUMPRODUCT(("SUP_WSTBIOCCS"=[1]OUT_SyntheticFuels!$C$4:$C$1000)*1,("Var_cap"=[1]OUT_SyntheticFuels!$B$4:$B$1000)*1,[1]OUT_SyntheticFuels!P$4:P$1000)</f>
        <v>0</v>
      </c>
      <c r="S2040" s="3"/>
    </row>
    <row r="2041" spans="2:19" x14ac:dyDescent="0.5">
      <c r="B2041" s="5" t="str">
        <f t="shared" si="2209"/>
        <v>SPS1</v>
      </c>
      <c r="C2041" s="5" t="str">
        <f t="shared" si="2210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2.3346501258847699E-5</v>
      </c>
      <c r="L2041" s="7" cm="1">
        <f t="array" ref="L2041">SUMPRODUCT(("SUP_WSTHTGBIO"=[1]OUT_SyntheticFuels!$C$4:$C$1000)*1,("Var_cap"=[1]OUT_SyntheticFuels!$B$4:$B$1000)*1,[1]OUT_SyntheticFuels!K$4:K$1000)</f>
        <v>2.7201927281130159E-5</v>
      </c>
      <c r="M2041" s="7" cm="1">
        <f t="array" ref="M2041">SUMPRODUCT(("SUP_WSTHTGBIO"=[1]OUT_SyntheticFuels!$C$4:$C$1000)*1,("Var_cap"=[1]OUT_SyntheticFuels!$B$4:$B$1000)*1,[1]OUT_SyntheticFuels!L$4:L$1000)</f>
        <v>8.5364258740689415E-5</v>
      </c>
      <c r="N2041" s="7" cm="1">
        <f t="array" ref="N2041">SUMPRODUCT(("SUP_WSTHTGBIO"=[1]OUT_SyntheticFuels!$C$4:$C$1000)*1,("Var_cap"=[1]OUT_SyntheticFuels!$B$4:$B$1000)*1,[1]OUT_SyntheticFuels!M$4:M$1000)</f>
        <v>8.1461962712453428E-5</v>
      </c>
      <c r="O2041" s="7" cm="1">
        <f t="array" ref="O2041">SUMPRODUCT(("SUP_WSTHTGBIO"=[1]OUT_SyntheticFuels!$C$4:$C$1000)*1,("Var_cap"=[1]OUT_SyntheticFuels!$B$4:$B$1000)*1,[1]OUT_SyntheticFuels!N$4:N$1000)</f>
        <v>6.2311488751529774E-5</v>
      </c>
      <c r="P2041" s="7" cm="1">
        <f t="array" ref="P2041">SUMPRODUCT(("SUP_WSTHTGBIO"=[1]OUT_SyntheticFuels!$C$4:$C$1000)*1,("Var_cap"=[1]OUT_SyntheticFuels!$B$4:$B$1000)*1,[1]OUT_SyntheticFuels!O$4:O$1000)</f>
        <v>5.8891288009594807E-5</v>
      </c>
      <c r="Q2041" s="7" cm="1">
        <f t="array" ref="Q2041">SUMPRODUCT(("SUP_WSTHTGBIO"=[1]OUT_SyntheticFuels!$C$4:$C$1000)*1,("Var_cap"=[1]OUT_SyntheticFuels!$B$4:$B$1000)*1,[1]OUT_SyntheticFuels!P$4:P$1000)</f>
        <v>8.5584775349933725E-5</v>
      </c>
      <c r="S2041" s="3"/>
    </row>
    <row r="2042" spans="2:19" x14ac:dyDescent="0.5">
      <c r="B2042" s="5" t="str">
        <f t="shared" si="2209"/>
        <v>SPS1</v>
      </c>
      <c r="C2042" s="5" t="str">
        <f t="shared" si="2210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7.5011119197296602E-6</v>
      </c>
      <c r="L2042" s="7" cm="1">
        <f t="array" ref="L2042">SUMPRODUCT(("SUP_WSTHTGBIOCCS"=[1]OUT_SyntheticFuels!$C$4:$C$1000)*1,("Var_cap"=[1]OUT_SyntheticFuels!$B$4:$B$1000)*1,[1]OUT_SyntheticFuels!K$4:K$1000)</f>
        <v>8.2967392611233573E-6</v>
      </c>
      <c r="M2042" s="7" cm="1">
        <f t="array" ref="M2042">SUMPRODUCT(("SUP_WSTHTGBIOCCS"=[1]OUT_SyntheticFuels!$C$4:$C$1000)*1,("Var_cap"=[1]OUT_SyntheticFuels!$B$4:$B$1000)*1,[1]OUT_SyntheticFuels!L$4:L$1000)</f>
        <v>3.708174523298591E-5</v>
      </c>
      <c r="N2042" s="7" cm="1">
        <f t="array" ref="N2042">SUMPRODUCT(("SUP_WSTHTGBIOCCS"=[1]OUT_SyntheticFuels!$C$4:$C$1000)*1,("Var_cap"=[1]OUT_SyntheticFuels!$B$4:$B$1000)*1,[1]OUT_SyntheticFuels!M$4:M$1000)</f>
        <v>3.5715536167426659E-5</v>
      </c>
      <c r="O2042" s="7" cm="1">
        <f t="array" ref="O2042">SUMPRODUCT(("SUP_WSTHTGBIOCCS"=[1]OUT_SyntheticFuels!$C$4:$C$1000)*1,("Var_cap"=[1]OUT_SyntheticFuels!$B$4:$B$1000)*1,[1]OUT_SyntheticFuels!N$4:N$1000)</f>
        <v>2.9300801326598783E-5</v>
      </c>
      <c r="P2042" s="7" cm="1">
        <f t="array" ref="P2042">SUMPRODUCT(("SUP_WSTHTGBIOCCS"=[1]OUT_SyntheticFuels!$C$4:$C$1000)*1,("Var_cap"=[1]OUT_SyntheticFuels!$B$4:$B$1000)*1,[1]OUT_SyntheticFuels!O$4:O$1000)</f>
        <v>2.9036051145461968E-5</v>
      </c>
      <c r="Q2042" s="7" cm="1">
        <f t="array" ref="Q2042">SUMPRODUCT(("SUP_WSTHTGBIOCCS"=[1]OUT_SyntheticFuels!$C$4:$C$1000)*1,("Var_cap"=[1]OUT_SyntheticFuels!$B$4:$B$1000)*1,[1]OUT_SyntheticFuels!P$4:P$1000)</f>
        <v>3.3636510867397093E-5</v>
      </c>
      <c r="S2042" s="3"/>
    </row>
    <row r="2043" spans="2:19" x14ac:dyDescent="0.5">
      <c r="B2043" s="5" t="str">
        <f t="shared" si="2209"/>
        <v>SPS1</v>
      </c>
      <c r="C2043" s="5" t="str">
        <f t="shared" si="2210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6.0626722242566997E-7</v>
      </c>
      <c r="G2043" s="7" cm="1">
        <f t="array" ref="G2043">SUMPRODUCT(("SUP_WODBIO"=[1]OUT_SyntheticFuels!$C$4:$C$1000)*1,("Var_cap"=[1]OUT_SyntheticFuels!$B$4:$B$1000)*1,[1]OUT_SyntheticFuels!F$4:F$1000)</f>
        <v>1.9338106911364588E-5</v>
      </c>
      <c r="H2043" s="7" cm="1">
        <f t="array" ref="H2043">SUMPRODUCT(("SUP_WODBIO"=[1]OUT_SyntheticFuels!$C$4:$C$1000)*1,("Var_cap"=[1]OUT_SyntheticFuels!$B$4:$B$1000)*1,[1]OUT_SyntheticFuels!G$4:G$1000)</f>
        <v>2.1986815018385218E-5</v>
      </c>
      <c r="I2043" s="7" cm="1">
        <f t="array" ref="I2043">SUMPRODUCT(("SUP_WODBIO"=[1]OUT_SyntheticFuels!$C$4:$C$1000)*1,("Var_cap"=[1]OUT_SyntheticFuels!$B$4:$B$1000)*1,[1]OUT_SyntheticFuels!H$4:H$1000)</f>
        <v>5.1658573220986816E-5</v>
      </c>
      <c r="J2043" s="7" cm="1">
        <f t="array" ref="J2043">SUMPRODUCT(("SUP_WODBIO"=[1]OUT_SyntheticFuels!$C$4:$C$1000)*1,("Var_cap"=[1]OUT_SyntheticFuels!$B$4:$B$1000)*1,[1]OUT_SyntheticFuels!I$4:I$1000)</f>
        <v>5.7748371215884072E-5</v>
      </c>
      <c r="K2043" s="7" cm="1">
        <f t="array" ref="K2043">SUMPRODUCT(("SUP_WODBIO"=[1]OUT_SyntheticFuels!$C$4:$C$1000)*1,("Var_cap"=[1]OUT_SyntheticFuels!$B$4:$B$1000)*1,[1]OUT_SyntheticFuels!J$4:J$1000)</f>
        <v>5.0366665865519405E-5</v>
      </c>
      <c r="L2043" s="7" cm="1">
        <f t="array" ref="L2043">SUMPRODUCT(("SUP_WODBIO"=[1]OUT_SyntheticFuels!$C$4:$C$1000)*1,("Var_cap"=[1]OUT_SyntheticFuels!$B$4:$B$1000)*1,[1]OUT_SyntheticFuels!K$4:K$1000)</f>
        <v>4.0166058791352999E-5</v>
      </c>
      <c r="M2043" s="7" cm="1">
        <f t="array" ref="M2043">SUMPRODUCT(("SUP_WODBIO"=[1]OUT_SyntheticFuels!$C$4:$C$1000)*1,("Var_cap"=[1]OUT_SyntheticFuels!$B$4:$B$1000)*1,[1]OUT_SyntheticFuels!L$4:L$1000)</f>
        <v>3.2200186420063444E-5</v>
      </c>
      <c r="N2043" s="7" cm="1">
        <f t="array" ref="N2043">SUMPRODUCT(("SUP_WODBIO"=[1]OUT_SyntheticFuels!$C$4:$C$1000)*1,("Var_cap"=[1]OUT_SyntheticFuels!$B$4:$B$1000)*1,[1]OUT_SyntheticFuels!M$4:M$1000)</f>
        <v>2.8534703417938245E-5</v>
      </c>
      <c r="O2043" s="7" cm="1">
        <f t="array" ref="O2043">SUMPRODUCT(("SUP_WODBIO"=[1]OUT_SyntheticFuels!$C$4:$C$1000)*1,("Var_cap"=[1]OUT_SyntheticFuels!$B$4:$B$1000)*1,[1]OUT_SyntheticFuels!N$4:N$1000)</f>
        <v>4.5724433213690288E-5</v>
      </c>
      <c r="P2043" s="7" cm="1">
        <f t="array" ref="P2043">SUMPRODUCT(("SUP_WODBIO"=[1]OUT_SyntheticFuels!$C$4:$C$1000)*1,("Var_cap"=[1]OUT_SyntheticFuels!$B$4:$B$1000)*1,[1]OUT_SyntheticFuels!O$4:O$1000)</f>
        <v>3.7439049420170062E-5</v>
      </c>
      <c r="Q2043" s="7" cm="1">
        <f t="array" ref="Q2043">SUMPRODUCT(("SUP_WODBIO"=[1]OUT_SyntheticFuels!$C$4:$C$1000)*1,("Var_cap"=[1]OUT_SyntheticFuels!$B$4:$B$1000)*1,[1]OUT_SyntheticFuels!P$4:P$1000)</f>
        <v>8.9607462771690188E-5</v>
      </c>
      <c r="S2043" s="3"/>
    </row>
    <row r="2044" spans="2:19" x14ac:dyDescent="0.5">
      <c r="B2044" s="5" t="str">
        <f t="shared" si="2209"/>
        <v>SPS1</v>
      </c>
      <c r="C2044" s="5" t="str">
        <f t="shared" si="2210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1.9988291048735201E-5</v>
      </c>
      <c r="L2044" s="7" cm="1">
        <f t="array" ref="L2044">SUMPRODUCT(("SUP_WODBIOCCS"=[1]OUT_SyntheticFuels!$C$4:$C$1000)*1,("Var_cap"=[1]OUT_SyntheticFuels!$B$4:$B$1000)*1,[1]OUT_SyntheticFuels!K$4:K$1000)</f>
        <v>2.4221028257929001E-5</v>
      </c>
      <c r="M2044" s="7" cm="1">
        <f t="array" ref="M2044">SUMPRODUCT(("SUP_WODBIOCCS"=[1]OUT_SyntheticFuels!$C$4:$C$1000)*1,("Var_cap"=[1]OUT_SyntheticFuels!$B$4:$B$1000)*1,[1]OUT_SyntheticFuels!L$4:L$1000)</f>
        <v>4.73635137526656E-5</v>
      </c>
      <c r="N2044" s="7" cm="1">
        <f t="array" ref="N2044">SUMPRODUCT(("SUP_WODBIOCCS"=[1]OUT_SyntheticFuels!$C$4:$C$1000)*1,("Var_cap"=[1]OUT_SyntheticFuels!$B$4:$B$1000)*1,[1]OUT_SyntheticFuels!M$4:M$1000)</f>
        <v>4.4821811123967102E-5</v>
      </c>
      <c r="O2044" s="7" cm="1">
        <f t="array" ref="O2044">SUMPRODUCT(("SUP_WODBIOCCS"=[1]OUT_SyntheticFuels!$C$4:$C$1000)*1,("Var_cap"=[1]OUT_SyntheticFuels!$B$4:$B$1000)*1,[1]OUT_SyntheticFuels!N$4:N$1000)</f>
        <v>4.8296927373161201E-5</v>
      </c>
      <c r="P2044" s="7" cm="1">
        <f t="array" ref="P2044">SUMPRODUCT(("SUP_WODBIOCCS"=[1]OUT_SyntheticFuels!$C$4:$C$1000)*1,("Var_cap"=[1]OUT_SyntheticFuels!$B$4:$B$1000)*1,[1]OUT_SyntheticFuels!O$4:O$1000)</f>
        <v>4.5060703764608498E-5</v>
      </c>
      <c r="Q2044" s="7" cm="1">
        <f t="array" ref="Q2044">SUMPRODUCT(("SUP_WODBIOCCS"=[1]OUT_SyntheticFuels!$C$4:$C$1000)*1,("Var_cap"=[1]OUT_SyntheticFuels!$B$4:$B$1000)*1,[1]OUT_SyntheticFuels!P$4:P$1000)</f>
        <v>7.7558061317328797E-5</v>
      </c>
      <c r="S2044" s="3"/>
    </row>
    <row r="2045" spans="2:19" x14ac:dyDescent="0.5">
      <c r="B2045" s="5" t="str">
        <f t="shared" si="2209"/>
        <v>SPS1</v>
      </c>
      <c r="C2045" s="5" t="str">
        <f t="shared" si="2210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4.2400615140657703E-2</v>
      </c>
      <c r="G2045" s="7" cm="1">
        <f t="array" ref="G2045">SUMPRODUCT(("SUP_BIONGA"=[1]OUT_SyntheticFuels!$C$4:$C$1000)*1,("Var_cap"=[1]OUT_SyntheticFuels!$B$4:$B$1000)*1,[1]OUT_SyntheticFuels!F$4:F$1000)</f>
        <v>0.12566220592217481</v>
      </c>
      <c r="H2045" s="7" cm="1">
        <f t="array" ref="H2045">SUMPRODUCT(("SUP_BIONGA"=[1]OUT_SyntheticFuels!$C$4:$C$1000)*1,("Var_cap"=[1]OUT_SyntheticFuels!$B$4:$B$1000)*1,[1]OUT_SyntheticFuels!G$4:G$1000)</f>
        <v>9.7834476225875294E-2</v>
      </c>
      <c r="I2045" s="7" cm="1">
        <f t="array" ref="I2045">SUMPRODUCT(("SUP_BIONGA"=[1]OUT_SyntheticFuels!$C$4:$C$1000)*1,("Var_cap"=[1]OUT_SyntheticFuels!$B$4:$B$1000)*1,[1]OUT_SyntheticFuels!H$4:H$1000)</f>
        <v>9.7619971068663394E-2</v>
      </c>
      <c r="J2045" s="7" cm="1">
        <f t="array" ref="J2045">SUMPRODUCT(("SUP_BIONGA"=[1]OUT_SyntheticFuels!$C$4:$C$1000)*1,("Var_cap"=[1]OUT_SyntheticFuels!$B$4:$B$1000)*1,[1]OUT_SyntheticFuels!I$4:I$1000)</f>
        <v>9.7613471999602783E-2</v>
      </c>
      <c r="K2045" s="7" cm="1">
        <f t="array" ref="K2045">SUMPRODUCT(("SUP_BIONGA"=[1]OUT_SyntheticFuels!$C$4:$C$1000)*1,("Var_cap"=[1]OUT_SyntheticFuels!$B$4:$B$1000)*1,[1]OUT_SyntheticFuels!J$4:J$1000)</f>
        <v>9.2011428599475378E-2</v>
      </c>
      <c r="L2045" s="7" cm="1">
        <f t="array" ref="L2045">SUMPRODUCT(("SUP_BIONGA"=[1]OUT_SyntheticFuels!$C$4:$C$1000)*1,("Var_cap"=[1]OUT_SyntheticFuels!$B$4:$B$1000)*1,[1]OUT_SyntheticFuels!K$4:K$1000)</f>
        <v>9.195403623921844E-2</v>
      </c>
      <c r="M2045" s="7" cm="1">
        <f t="array" ref="M2045">SUMPRODUCT(("SUP_BIONGA"=[1]OUT_SyntheticFuels!$C$4:$C$1000)*1,("Var_cap"=[1]OUT_SyntheticFuels!$B$4:$B$1000)*1,[1]OUT_SyntheticFuels!L$4:L$1000)</f>
        <v>0.17145452663173993</v>
      </c>
      <c r="N2045" s="7" cm="1">
        <f t="array" ref="N2045">SUMPRODUCT(("SUP_BIONGA"=[1]OUT_SyntheticFuels!$C$4:$C$1000)*1,("Var_cap"=[1]OUT_SyntheticFuels!$B$4:$B$1000)*1,[1]OUT_SyntheticFuels!M$4:M$1000)</f>
        <v>0.28236255282066047</v>
      </c>
      <c r="O2045" s="7" cm="1">
        <f t="array" ref="O2045">SUMPRODUCT(("SUP_BIONGA"=[1]OUT_SyntheticFuels!$C$4:$C$1000)*1,("Var_cap"=[1]OUT_SyntheticFuels!$B$4:$B$1000)*1,[1]OUT_SyntheticFuels!N$4:N$1000)</f>
        <v>0.2823670775190798</v>
      </c>
      <c r="P2045" s="7" cm="1">
        <f t="array" ref="P2045">SUMPRODUCT(("SUP_BIONGA"=[1]OUT_SyntheticFuels!$C$4:$C$1000)*1,("Var_cap"=[1]OUT_SyntheticFuels!$B$4:$B$1000)*1,[1]OUT_SyntheticFuels!O$4:O$1000)</f>
        <v>0.28237354841843404</v>
      </c>
      <c r="Q2045" s="7" cm="1">
        <f t="array" ref="Q2045">SUMPRODUCT(("SUP_BIONGA"=[1]OUT_SyntheticFuels!$C$4:$C$1000)*1,("Var_cap"=[1]OUT_SyntheticFuels!$B$4:$B$1000)*1,[1]OUT_SyntheticFuels!P$4:P$1000)</f>
        <v>0.28241566012642766</v>
      </c>
      <c r="S2045" s="3"/>
    </row>
    <row r="2046" spans="2:19" x14ac:dyDescent="0.5">
      <c r="B2046" s="5" t="str">
        <f t="shared" si="2209"/>
        <v>SPS1</v>
      </c>
      <c r="C2046" s="5" t="str">
        <f t="shared" si="2210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0.36355706380631542</v>
      </c>
      <c r="G2046" s="7" cm="1">
        <f t="array" ref="G2046">SUMPRODUCT(("CT_CWODPLT"=[1]OUT_SyntheticFuels!$C$4:$C$1000)*1,("Var_cap"=[1]OUT_SyntheticFuels!$B$4:$B$1000)*1,[1]OUT_SyntheticFuels!F$4:F$1000)</f>
        <v>0.40987393620013385</v>
      </c>
      <c r="H2046" s="7" cm="1">
        <f t="array" ref="H2046">SUMPRODUCT(("CT_CWODPLT"=[1]OUT_SyntheticFuels!$C$4:$C$1000)*1,("Var_cap"=[1]OUT_SyntheticFuels!$B$4:$B$1000)*1,[1]OUT_SyntheticFuels!G$4:G$1000)</f>
        <v>0.40987338603887435</v>
      </c>
      <c r="I2046" s="7" cm="1">
        <f t="array" ref="I2046">SUMPRODUCT(("CT_CWODPLT"=[1]OUT_SyntheticFuels!$C$4:$C$1000)*1,("Var_cap"=[1]OUT_SyntheticFuels!$B$4:$B$1000)*1,[1]OUT_SyntheticFuels!H$4:H$1000)</f>
        <v>0.40987498978873949</v>
      </c>
      <c r="J2046" s="7" cm="1">
        <f t="array" ref="J2046">SUMPRODUCT(("CT_CWODPLT"=[1]OUT_SyntheticFuels!$C$4:$C$1000)*1,("Var_cap"=[1]OUT_SyntheticFuels!$B$4:$B$1000)*1,[1]OUT_SyntheticFuels!I$4:I$1000)</f>
        <v>0.43008247372492808</v>
      </c>
      <c r="K2046" s="7" cm="1">
        <f t="array" ref="K2046">SUMPRODUCT(("CT_CWODPLT"=[1]OUT_SyntheticFuels!$C$4:$C$1000)*1,("Var_cap"=[1]OUT_SyntheticFuels!$B$4:$B$1000)*1,[1]OUT_SyntheticFuels!J$4:J$1000)</f>
        <v>0.4573077025337573</v>
      </c>
      <c r="L2046" s="7" cm="1">
        <f t="array" ref="L2046">SUMPRODUCT(("CT_CWODPLT"=[1]OUT_SyntheticFuels!$C$4:$C$1000)*1,("Var_cap"=[1]OUT_SyntheticFuels!$B$4:$B$1000)*1,[1]OUT_SyntheticFuels!K$4:K$1000)</f>
        <v>0.45730588769413233</v>
      </c>
      <c r="M2046" s="7" cm="1">
        <f t="array" ref="M2046">SUMPRODUCT(("CT_CWODPLT"=[1]OUT_SyntheticFuels!$C$4:$C$1000)*1,("Var_cap"=[1]OUT_SyntheticFuels!$B$4:$B$1000)*1,[1]OUT_SyntheticFuels!L$4:L$1000)</f>
        <v>0.45731554099641636</v>
      </c>
      <c r="N2046" s="7" cm="1">
        <f t="array" ref="N2046">SUMPRODUCT(("CT_CWODPLT"=[1]OUT_SyntheticFuels!$C$4:$C$1000)*1,("Var_cap"=[1]OUT_SyntheticFuels!$B$4:$B$1000)*1,[1]OUT_SyntheticFuels!M$4:M$1000)</f>
        <v>0.44242544997278677</v>
      </c>
      <c r="O2046" s="7" cm="1">
        <f t="array" ref="O2046">SUMPRODUCT(("CT_CWODPLT"=[1]OUT_SyntheticFuels!$C$4:$C$1000)*1,("Var_cap"=[1]OUT_SyntheticFuels!$B$4:$B$1000)*1,[1]OUT_SyntheticFuels!N$4:N$1000)</f>
        <v>0.45596475077496179</v>
      </c>
      <c r="P2046" s="7" cm="1">
        <f t="array" ref="P2046">SUMPRODUCT(("CT_CWODPLT"=[1]OUT_SyntheticFuels!$C$4:$C$1000)*1,("Var_cap"=[1]OUT_SyntheticFuels!$B$4:$B$1000)*1,[1]OUT_SyntheticFuels!O$4:O$1000)</f>
        <v>0.44983929125325262</v>
      </c>
      <c r="Q2046" s="7" cm="1">
        <f t="array" ref="Q2046">SUMPRODUCT(("CT_CWODPLT"=[1]OUT_SyntheticFuels!$C$4:$C$1000)*1,("Var_cap"=[1]OUT_SyntheticFuels!$B$4:$B$1000)*1,[1]OUT_SyntheticFuels!P$4:P$1000)</f>
        <v>0.4498317792625246</v>
      </c>
      <c r="S2046" s="3"/>
    </row>
    <row r="2047" spans="2:19" x14ac:dyDescent="0.5">
      <c r="B2047" s="5" t="str">
        <f t="shared" si="2209"/>
        <v>SPS1</v>
      </c>
      <c r="C2047" s="5" t="str">
        <f t="shared" si="2210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5.2706952082980205E-7</v>
      </c>
      <c r="J2047" s="7" cm="1">
        <f t="array" ref="J2047">SUMPRODUCT(("SUP_H2NGA"=[1]OUT_SyntheticFuels!$C$4:$C$1000)*1,("Var_cap"=[1]OUT_SyntheticFuels!$B$4:$B$1000)*1,[1]OUT_SyntheticFuels!I$4:I$1000)</f>
        <v>2.089801542344239E-6</v>
      </c>
      <c r="K2047" s="7" cm="1">
        <f t="array" ref="K2047">SUMPRODUCT(("SUP_H2NGA"=[1]OUT_SyntheticFuels!$C$4:$C$1000)*1,("Var_cap"=[1]OUT_SyntheticFuels!$B$4:$B$1000)*1,[1]OUT_SyntheticFuels!J$4:J$1000)</f>
        <v>1.0687943691234424E-4</v>
      </c>
      <c r="L2047" s="7" cm="1">
        <f t="array" ref="L2047">SUMPRODUCT(("SUP_H2NGA"=[1]OUT_SyntheticFuels!$C$4:$C$1000)*1,("Var_cap"=[1]OUT_SyntheticFuels!$B$4:$B$1000)*1,[1]OUT_SyntheticFuels!K$4:K$1000)</f>
        <v>1.121484506029945E-4</v>
      </c>
      <c r="M2047" s="7" cm="1">
        <f t="array" ref="M2047">SUMPRODUCT(("SUP_H2NGA"=[1]OUT_SyntheticFuels!$C$4:$C$1000)*1,("Var_cap"=[1]OUT_SyntheticFuels!$B$4:$B$1000)*1,[1]OUT_SyntheticFuels!L$4:L$1000)</f>
        <v>5.3798109857895833E-3</v>
      </c>
      <c r="N2047" s="7" cm="1">
        <f t="array" ref="N2047">SUMPRODUCT(("SUP_H2NGA"=[1]OUT_SyntheticFuels!$C$4:$C$1000)*1,("Var_cap"=[1]OUT_SyntheticFuels!$B$4:$B$1000)*1,[1]OUT_SyntheticFuels!M$4:M$1000)</f>
        <v>0.1692158915211886</v>
      </c>
      <c r="O2047" s="7" cm="1">
        <f t="array" ref="O2047">SUMPRODUCT(("SUP_H2NGA"=[1]OUT_SyntheticFuels!$C$4:$C$1000)*1,("Var_cap"=[1]OUT_SyntheticFuels!$B$4:$B$1000)*1,[1]OUT_SyntheticFuels!N$4:N$1000)</f>
        <v>0.30856556013673914</v>
      </c>
      <c r="P2047" s="7" cm="1">
        <f t="array" ref="P2047">SUMPRODUCT(("SUP_H2NGA"=[1]OUT_SyntheticFuels!$C$4:$C$1000)*1,("Var_cap"=[1]OUT_SyntheticFuels!$B$4:$B$1000)*1,[1]OUT_SyntheticFuels!O$4:O$1000)</f>
        <v>0.36195161772584578</v>
      </c>
      <c r="Q2047" s="7" cm="1">
        <f t="array" ref="Q2047">SUMPRODUCT(("SUP_H2NGA"=[1]OUT_SyntheticFuels!$C$4:$C$1000)*1,("Var_cap"=[1]OUT_SyntheticFuels!$B$4:$B$1000)*1,[1]OUT_SyntheticFuels!P$4:P$1000)</f>
        <v>0.37344886919889803</v>
      </c>
      <c r="S2047" s="3"/>
    </row>
    <row r="2048" spans="2:19" x14ac:dyDescent="0.5">
      <c r="B2048" s="5" t="str">
        <f t="shared" si="2209"/>
        <v>SPS1</v>
      </c>
      <c r="C2048" s="5" t="str">
        <f t="shared" si="2210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9.4680395690331398E-7</v>
      </c>
      <c r="J2048" s="7" cm="1">
        <f t="array" ref="J2048">SUMPRODUCT(("SUP_H2DSL"=[1]OUT_SyntheticFuels!$C$4:$C$1000)*1,("Var_cap"=[1]OUT_SyntheticFuels!$B$4:$B$1000)*1,[1]OUT_SyntheticFuels!I$4:I$1000)</f>
        <v>5.5030679651609892E-6</v>
      </c>
      <c r="K2048" s="7" cm="1">
        <f t="array" ref="K2048">SUMPRODUCT(("SUP_H2DSL"=[1]OUT_SyntheticFuels!$C$4:$C$1000)*1,("Var_cap"=[1]OUT_SyntheticFuels!$B$4:$B$1000)*1,[1]OUT_SyntheticFuels!J$4:J$1000)</f>
        <v>4.6830665943092809E-4</v>
      </c>
      <c r="L2048" s="7" cm="1">
        <f t="array" ref="L2048">SUMPRODUCT(("SUP_H2DSL"=[1]OUT_SyntheticFuels!$C$4:$C$1000)*1,("Var_cap"=[1]OUT_SyntheticFuels!$B$4:$B$1000)*1,[1]OUT_SyntheticFuels!K$4:K$1000)</f>
        <v>4.691398861018053E-4</v>
      </c>
      <c r="M2048" s="7" cm="1">
        <f t="array" ref="M2048">SUMPRODUCT(("SUP_H2DSL"=[1]OUT_SyntheticFuels!$C$4:$C$1000)*1,("Var_cap"=[1]OUT_SyntheticFuels!$B$4:$B$1000)*1,[1]OUT_SyntheticFuels!L$4:L$1000)</f>
        <v>4.6949064474754147E-4</v>
      </c>
      <c r="N2048" s="7" cm="1">
        <f t="array" ref="N2048">SUMPRODUCT(("SUP_H2DSL"=[1]OUT_SyntheticFuels!$C$4:$C$1000)*1,("Var_cap"=[1]OUT_SyntheticFuels!$B$4:$B$1000)*1,[1]OUT_SyntheticFuels!M$4:M$1000)</f>
        <v>4.0358286835286979E-4</v>
      </c>
      <c r="O2048" s="7" cm="1">
        <f t="array" ref="O2048">SUMPRODUCT(("SUP_H2DSL"=[1]OUT_SyntheticFuels!$C$4:$C$1000)*1,("Var_cap"=[1]OUT_SyntheticFuels!$B$4:$B$1000)*1,[1]OUT_SyntheticFuels!N$4:N$1000)</f>
        <v>3.389335148289995E-4</v>
      </c>
      <c r="P2048" s="7" cm="1">
        <f t="array" ref="P2048">SUMPRODUCT(("SUP_H2DSL"=[1]OUT_SyntheticFuels!$C$4:$C$1000)*1,("Var_cap"=[1]OUT_SyntheticFuels!$B$4:$B$1000)*1,[1]OUT_SyntheticFuels!O$4:O$1000)</f>
        <v>3.4001836848799791E-4</v>
      </c>
      <c r="Q2048" s="7" cm="1">
        <f t="array" ref="Q2048">SUMPRODUCT(("SUP_H2DSL"=[1]OUT_SyntheticFuels!$C$4:$C$1000)*1,("Var_cap"=[1]OUT_SyntheticFuels!$B$4:$B$1000)*1,[1]OUT_SyntheticFuels!P$4:P$1000)</f>
        <v>6.5176539070768984E-4</v>
      </c>
      <c r="S2048" s="3"/>
    </row>
    <row r="2049" spans="2:19" x14ac:dyDescent="0.5">
      <c r="B2049" s="5" t="str">
        <f t="shared" si="2209"/>
        <v>SPS1</v>
      </c>
      <c r="C2049" s="5" t="str">
        <f t="shared" si="2210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5.4391041733809403E-7</v>
      </c>
      <c r="J2049" s="7" cm="1">
        <f t="array" ref="J2049">SUMPRODUCT(("SUP_H2GSL"=[1]OUT_SyntheticFuels!$C$4:$C$1000)*1,("Var_cap"=[1]OUT_SyntheticFuels!$B$4:$B$1000)*1,[1]OUT_SyntheticFuels!I$4:I$1000)</f>
        <v>4.6118653133864144E-6</v>
      </c>
      <c r="K2049" s="7" cm="1">
        <f t="array" ref="K2049">SUMPRODUCT(("SUP_H2GSL"=[1]OUT_SyntheticFuels!$C$4:$C$1000)*1,("Var_cap"=[1]OUT_SyntheticFuels!$B$4:$B$1000)*1,[1]OUT_SyntheticFuels!J$4:J$1000)</f>
        <v>3.8281105001780724E-2</v>
      </c>
      <c r="L2049" s="7" cm="1">
        <f t="array" ref="L2049">SUMPRODUCT(("SUP_H2GSL"=[1]OUT_SyntheticFuels!$C$4:$C$1000)*1,("Var_cap"=[1]OUT_SyntheticFuels!$B$4:$B$1000)*1,[1]OUT_SyntheticFuels!K$4:K$1000)</f>
        <v>3.8282505833133501E-2</v>
      </c>
      <c r="M2049" s="7" cm="1">
        <f t="array" ref="M2049">SUMPRODUCT(("SUP_H2GSL"=[1]OUT_SyntheticFuels!$C$4:$C$1000)*1,("Var_cap"=[1]OUT_SyntheticFuels!$B$4:$B$1000)*1,[1]OUT_SyntheticFuels!L$4:L$1000)</f>
        <v>4.3315692066674752E-2</v>
      </c>
      <c r="N2049" s="7" cm="1">
        <f t="array" ref="N2049">SUMPRODUCT(("SUP_H2GSL"=[1]OUT_SyntheticFuels!$C$4:$C$1000)*1,("Var_cap"=[1]OUT_SyntheticFuels!$B$4:$B$1000)*1,[1]OUT_SyntheticFuels!M$4:M$1000)</f>
        <v>1.3148511357901502E-2</v>
      </c>
      <c r="O2049" s="7" cm="1">
        <f t="array" ref="O2049">SUMPRODUCT(("SUP_H2GSL"=[1]OUT_SyntheticFuels!$C$4:$C$1000)*1,("Var_cap"=[1]OUT_SyntheticFuels!$B$4:$B$1000)*1,[1]OUT_SyntheticFuels!N$4:N$1000)</f>
        <v>1.072351385504338E-2</v>
      </c>
      <c r="P2049" s="7" cm="1">
        <f t="array" ref="P2049">SUMPRODUCT(("SUP_H2GSL"=[1]OUT_SyntheticFuels!$C$4:$C$1000)*1,("Var_cap"=[1]OUT_SyntheticFuels!$B$4:$B$1000)*1,[1]OUT_SyntheticFuels!O$4:O$1000)</f>
        <v>1.0723886561576426E-2</v>
      </c>
      <c r="Q2049" s="7" cm="1">
        <f t="array" ref="Q2049">SUMPRODUCT(("SUP_H2GSL"=[1]OUT_SyntheticFuels!$C$4:$C$1000)*1,("Var_cap"=[1]OUT_SyntheticFuels!$B$4:$B$1000)*1,[1]OUT_SyntheticFuels!P$4:P$1000)</f>
        <v>9.024788792150646E-3</v>
      </c>
      <c r="S2049" s="3"/>
    </row>
    <row r="2050" spans="2:19" x14ac:dyDescent="0.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211">SUM(F2051,F2053,F2057,F2061,F2077,F2084,F2092,F2094,F2102,F2106,F2100)</f>
        <v>2.6303775398212582E-3</v>
      </c>
      <c r="G2050" s="3">
        <f t="shared" si="2211"/>
        <v>1.3847048723343778</v>
      </c>
      <c r="H2050" s="3">
        <f t="shared" si="2211"/>
        <v>5.09812487219176</v>
      </c>
      <c r="I2050" s="3">
        <f t="shared" si="2211"/>
        <v>5.6770075662059831</v>
      </c>
      <c r="J2050" s="3">
        <f t="shared" si="2211"/>
        <v>8.3825067551886985</v>
      </c>
      <c r="K2050" s="3">
        <f t="shared" si="2211"/>
        <v>3.8526873954578753</v>
      </c>
      <c r="L2050" s="3">
        <f t="shared" ref="L2050:O2050" si="2212">SUM(L2051,L2053,L2057,L2061,L2077,L2084,L2092,L2094,L2102,L2106,L2100)</f>
        <v>9.293091205406709</v>
      </c>
      <c r="M2050" s="3">
        <f t="shared" si="2212"/>
        <v>7.3571441292092405</v>
      </c>
      <c r="N2050" s="3">
        <f t="shared" si="2212"/>
        <v>8.6395392868248599</v>
      </c>
      <c r="O2050" s="3">
        <f t="shared" si="2212"/>
        <v>6.6129466458230981</v>
      </c>
      <c r="P2050" s="3">
        <f>SUM(P2051,P2053,P2057,P2061,P2077,P2084,P2092,P2094,P2102,P2106,P2100)</f>
        <v>9.9855382225974676</v>
      </c>
      <c r="Q2050" s="3">
        <f>SUM(Q2051,Q2053,Q2057,Q2061,Q2077,Q2084,Q2092,Q2094,Q2102,Q2106,Q2100)</f>
        <v>7.1874067246681852</v>
      </c>
      <c r="S2050" s="3"/>
    </row>
    <row r="2051" spans="2:19" x14ac:dyDescent="0.5">
      <c r="B2051" s="5" t="str">
        <f>B2050</f>
        <v>SPS1</v>
      </c>
      <c r="C2051" s="5" t="str">
        <f t="shared" ref="C2051:C2113" si="2213">C2050</f>
        <v>CH</v>
      </c>
      <c r="D2051" t="s">
        <v>2180</v>
      </c>
      <c r="E2051" t="str">
        <f t="shared" ref="E2051:E2082" si="2214">E2050</f>
        <v>GWe/yr.</v>
      </c>
      <c r="F2051" s="1">
        <f t="shared" ref="F2051:O2051" si="2215">+F2052</f>
        <v>0</v>
      </c>
      <c r="G2051" s="1">
        <f t="shared" si="2215"/>
        <v>1.2329269168969399</v>
      </c>
      <c r="H2051" s="1">
        <f t="shared" si="2215"/>
        <v>1.00976889545327</v>
      </c>
      <c r="I2051" s="1">
        <f t="shared" si="2215"/>
        <v>0</v>
      </c>
      <c r="J2051" s="1">
        <f t="shared" si="2215"/>
        <v>0</v>
      </c>
      <c r="K2051" s="1">
        <f t="shared" si="2215"/>
        <v>0</v>
      </c>
      <c r="L2051" s="1">
        <f t="shared" si="2215"/>
        <v>0</v>
      </c>
      <c r="M2051" s="1">
        <f t="shared" si="2215"/>
        <v>0.60889257762651383</v>
      </c>
      <c r="N2051" s="1">
        <f t="shared" si="2215"/>
        <v>1.2855859479528722</v>
      </c>
      <c r="O2051" s="1">
        <f t="shared" si="2215"/>
        <v>3.7022615679598242E-3</v>
      </c>
      <c r="P2051" s="1">
        <f>+P2052</f>
        <v>1.5792684364734023E-3</v>
      </c>
      <c r="Q2051" s="1">
        <f>+Q2052</f>
        <v>0</v>
      </c>
      <c r="S2051" s="3"/>
    </row>
    <row r="2052" spans="2:19" x14ac:dyDescent="0.5">
      <c r="B2052" s="5" t="str">
        <f t="shared" ref="B2052:B2113" si="2216">B2051</f>
        <v>SPS1</v>
      </c>
      <c r="C2052" s="5" t="str">
        <f t="shared" si="2213"/>
        <v>CH</v>
      </c>
      <c r="D2052" t="s">
        <v>2181</v>
      </c>
      <c r="E2052" t="str">
        <f t="shared" si="2214"/>
        <v>GWe/yr.</v>
      </c>
      <c r="F2052" s="1">
        <f>'[1]Electricity and CHPs_NCAP'!B$14</f>
        <v>0</v>
      </c>
      <c r="G2052" s="1">
        <f>'[1]Electricity and CHPs_NCAP'!C$14</f>
        <v>1.2329269168969399</v>
      </c>
      <c r="H2052" s="1">
        <f>'[1]Electricity and CHPs_NCAP'!D$14</f>
        <v>1.00976889545327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0</v>
      </c>
      <c r="L2052" s="1">
        <f>'[1]Electricity and CHPs_NCAP'!H$14</f>
        <v>0</v>
      </c>
      <c r="M2052" s="1">
        <f>'[1]Electricity and CHPs_NCAP'!I$14</f>
        <v>0.60889257762651383</v>
      </c>
      <c r="N2052" s="1">
        <f>'[1]Electricity and CHPs_NCAP'!J$14</f>
        <v>1.2855859479528722</v>
      </c>
      <c r="O2052" s="1">
        <f>'[1]Electricity and CHPs_NCAP'!K$14</f>
        <v>3.7022615679598242E-3</v>
      </c>
      <c r="P2052" s="1">
        <f>'[1]Electricity and CHPs_NCAP'!L$14</f>
        <v>1.5792684364734023E-3</v>
      </c>
      <c r="Q2052" s="1">
        <f>'[1]Electricity and CHPs_NCAP'!M$14</f>
        <v>0</v>
      </c>
      <c r="S2052" s="3"/>
    </row>
    <row r="2053" spans="2:19" x14ac:dyDescent="0.5">
      <c r="B2053" s="5" t="str">
        <f t="shared" si="2216"/>
        <v>SPS1</v>
      </c>
      <c r="C2053" s="5" t="str">
        <f t="shared" si="2213"/>
        <v>CH</v>
      </c>
      <c r="D2053" t="s">
        <v>2182</v>
      </c>
      <c r="E2053" t="str">
        <f t="shared" si="2214"/>
        <v>GWe/yr.</v>
      </c>
      <c r="F2053" s="1">
        <f t="shared" ref="F2053:K2053" si="2217">SUM(F2054:F2056)</f>
        <v>0</v>
      </c>
      <c r="G2053" s="1">
        <f t="shared" si="2217"/>
        <v>1.9619339475014166E-3</v>
      </c>
      <c r="H2053" s="1">
        <f t="shared" si="2217"/>
        <v>4.4839907578533469E-2</v>
      </c>
      <c r="I2053" s="1">
        <f t="shared" si="2217"/>
        <v>9.227233004984188E-2</v>
      </c>
      <c r="J2053" s="1">
        <f t="shared" si="2217"/>
        <v>0.16774500576232043</v>
      </c>
      <c r="K2053" s="1">
        <f t="shared" si="2217"/>
        <v>6.8465459245079505E-2</v>
      </c>
      <c r="L2053" s="1">
        <f t="shared" ref="L2053:O2053" si="2218">SUM(L2054:L2056)</f>
        <v>1.6735557551698475E-6</v>
      </c>
      <c r="M2053" s="1">
        <f t="shared" si="2218"/>
        <v>7.1235836390257703E-5</v>
      </c>
      <c r="N2053" s="1">
        <f t="shared" si="2218"/>
        <v>1.739478521922393E-6</v>
      </c>
      <c r="O2053" s="1">
        <f t="shared" si="2218"/>
        <v>2.9523820786253867E-4</v>
      </c>
      <c r="P2053" s="1">
        <f>SUM(P2054:P2056)</f>
        <v>2.2138460326220618E-6</v>
      </c>
      <c r="Q2053" s="1">
        <f>SUM(Q2054:Q2056)</f>
        <v>7.4537397305634296E-5</v>
      </c>
      <c r="S2053" s="3"/>
    </row>
    <row r="2054" spans="2:19" x14ac:dyDescent="0.5">
      <c r="B2054" s="5" t="str">
        <f t="shared" si="2216"/>
        <v>SPS1</v>
      </c>
      <c r="C2054" s="5" t="str">
        <f t="shared" si="2213"/>
        <v>CH</v>
      </c>
      <c r="D2054" t="s">
        <v>2183</v>
      </c>
      <c r="E2054" t="str">
        <f t="shared" si="2214"/>
        <v>GWe/yr.</v>
      </c>
      <c r="F2054" s="1">
        <f>'[1]Electricity and CHPs_NCAP'!B$15</f>
        <v>0</v>
      </c>
      <c r="G2054" s="1">
        <f>'[1]Electricity and CHPs_NCAP'!C$15</f>
        <v>1.473218600302728E-3</v>
      </c>
      <c r="H2054" s="1">
        <f>'[1]Electricity and CHPs_NCAP'!D$15</f>
        <v>1.9714528779918271E-2</v>
      </c>
      <c r="I2054" s="1">
        <f>'[1]Electricity and CHPs_NCAP'!E$15</f>
        <v>9.1684610209738504E-2</v>
      </c>
      <c r="J2054" s="1">
        <f>'[1]Electricity and CHPs_NCAP'!F$15</f>
        <v>0.16773107126263698</v>
      </c>
      <c r="K2054" s="1">
        <f>'[1]Electricity and CHPs_NCAP'!G$15</f>
        <v>6.8402600282156709E-2</v>
      </c>
      <c r="L2054" s="1">
        <f>'[1]Electricity and CHPs_NCAP'!H$15</f>
        <v>2.4499164448857512E-7</v>
      </c>
      <c r="M2054" s="1">
        <f>'[1]Electricity and CHPs_NCAP'!I$15</f>
        <v>4.4384539829930283E-7</v>
      </c>
      <c r="N2054" s="1">
        <f>'[1]Electricity and CHPs_NCAP'!J$15</f>
        <v>3.9792349801492529E-7</v>
      </c>
      <c r="O2054" s="1">
        <f>'[1]Electricity and CHPs_NCAP'!K$15</f>
        <v>3.274226595525262E-6</v>
      </c>
      <c r="P2054" s="1">
        <f>'[1]Electricity and CHPs_NCAP'!L$15</f>
        <v>6.2114126259926103E-7</v>
      </c>
      <c r="Q2054" s="1">
        <f>'[1]Electricity and CHPs_NCAP'!M$15</f>
        <v>1.14450553316777E-7</v>
      </c>
      <c r="S2054" s="3"/>
    </row>
    <row r="2055" spans="2:19" x14ac:dyDescent="0.5">
      <c r="B2055" s="5" t="str">
        <f t="shared" si="2216"/>
        <v>SPS1</v>
      </c>
      <c r="C2055" s="5" t="str">
        <f t="shared" si="2213"/>
        <v>CH</v>
      </c>
      <c r="D2055" t="s">
        <v>2184</v>
      </c>
      <c r="E2055" t="str">
        <f t="shared" si="2214"/>
        <v>GWe/yr.</v>
      </c>
      <c r="F2055" s="1">
        <f>'[1]Electricity and CHPs_NCAP'!B$16</f>
        <v>0</v>
      </c>
      <c r="G2055" s="1">
        <f>'[1]Electricity and CHPs_NCAP'!C$16</f>
        <v>3.2125636171755648E-4</v>
      </c>
      <c r="H2055" s="1">
        <f>'[1]Electricity and CHPs_NCAP'!D$16</f>
        <v>2.5124665132696056E-2</v>
      </c>
      <c r="I2055" s="1">
        <f>'[1]Electricity and CHPs_NCAP'!E$16</f>
        <v>5.8687504173164022E-4</v>
      </c>
      <c r="J2055" s="1">
        <f>'[1]Electricity and CHPs_NCAP'!F$16</f>
        <v>1.3364582991630607E-5</v>
      </c>
      <c r="K2055" s="1">
        <f>'[1]Electricity and CHPs_NCAP'!G$16</f>
        <v>8.8333258330886295E-7</v>
      </c>
      <c r="L2055" s="1">
        <f>'[1]Electricity and CHPs_NCAP'!H$16</f>
        <v>1.0883266875931564E-6</v>
      </c>
      <c r="M2055" s="1">
        <f>'[1]Electricity and CHPs_NCAP'!I$16</f>
        <v>5.8873223966709713E-7</v>
      </c>
      <c r="N2055" s="1">
        <f>'[1]Electricity and CHPs_NCAP'!J$16</f>
        <v>2.5769037765401777E-7</v>
      </c>
      <c r="O2055" s="1">
        <f>'[1]Electricity and CHPs_NCAP'!K$16</f>
        <v>9.9124445043344393E-7</v>
      </c>
      <c r="P2055" s="1">
        <f>'[1]Electricity and CHPs_NCAP'!L$16</f>
        <v>1.592704770022801E-6</v>
      </c>
      <c r="Q2055" s="1">
        <f>'[1]Electricity and CHPs_NCAP'!M$16</f>
        <v>7.4422946752317521E-5</v>
      </c>
      <c r="S2055" s="3"/>
    </row>
    <row r="2056" spans="2:19" x14ac:dyDescent="0.5">
      <c r="B2056" s="5" t="str">
        <f t="shared" si="2216"/>
        <v>SPS1</v>
      </c>
      <c r="C2056" s="5" t="str">
        <f t="shared" si="2213"/>
        <v>CH</v>
      </c>
      <c r="D2056" t="s">
        <v>2185</v>
      </c>
      <c r="E2056" t="str">
        <f t="shared" si="2214"/>
        <v>GWe/yr.</v>
      </c>
      <c r="F2056" s="1">
        <f>'[1]Electricity and CHPs_NCAP'!B$17</f>
        <v>0</v>
      </c>
      <c r="G2056" s="1">
        <f>'[1]Electricity and CHPs_NCAP'!C$17</f>
        <v>1.67458985481132E-4</v>
      </c>
      <c r="H2056" s="1">
        <f>'[1]Electricity and CHPs_NCAP'!D$17</f>
        <v>7.1366591913953997E-7</v>
      </c>
      <c r="I2056" s="1">
        <f>'[1]Electricity and CHPs_NCAP'!E$17</f>
        <v>8.4479837173282004E-7</v>
      </c>
      <c r="J2056" s="1">
        <f>'[1]Electricity and CHPs_NCAP'!F$17</f>
        <v>5.6991669180793203E-7</v>
      </c>
      <c r="K2056" s="1">
        <f>'[1]Electricity and CHPs_NCAP'!G$17</f>
        <v>6.1975630339479196E-5</v>
      </c>
      <c r="L2056" s="1">
        <f>'[1]Electricity and CHPs_NCAP'!H$17</f>
        <v>3.4023742308811599E-7</v>
      </c>
      <c r="M2056" s="1">
        <f>'[1]Electricity and CHPs_NCAP'!I$17</f>
        <v>7.02032587522913E-5</v>
      </c>
      <c r="N2056" s="1">
        <f>'[1]Electricity and CHPs_NCAP'!J$17</f>
        <v>1.08386464625345E-6</v>
      </c>
      <c r="O2056" s="1">
        <f>'[1]Electricity and CHPs_NCAP'!K$17</f>
        <v>2.9097273681657999E-4</v>
      </c>
      <c r="P2056" s="1">
        <f>'[1]Electricity and CHPs_NCAP'!L$17</f>
        <v>0</v>
      </c>
      <c r="Q2056" s="1">
        <f>'[1]Electricity and CHPs_NCAP'!M$17</f>
        <v>0</v>
      </c>
      <c r="S2056" s="3"/>
    </row>
    <row r="2057" spans="2:19" x14ac:dyDescent="0.5">
      <c r="B2057" s="5" t="str">
        <f t="shared" si="2216"/>
        <v>SPS1</v>
      </c>
      <c r="C2057" s="5" t="str">
        <f t="shared" si="2213"/>
        <v>CH</v>
      </c>
      <c r="D2057" t="s">
        <v>2186</v>
      </c>
      <c r="E2057" t="str">
        <f t="shared" si="2214"/>
        <v>GWe/yr.</v>
      </c>
      <c r="F2057" s="1">
        <f t="shared" ref="F2057:K2057" si="2219">SUM(F2058:F2060)</f>
        <v>0</v>
      </c>
      <c r="G2057" s="1">
        <f t="shared" si="2219"/>
        <v>2.135019599139678E-2</v>
      </c>
      <c r="H2057" s="1">
        <f t="shared" si="2219"/>
        <v>1.2747738889964213E-3</v>
      </c>
      <c r="I2057" s="1">
        <f t="shared" si="2219"/>
        <v>5.8139497194347647E-2</v>
      </c>
      <c r="J2057" s="1">
        <f t="shared" si="2219"/>
        <v>7.0016249120580494E-3</v>
      </c>
      <c r="K2057" s="1">
        <f t="shared" si="2219"/>
        <v>6.1839609823887412E-3</v>
      </c>
      <c r="L2057" s="1">
        <f t="shared" ref="L2057:O2057" si="2220">SUM(L2058:L2060)</f>
        <v>6.3107084162773086E-3</v>
      </c>
      <c r="M2057" s="1">
        <f t="shared" si="2220"/>
        <v>1.8172334545713189E-5</v>
      </c>
      <c r="N2057" s="1">
        <f t="shared" si="2220"/>
        <v>1.904549337741155E-2</v>
      </c>
      <c r="O2057" s="1">
        <f t="shared" si="2220"/>
        <v>2.2269211254134089E-4</v>
      </c>
      <c r="P2057" s="1">
        <f>SUM(P2058:P2060)</f>
        <v>1.2343616315096527E-2</v>
      </c>
      <c r="Q2057" s="1">
        <f>SUM(Q2058:Q2060)</f>
        <v>1.9142963479264467E-2</v>
      </c>
      <c r="S2057" s="3"/>
    </row>
    <row r="2058" spans="2:19" x14ac:dyDescent="0.5">
      <c r="B2058" s="5" t="str">
        <f t="shared" si="2216"/>
        <v>SPS1</v>
      </c>
      <c r="C2058" s="5" t="str">
        <f t="shared" si="2213"/>
        <v>CH</v>
      </c>
      <c r="D2058" t="s">
        <v>2187</v>
      </c>
      <c r="E2058" t="str">
        <f t="shared" si="2214"/>
        <v>GWe/yr.</v>
      </c>
      <c r="F2058" s="1">
        <f>'[1]Electricity and CHPs_NCAP'!B$18</f>
        <v>0</v>
      </c>
      <c r="G2058" s="1">
        <f>'[1]Electricity and CHPs_NCAP'!C$18</f>
        <v>3.2501113688510099E-6</v>
      </c>
      <c r="H2058" s="1">
        <f>'[1]Electricity and CHPs_NCAP'!D$18</f>
        <v>1.2735752896365299E-3</v>
      </c>
      <c r="I2058" s="1">
        <f>'[1]Electricity and CHPs_NCAP'!E$18</f>
        <v>5.8138045857385898E-2</v>
      </c>
      <c r="J2058" s="1">
        <f>'[1]Electricity and CHPs_NCAP'!F$18</f>
        <v>6.994740264624E-3</v>
      </c>
      <c r="K2058" s="1">
        <f>'[1]Electricity and CHPs_NCAP'!G$18</f>
        <v>6.1185432639097696E-3</v>
      </c>
      <c r="L2058" s="1">
        <f>'[1]Electricity and CHPs_NCAP'!H$18</f>
        <v>6.2385951109996804E-3</v>
      </c>
      <c r="M2058" s="1">
        <f>'[1]Electricity and CHPs_NCAP'!I$18</f>
        <v>1.2778690587103501E-5</v>
      </c>
      <c r="N2058" s="1">
        <f>'[1]Electricity and CHPs_NCAP'!J$18</f>
        <v>3.1470420927380598E-4</v>
      </c>
      <c r="O2058" s="1">
        <f>'[1]Electricity and CHPs_NCAP'!K$18</f>
        <v>3.6218333779203899E-5</v>
      </c>
      <c r="P2058" s="1">
        <f>'[1]Electricity and CHPs_NCAP'!L$18</f>
        <v>5.0949381884985399E-4</v>
      </c>
      <c r="Q2058" s="1">
        <f>'[1]Electricity and CHPs_NCAP'!M$18</f>
        <v>1.0718445468817299E-2</v>
      </c>
      <c r="S2058" s="3"/>
    </row>
    <row r="2059" spans="2:19" x14ac:dyDescent="0.5">
      <c r="B2059" s="5" t="str">
        <f t="shared" si="2216"/>
        <v>SPS1</v>
      </c>
      <c r="C2059" s="5" t="str">
        <f t="shared" si="2213"/>
        <v>CH</v>
      </c>
      <c r="D2059" t="s">
        <v>2188</v>
      </c>
      <c r="E2059" t="str">
        <f t="shared" si="2214"/>
        <v>GWe/yr.</v>
      </c>
      <c r="F2059" s="1">
        <f>'[1]Electricity and CHPs_NCAP'!B$28</f>
        <v>0</v>
      </c>
      <c r="G2059" s="1">
        <f>'[1]Electricity and CHPs_NCAP'!C$28</f>
        <v>1.2040674626284201E-6</v>
      </c>
      <c r="H2059" s="1">
        <f>'[1]Electricity and CHPs_NCAP'!D$28</f>
        <v>1.1985993598912601E-6</v>
      </c>
      <c r="I2059" s="1">
        <f>'[1]Electricity and CHPs_NCAP'!E$28</f>
        <v>1.4513369617515301E-6</v>
      </c>
      <c r="J2059" s="1">
        <f>'[1]Electricity and CHPs_NCAP'!F$28</f>
        <v>6.88464743404936E-6</v>
      </c>
      <c r="K2059" s="1">
        <f>'[1]Electricity and CHPs_NCAP'!G$28</f>
        <v>6.5417718478971305E-5</v>
      </c>
      <c r="L2059" s="1">
        <f>'[1]Electricity and CHPs_NCAP'!H$28</f>
        <v>7.2113305277628594E-5</v>
      </c>
      <c r="M2059" s="1">
        <f>'[1]Electricity and CHPs_NCAP'!I$28</f>
        <v>5.39364395860969E-6</v>
      </c>
      <c r="N2059" s="1">
        <f>'[1]Electricity and CHPs_NCAP'!J$28</f>
        <v>6.0337507261416501E-6</v>
      </c>
      <c r="O2059" s="1">
        <f>'[1]Electricity and CHPs_NCAP'!K$28</f>
        <v>9.1894951368309095E-5</v>
      </c>
      <c r="P2059" s="1">
        <f>'[1]Electricity and CHPs_NCAP'!L$28</f>
        <v>4.3740260189972898E-5</v>
      </c>
      <c r="Q2059" s="1">
        <f>'[1]Electricity and CHPs_NCAP'!M$28</f>
        <v>1.24276173906069E-4</v>
      </c>
      <c r="S2059" s="3"/>
    </row>
    <row r="2060" spans="2:19" x14ac:dyDescent="0.5">
      <c r="B2060" s="5" t="str">
        <f t="shared" si="2216"/>
        <v>SPS1</v>
      </c>
      <c r="C2060" s="5" t="str">
        <f t="shared" si="2213"/>
        <v>CH</v>
      </c>
      <c r="D2060" t="s">
        <v>2189</v>
      </c>
      <c r="E2060" t="str">
        <f t="shared" si="2214"/>
        <v>GWe/yr.</v>
      </c>
      <c r="F2060" s="1">
        <f>'[1]Electricity and CHPs_NCAP'!B$41</f>
        <v>0</v>
      </c>
      <c r="G2060" s="1">
        <f>'[1]Electricity and CHPs_NCAP'!C$41</f>
        <v>2.1345741812565301E-2</v>
      </c>
      <c r="H2060" s="1">
        <f>'[1]Electricity and CHPs_NCAP'!D$41</f>
        <v>0</v>
      </c>
      <c r="I2060" s="1">
        <f>'[1]Electricity and CHPs_NCAP'!E$41</f>
        <v>0</v>
      </c>
      <c r="J2060" s="1">
        <f>'[1]Electricity and CHPs_NCAP'!F$41</f>
        <v>0</v>
      </c>
      <c r="K2060" s="1">
        <f>'[1]Electricity and CHPs_NCAP'!G$41</f>
        <v>0</v>
      </c>
      <c r="L2060" s="1">
        <f>'[1]Electricity and CHPs_NCAP'!H$41</f>
        <v>0</v>
      </c>
      <c r="M2060" s="1">
        <f>'[1]Electricity and CHPs_NCAP'!I$41</f>
        <v>0</v>
      </c>
      <c r="N2060" s="1">
        <f>'[1]Electricity and CHPs_NCAP'!J$41</f>
        <v>1.8724755417411601E-2</v>
      </c>
      <c r="O2060" s="1">
        <f>'[1]Electricity and CHPs_NCAP'!K$41</f>
        <v>9.4578827393827905E-5</v>
      </c>
      <c r="P2060" s="1">
        <f>'[1]Electricity and CHPs_NCAP'!L$41</f>
        <v>1.1790382236056701E-2</v>
      </c>
      <c r="Q2060" s="1">
        <f>'[1]Electricity and CHPs_NCAP'!M$41</f>
        <v>8.3002418365411001E-3</v>
      </c>
      <c r="S2060" s="3"/>
    </row>
    <row r="2061" spans="2:19" x14ac:dyDescent="0.5">
      <c r="B2061" s="5" t="str">
        <f t="shared" si="2216"/>
        <v>SPS1</v>
      </c>
      <c r="C2061" s="5" t="str">
        <f t="shared" si="2213"/>
        <v>CH</v>
      </c>
      <c r="D2061" t="s">
        <v>2190</v>
      </c>
      <c r="E2061" t="str">
        <f t="shared" si="2214"/>
        <v>GWe/yr.</v>
      </c>
      <c r="F2061" s="1">
        <f t="shared" ref="F2061:K2061" si="2221">SUM(F2062:F2076)</f>
        <v>0</v>
      </c>
      <c r="G2061" s="1">
        <f t="shared" si="2221"/>
        <v>0.11388773643372706</v>
      </c>
      <c r="H2061" s="1">
        <f t="shared" si="2221"/>
        <v>6.5751585661223706E-3</v>
      </c>
      <c r="I2061" s="1">
        <f t="shared" si="2221"/>
        <v>2.6274622365826325E-2</v>
      </c>
      <c r="J2061" s="1">
        <f t="shared" si="2221"/>
        <v>0.10487011530501184</v>
      </c>
      <c r="K2061" s="1">
        <f t="shared" si="2221"/>
        <v>5.035342710563414E-2</v>
      </c>
      <c r="L2061" s="1">
        <f t="shared" ref="L2061:O2061" si="2222">SUM(L2062:L2076)</f>
        <v>0.1918644340982919</v>
      </c>
      <c r="M2061" s="1">
        <f t="shared" si="2222"/>
        <v>9.6647017352051223E-2</v>
      </c>
      <c r="N2061" s="1">
        <f t="shared" si="2222"/>
        <v>0.12518932816538811</v>
      </c>
      <c r="O2061" s="1">
        <f t="shared" si="2222"/>
        <v>0.23858988950696369</v>
      </c>
      <c r="P2061" s="1">
        <f>SUM(P2062:P2076)</f>
        <v>0.14504914634093635</v>
      </c>
      <c r="Q2061" s="1">
        <f>SUM(Q2062:Q2076)</f>
        <v>8.7756241740987215E-2</v>
      </c>
      <c r="S2061" s="3"/>
    </row>
    <row r="2062" spans="2:19" x14ac:dyDescent="0.5">
      <c r="B2062" s="5" t="str">
        <f t="shared" si="2216"/>
        <v>SPS1</v>
      </c>
      <c r="C2062" s="5" t="str">
        <f t="shared" si="2213"/>
        <v>CH</v>
      </c>
      <c r="D2062" t="s">
        <v>2191</v>
      </c>
      <c r="E2062" t="str">
        <f t="shared" si="2214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4.6446404150950601E-6</v>
      </c>
      <c r="L2062" s="1">
        <f>'[1]Electricity and CHPs_NCAP'!H$21</f>
        <v>5.0535471915400798E-6</v>
      </c>
      <c r="M2062" s="1">
        <f>'[1]Electricity and CHPs_NCAP'!I$21</f>
        <v>1.3411763417222101E-4</v>
      </c>
      <c r="N2062" s="1">
        <f>'[1]Electricity and CHPs_NCAP'!J$21</f>
        <v>2.2253190546457901E-4</v>
      </c>
      <c r="O2062" s="1">
        <f>'[1]Electricity and CHPs_NCAP'!K$21</f>
        <v>2.5703899785862699E-6</v>
      </c>
      <c r="P2062" s="1">
        <f>'[1]Electricity and CHPs_NCAP'!L$21</f>
        <v>1.9443311660334299E-4</v>
      </c>
      <c r="Q2062" s="1">
        <f>'[1]Electricity and CHPs_NCAP'!M$21</f>
        <v>0</v>
      </c>
      <c r="S2062" s="3"/>
    </row>
    <row r="2063" spans="2:19" x14ac:dyDescent="0.5">
      <c r="B2063" s="5" t="str">
        <f t="shared" si="2216"/>
        <v>SPS1</v>
      </c>
      <c r="C2063" s="5" t="str">
        <f t="shared" si="2213"/>
        <v>CH</v>
      </c>
      <c r="D2063" t="s">
        <v>2192</v>
      </c>
      <c r="E2063" t="str">
        <f t="shared" si="2214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5.1785096002158505E-4</v>
      </c>
      <c r="K2063" s="1">
        <f>'[1]Electricity and CHPs_NCAP'!G$22</f>
        <v>5.6480280533947402E-6</v>
      </c>
      <c r="L2063" s="1">
        <f>'[1]Electricity and CHPs_NCAP'!H$22</f>
        <v>3.2319536813564198E-2</v>
      </c>
      <c r="M2063" s="1">
        <f>'[1]Electricity and CHPs_NCAP'!I$22</f>
        <v>1.99928594174961E-5</v>
      </c>
      <c r="N2063" s="1">
        <f>'[1]Electricity and CHPs_NCAP'!J$22</f>
        <v>1.7244227591901999E-5</v>
      </c>
      <c r="O2063" s="1">
        <f>'[1]Electricity and CHPs_NCAP'!K$22</f>
        <v>1.0962418188584299E-5</v>
      </c>
      <c r="P2063" s="1">
        <f>'[1]Electricity and CHPs_NCAP'!L$22</f>
        <v>1.4060904381396901E-4</v>
      </c>
      <c r="Q2063" s="1">
        <f>'[1]Electricity and CHPs_NCAP'!M$22</f>
        <v>0</v>
      </c>
      <c r="S2063" s="3"/>
    </row>
    <row r="2064" spans="2:19" x14ac:dyDescent="0.5">
      <c r="B2064" s="5" t="str">
        <f t="shared" si="2216"/>
        <v>SPS1</v>
      </c>
      <c r="C2064" s="5" t="str">
        <f t="shared" si="2213"/>
        <v>CH</v>
      </c>
      <c r="D2064" t="s">
        <v>2193</v>
      </c>
      <c r="E2064" t="str">
        <f t="shared" si="2214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3.9297094927572203E-6</v>
      </c>
      <c r="M2064" s="1">
        <f>'[1]Electricity and CHPs_NCAP'!I$23</f>
        <v>0</v>
      </c>
      <c r="N2064" s="1">
        <f>'[1]Electricity and CHPs_NCAP'!J$23</f>
        <v>4.7020925266111104E-3</v>
      </c>
      <c r="O2064" s="1">
        <f>'[1]Electricity and CHPs_NCAP'!K$23</f>
        <v>8.1112107671710102E-7</v>
      </c>
      <c r="P2064" s="1">
        <f>'[1]Electricity and CHPs_NCAP'!L$23</f>
        <v>1.60016408023792E-6</v>
      </c>
      <c r="Q2064" s="1">
        <f>'[1]Electricity and CHPs_NCAP'!M$23</f>
        <v>0</v>
      </c>
      <c r="S2064" s="3"/>
    </row>
    <row r="2065" spans="2:19" x14ac:dyDescent="0.5">
      <c r="B2065" s="5" t="str">
        <f t="shared" si="2216"/>
        <v>SPS1</v>
      </c>
      <c r="C2065" s="5" t="str">
        <f t="shared" si="2213"/>
        <v>CH</v>
      </c>
      <c r="D2065" t="s">
        <v>2194</v>
      </c>
      <c r="E2065" t="str">
        <f t="shared" si="2214"/>
        <v>GWe/yr.</v>
      </c>
      <c r="F2065" s="1">
        <f>'[1]Electricity and CHPs_NCAP'!B$24</f>
        <v>0</v>
      </c>
      <c r="G2065" s="1">
        <f>'[1]Electricity and CHPs_NCAP'!C$24</f>
        <v>1.93904257886529E-7</v>
      </c>
      <c r="H2065" s="1">
        <f>'[1]Electricity and CHPs_NCAP'!D$24</f>
        <v>0</v>
      </c>
      <c r="I2065" s="1">
        <f>'[1]Electricity and CHPs_NCAP'!E$24</f>
        <v>0</v>
      </c>
      <c r="J2065" s="1">
        <f>'[1]Electricity and CHPs_NCAP'!F$24</f>
        <v>0</v>
      </c>
      <c r="K2065" s="1">
        <f>'[1]Electricity and CHPs_NCAP'!G$24</f>
        <v>0</v>
      </c>
      <c r="L2065" s="1">
        <f>'[1]Electricity and CHPs_NCAP'!H$24</f>
        <v>0</v>
      </c>
      <c r="M2065" s="1">
        <f>'[1]Electricity and CHPs_NCAP'!I$24</f>
        <v>0</v>
      </c>
      <c r="N2065" s="1">
        <f>'[1]Electricity and CHPs_NCAP'!J$24</f>
        <v>0</v>
      </c>
      <c r="O2065" s="1">
        <f>'[1]Electricity and CHPs_NCAP'!K$24</f>
        <v>0</v>
      </c>
      <c r="P2065" s="1">
        <f>'[1]Electricity and CHPs_NCAP'!L$24</f>
        <v>0</v>
      </c>
      <c r="Q2065" s="1">
        <f>'[1]Electricity and CHPs_NCAP'!M$24</f>
        <v>0</v>
      </c>
      <c r="S2065" s="3"/>
    </row>
    <row r="2066" spans="2:19" x14ac:dyDescent="0.5">
      <c r="B2066" s="5" t="str">
        <f t="shared" si="2216"/>
        <v>SPS1</v>
      </c>
      <c r="C2066" s="5" t="str">
        <f t="shared" si="2213"/>
        <v>CH</v>
      </c>
      <c r="D2066" t="s">
        <v>2195</v>
      </c>
      <c r="E2066" t="str">
        <f t="shared" si="2214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0</v>
      </c>
      <c r="L2066" s="1">
        <f>'[1]Electricity and CHPs_NCAP'!H$29</f>
        <v>0</v>
      </c>
      <c r="M2066" s="1">
        <f>'[1]Electricity and CHPs_NCAP'!I$29</f>
        <v>0</v>
      </c>
      <c r="N2066" s="1">
        <f>'[1]Electricity and CHPs_NCAP'!J$29</f>
        <v>0</v>
      </c>
      <c r="O2066" s="1">
        <f>'[1]Electricity and CHPs_NCAP'!K$29</f>
        <v>0</v>
      </c>
      <c r="P2066" s="1">
        <f>'[1]Electricity and CHPs_NCAP'!L$29</f>
        <v>0</v>
      </c>
      <c r="Q2066" s="1">
        <f>'[1]Electricity and CHPs_NCAP'!M$29</f>
        <v>0</v>
      </c>
      <c r="S2066" s="3"/>
    </row>
    <row r="2067" spans="2:19" x14ac:dyDescent="0.5">
      <c r="B2067" s="5" t="str">
        <f t="shared" si="2216"/>
        <v>SPS1</v>
      </c>
      <c r="C2067" s="5" t="str">
        <f t="shared" si="2213"/>
        <v>CH</v>
      </c>
      <c r="D2067" t="s">
        <v>2196</v>
      </c>
      <c r="E2067" t="str">
        <f t="shared" si="2214"/>
        <v>GWe/yr.</v>
      </c>
      <c r="F2067" s="1">
        <f>'[1]Electricity and CHPs_NCAP'!B$39</f>
        <v>0</v>
      </c>
      <c r="G2067" s="1">
        <f>'[1]Electricity and CHPs_NCAP'!C$39</f>
        <v>4.8382476227362305E-7</v>
      </c>
      <c r="H2067" s="1">
        <f>'[1]Electricity and CHPs_NCAP'!D$39</f>
        <v>2.6179959703700202E-6</v>
      </c>
      <c r="I2067" s="1">
        <f>'[1]Electricity and CHPs_NCAP'!E$39</f>
        <v>1.3996669963660601E-2</v>
      </c>
      <c r="J2067" s="1">
        <f>'[1]Electricity and CHPs_NCAP'!F$39</f>
        <v>3.4375302427807203E-2</v>
      </c>
      <c r="K2067" s="1">
        <f>'[1]Electricity and CHPs_NCAP'!G$39</f>
        <v>2.0200898836181199E-2</v>
      </c>
      <c r="L2067" s="1">
        <f>'[1]Electricity and CHPs_NCAP'!H$39</f>
        <v>3.2950737023848542E-6</v>
      </c>
      <c r="M2067" s="1">
        <f>'[1]Electricity and CHPs_NCAP'!I$39</f>
        <v>4.7582232896782812E-3</v>
      </c>
      <c r="N2067" s="1">
        <f>'[1]Electricity and CHPs_NCAP'!J$39</f>
        <v>2.2008600459293301E-2</v>
      </c>
      <c r="O2067" s="1">
        <f>'[1]Electricity and CHPs_NCAP'!K$39</f>
        <v>1.6795039668144E-2</v>
      </c>
      <c r="P2067" s="1">
        <f>'[1]Electricity and CHPs_NCAP'!L$39</f>
        <v>1.3663907213140699E-2</v>
      </c>
      <c r="Q2067" s="1">
        <f>'[1]Electricity and CHPs_NCAP'!M$39</f>
        <v>2.9868131884727873E-4</v>
      </c>
      <c r="S2067" s="3"/>
    </row>
    <row r="2068" spans="2:19" x14ac:dyDescent="0.5">
      <c r="B2068" s="5" t="str">
        <f t="shared" si="2216"/>
        <v>SPS1</v>
      </c>
      <c r="C2068" s="5" t="str">
        <f t="shared" si="2213"/>
        <v>CH</v>
      </c>
      <c r="D2068" t="s">
        <v>2197</v>
      </c>
      <c r="E2068" t="str">
        <f t="shared" si="2214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6.0194286883080304E-4</v>
      </c>
      <c r="L2068" s="1">
        <f>'[1]Electricity and CHPs_NCAP'!H$40</f>
        <v>1.37849779527239E-2</v>
      </c>
      <c r="M2068" s="1">
        <f>'[1]Electricity and CHPs_NCAP'!I$40</f>
        <v>3.9715075637064999E-3</v>
      </c>
      <c r="N2068" s="1">
        <f>'[1]Electricity and CHPs_NCAP'!J$40</f>
        <v>1.79364770293697E-6</v>
      </c>
      <c r="O2068" s="1">
        <f>'[1]Electricity and CHPs_NCAP'!K$40</f>
        <v>8.4664222421755704E-6</v>
      </c>
      <c r="P2068" s="1">
        <f>'[1]Electricity and CHPs_NCAP'!L$40</f>
        <v>1.37815079010821E-2</v>
      </c>
      <c r="Q2068" s="1">
        <f>'[1]Electricity and CHPs_NCAP'!M$40</f>
        <v>4.0967390035122099E-3</v>
      </c>
      <c r="S2068" s="3"/>
    </row>
    <row r="2069" spans="2:19" x14ac:dyDescent="0.5">
      <c r="B2069" s="5" t="str">
        <f t="shared" si="2216"/>
        <v>SPS1</v>
      </c>
      <c r="C2069" s="5" t="str">
        <f t="shared" si="2213"/>
        <v>CH</v>
      </c>
      <c r="D2069" t="s">
        <v>2198</v>
      </c>
      <c r="E2069" t="str">
        <f t="shared" si="2214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5.6063492314925902E-5</v>
      </c>
      <c r="J2069" s="1">
        <f>'[1]Electricity and CHPs_NCAP'!F$47</f>
        <v>5.1321508370240197E-5</v>
      </c>
      <c r="K2069" s="1">
        <f>'[1]Electricity and CHPs_NCAP'!G$47</f>
        <v>1.4334262078944399E-4</v>
      </c>
      <c r="L2069" s="1">
        <f>'[1]Electricity and CHPs_NCAP'!H$47</f>
        <v>2.6188707691261501E-6</v>
      </c>
      <c r="M2069" s="1">
        <f>'[1]Electricity and CHPs_NCAP'!I$47</f>
        <v>7.6705494369522795E-5</v>
      </c>
      <c r="N2069" s="1">
        <f>'[1]Electricity and CHPs_NCAP'!J$47</f>
        <v>5.2349260180913601E-5</v>
      </c>
      <c r="O2069" s="1">
        <f>'[1]Electricity and CHPs_NCAP'!K$47</f>
        <v>1.5434998715653601E-4</v>
      </c>
      <c r="P2069" s="1">
        <f>'[1]Electricity and CHPs_NCAP'!L$47</f>
        <v>4.4122870801853696E-6</v>
      </c>
      <c r="Q2069" s="1">
        <f>'[1]Electricity and CHPs_NCAP'!M$47</f>
        <v>2.8953846735618201E-5</v>
      </c>
      <c r="S2069" s="3"/>
    </row>
    <row r="2070" spans="2:19" x14ac:dyDescent="0.5">
      <c r="B2070" s="5" t="str">
        <f t="shared" si="2216"/>
        <v>SPS1</v>
      </c>
      <c r="C2070" s="5" t="str">
        <f t="shared" si="2213"/>
        <v>CH</v>
      </c>
      <c r="D2070" t="s">
        <v>2199</v>
      </c>
      <c r="E2070" t="str">
        <f t="shared" si="2214"/>
        <v>GWe/yr.</v>
      </c>
      <c r="F2070" s="1">
        <f>'[1]Electricity and CHPs_NCAP'!B$48</f>
        <v>0</v>
      </c>
      <c r="G2070" s="1">
        <f>'[1]Electricity and CHPs_NCAP'!C$48</f>
        <v>1.2747806310043388E-4</v>
      </c>
      <c r="H2070" s="1">
        <f>'[1]Electricity and CHPs_NCAP'!D$48</f>
        <v>0</v>
      </c>
      <c r="I2070" s="1">
        <f>'[1]Electricity and CHPs_NCAP'!E$48</f>
        <v>0</v>
      </c>
      <c r="J2070" s="1">
        <f>'[1]Electricity and CHPs_NCAP'!F$48</f>
        <v>0</v>
      </c>
      <c r="K2070" s="1">
        <f>'[1]Electricity and CHPs_NCAP'!G$48</f>
        <v>0</v>
      </c>
      <c r="L2070" s="1">
        <f>'[1]Electricity and CHPs_NCAP'!H$48</f>
        <v>0</v>
      </c>
      <c r="M2070" s="1">
        <f>'[1]Electricity and CHPs_NCAP'!I$48</f>
        <v>0</v>
      </c>
      <c r="N2070" s="1">
        <f>'[1]Electricity and CHPs_NCAP'!J$48</f>
        <v>2.0498116186372459E-4</v>
      </c>
      <c r="O2070" s="1">
        <f>'[1]Electricity and CHPs_NCAP'!K$48</f>
        <v>4.3055969739856599E-5</v>
      </c>
      <c r="P2070" s="1">
        <f>'[1]Electricity and CHPs_NCAP'!L$48</f>
        <v>1.1667939217283244E-4</v>
      </c>
      <c r="Q2070" s="1">
        <f>'[1]Electricity and CHPs_NCAP'!M$48</f>
        <v>7.2083596585557818E-5</v>
      </c>
      <c r="S2070" s="3"/>
    </row>
    <row r="2071" spans="2:19" x14ac:dyDescent="0.5">
      <c r="B2071" s="5" t="str">
        <f t="shared" si="2216"/>
        <v>SPS1</v>
      </c>
      <c r="C2071" s="5" t="str">
        <f t="shared" si="2213"/>
        <v>CH</v>
      </c>
      <c r="D2071" t="s">
        <v>2200</v>
      </c>
      <c r="E2071" t="str">
        <f t="shared" si="2214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'[1]Electricity and CHPs_NCAP'!F$49</f>
        <v>0</v>
      </c>
      <c r="K2071" s="1">
        <f>'[1]Electricity and CHPs_NCAP'!G$49</f>
        <v>0</v>
      </c>
      <c r="L2071" s="1">
        <f>'[1]Electricity and CHPs_NCAP'!H$49</f>
        <v>0</v>
      </c>
      <c r="M2071" s="1">
        <f>'[1]Electricity and CHPs_NCAP'!I$49</f>
        <v>0</v>
      </c>
      <c r="N2071" s="1">
        <f>'[1]Electricity and CHPs_NCAP'!J$49</f>
        <v>8.0802946596188102E-5</v>
      </c>
      <c r="O2071" s="1">
        <f>'[1]Electricity and CHPs_NCAP'!K$49</f>
        <v>5.4674607069764702E-5</v>
      </c>
      <c r="P2071" s="1">
        <f>'[1]Electricity and CHPs_NCAP'!L$49</f>
        <v>6.19108536708926E-7</v>
      </c>
      <c r="Q2071" s="1">
        <f>'[1]Electricity and CHPs_NCAP'!M$49</f>
        <v>1.2600782097927461E-4</v>
      </c>
      <c r="S2071" s="3"/>
    </row>
    <row r="2072" spans="2:19" x14ac:dyDescent="0.5">
      <c r="B2072" s="5" t="str">
        <f t="shared" si="2216"/>
        <v>SPS1</v>
      </c>
      <c r="C2072" s="5" t="str">
        <f t="shared" si="2213"/>
        <v>CH</v>
      </c>
      <c r="D2072" t="s">
        <v>2201</v>
      </c>
      <c r="E2072" t="str">
        <f t="shared" si="2214"/>
        <v>GWe/yr.</v>
      </c>
      <c r="F2072" s="1">
        <f>'[1]Electricity and CHPs_NCAP'!B$51</f>
        <v>0</v>
      </c>
      <c r="G2072" s="1">
        <f>'[1]Electricity and CHPs_NCAP'!C$51</f>
        <v>5.5881603947865858E-4</v>
      </c>
      <c r="H2072" s="1">
        <f>'[1]Electricity and CHPs_NCAP'!D$51</f>
        <v>0</v>
      </c>
      <c r="I2072" s="1">
        <f>'[1]Electricity and CHPs_NCAP'!E$51</f>
        <v>0</v>
      </c>
      <c r="J2072" s="1">
        <f>'[1]Electricity and CHPs_NCAP'!F$51</f>
        <v>0</v>
      </c>
      <c r="K2072" s="1">
        <f>'[1]Electricity and CHPs_NCAP'!G$51</f>
        <v>0</v>
      </c>
      <c r="L2072" s="1">
        <f>'[1]Electricity and CHPs_NCAP'!H$51</f>
        <v>0</v>
      </c>
      <c r="M2072" s="1">
        <f>'[1]Electricity and CHPs_NCAP'!I$51</f>
        <v>0</v>
      </c>
      <c r="N2072" s="1">
        <f>'[1]Electricity and CHPs_NCAP'!J$51</f>
        <v>2.149660054881525E-4</v>
      </c>
      <c r="O2072" s="1">
        <f>'[1]Electricity and CHPs_NCAP'!K$51</f>
        <v>2.112465399380364E-4</v>
      </c>
      <c r="P2072" s="1">
        <f>'[1]Electricity and CHPs_NCAP'!L$51</f>
        <v>2.1389970469720849E-6</v>
      </c>
      <c r="Q2072" s="1">
        <f>'[1]Electricity and CHPs_NCAP'!M$51</f>
        <v>4.4423425629516906E-4</v>
      </c>
      <c r="S2072" s="3"/>
    </row>
    <row r="2073" spans="2:19" x14ac:dyDescent="0.5">
      <c r="B2073" s="5" t="str">
        <f t="shared" si="2216"/>
        <v>SPS1</v>
      </c>
      <c r="C2073" s="5" t="str">
        <f t="shared" si="2213"/>
        <v>CH</v>
      </c>
      <c r="D2073" t="s">
        <v>2202</v>
      </c>
      <c r="E2073" t="str">
        <f t="shared" si="2214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'[1]Electricity and CHPs_NCAP'!F$52</f>
        <v>0</v>
      </c>
      <c r="K2073" s="1">
        <f>'[1]Electricity and CHPs_NCAP'!G$52</f>
        <v>0</v>
      </c>
      <c r="L2073" s="1">
        <f>'[1]Electricity and CHPs_NCAP'!H$52</f>
        <v>0</v>
      </c>
      <c r="M2073" s="1">
        <f>'[1]Electricity and CHPs_NCAP'!I$52</f>
        <v>0</v>
      </c>
      <c r="N2073" s="1">
        <f>'[1]Electricity and CHPs_NCAP'!J$52</f>
        <v>2.056970522227811E-4</v>
      </c>
      <c r="O2073" s="1">
        <f>'[1]Electricity and CHPs_NCAP'!K$52</f>
        <v>1.5015029411759499E-4</v>
      </c>
      <c r="P2073" s="1">
        <f>'[1]Electricity and CHPs_NCAP'!L$52</f>
        <v>1.546963354613323E-6</v>
      </c>
      <c r="Q2073" s="1">
        <f>'[1]Electricity and CHPs_NCAP'!M$52</f>
        <v>3.12734190513151E-4</v>
      </c>
      <c r="S2073" s="3"/>
    </row>
    <row r="2074" spans="2:19" x14ac:dyDescent="0.5">
      <c r="B2074" s="5" t="str">
        <f t="shared" si="2216"/>
        <v>SPS1</v>
      </c>
      <c r="C2074" s="5" t="str">
        <f t="shared" si="2213"/>
        <v>CH</v>
      </c>
      <c r="D2074" t="s">
        <v>2203</v>
      </c>
      <c r="E2074" t="str">
        <f t="shared" si="2214"/>
        <v>GWe/yr.</v>
      </c>
      <c r="F2074" s="1">
        <f>'[1]Electricity and CHPs_NCAP'!B$54</f>
        <v>0</v>
      </c>
      <c r="G2074" s="1">
        <f>'[1]Electricity and CHPs_NCAP'!C$54</f>
        <v>2.6188592158301299E-2</v>
      </c>
      <c r="H2074" s="1">
        <f>'[1]Electricity and CHPs_NCAP'!D$54</f>
        <v>6.5725405701520002E-3</v>
      </c>
      <c r="I2074" s="1">
        <f>'[1]Electricity and CHPs_NCAP'!E$54</f>
        <v>1.2221888909850801E-2</v>
      </c>
      <c r="J2074" s="1">
        <f>'[1]Electricity and CHPs_NCAP'!F$54</f>
        <v>6.99256404088128E-2</v>
      </c>
      <c r="K2074" s="1">
        <f>'[1]Electricity and CHPs_NCAP'!G$54</f>
        <v>2.9396950111364201E-2</v>
      </c>
      <c r="L2074" s="1">
        <f>'[1]Electricity and CHPs_NCAP'!H$54</f>
        <v>0.145745022130848</v>
      </c>
      <c r="M2074" s="1">
        <f>'[1]Electricity and CHPs_NCAP'!I$54</f>
        <v>8.7686470510707201E-2</v>
      </c>
      <c r="N2074" s="1">
        <f>'[1]Electricity and CHPs_NCAP'!J$54</f>
        <v>9.7154653937200394E-2</v>
      </c>
      <c r="O2074" s="1">
        <f>'[1]Electricity and CHPs_NCAP'!K$54</f>
        <v>0.22106735842538999</v>
      </c>
      <c r="P2074" s="1">
        <f>'[1]Electricity and CHPs_NCAP'!L$54</f>
        <v>0.11713786545593401</v>
      </c>
      <c r="Q2074" s="1">
        <f>'[1]Electricity and CHPs_NCAP'!M$54</f>
        <v>8.1928795267510096E-2</v>
      </c>
      <c r="S2074" s="3"/>
    </row>
    <row r="2075" spans="2:19" x14ac:dyDescent="0.5">
      <c r="B2075" s="5" t="str">
        <f t="shared" si="2216"/>
        <v>SPS1</v>
      </c>
      <c r="C2075" s="5" t="str">
        <f t="shared" si="2213"/>
        <v>CH</v>
      </c>
      <c r="D2075" t="s">
        <v>2204</v>
      </c>
      <c r="E2075" t="str">
        <f t="shared" si="2214"/>
        <v>GWe/yr.</v>
      </c>
      <c r="F2075" s="1">
        <f>'[1]Electricity and CHPs_NCAP'!B$55</f>
        <v>0</v>
      </c>
      <c r="G2075" s="1">
        <f>'[1]Electricity and CHPs_NCAP'!C$55</f>
        <v>8.7012172443826502E-2</v>
      </c>
      <c r="H2075" s="1">
        <f>'[1]Electricity and CHPs_NCAP'!D$55</f>
        <v>0</v>
      </c>
      <c r="I2075" s="1">
        <f>'[1]Electricity and CHPs_NCAP'!E$55</f>
        <v>0</v>
      </c>
      <c r="J2075" s="1">
        <f>'[1]Electricity and CHPs_NCAP'!F$55</f>
        <v>0</v>
      </c>
      <c r="K2075" s="1">
        <f>'[1]Electricity and CHPs_NCAP'!G$55</f>
        <v>0</v>
      </c>
      <c r="L2075" s="1">
        <f>'[1]Electricity and CHPs_NCAP'!H$55</f>
        <v>0</v>
      </c>
      <c r="M2075" s="1">
        <f>'[1]Electricity and CHPs_NCAP'!I$55</f>
        <v>0</v>
      </c>
      <c r="N2075" s="1">
        <f>'[1]Electricity and CHPs_NCAP'!J$55</f>
        <v>2.0924694858414801E-4</v>
      </c>
      <c r="O2075" s="1">
        <f>'[1]Electricity and CHPs_NCAP'!K$55</f>
        <v>5.7756110137941504E-6</v>
      </c>
      <c r="P2075" s="1">
        <f>'[1]Electricity and CHPs_NCAP'!L$55</f>
        <v>8.3787883735041102E-7</v>
      </c>
      <c r="Q2075" s="1">
        <f>'[1]Electricity and CHPs_NCAP'!M$55</f>
        <v>1.9154020321254201E-4</v>
      </c>
      <c r="S2075" s="3"/>
    </row>
    <row r="2076" spans="2:19" x14ac:dyDescent="0.5">
      <c r="B2076" s="5" t="str">
        <f t="shared" si="2216"/>
        <v>SPS1</v>
      </c>
      <c r="C2076" s="5" t="str">
        <f t="shared" si="2213"/>
        <v>CH</v>
      </c>
      <c r="D2076" t="s">
        <v>2205</v>
      </c>
      <c r="E2076" t="str">
        <f t="shared" si="2214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'[1]Electricity and CHPs_NCAP'!F$58</f>
        <v>0</v>
      </c>
      <c r="K2076" s="1">
        <f>'[1]Electricity and CHPs_NCAP'!G$58</f>
        <v>0</v>
      </c>
      <c r="L2076" s="1">
        <f>'[1]Electricity and CHPs_NCAP'!H$58</f>
        <v>0</v>
      </c>
      <c r="M2076" s="1">
        <f>'[1]Electricity and CHPs_NCAP'!I$58</f>
        <v>0</v>
      </c>
      <c r="N2076" s="1">
        <f>'[1]Electricity and CHPs_NCAP'!J$58</f>
        <v>1.1436808658798501E-4</v>
      </c>
      <c r="O2076" s="1">
        <f>'[1]Electricity and CHPs_NCAP'!K$58</f>
        <v>8.5428052908057393E-5</v>
      </c>
      <c r="P2076" s="1">
        <f>'[1]Electricity and CHPs_NCAP'!L$58</f>
        <v>2.9888192533523398E-6</v>
      </c>
      <c r="Q2076" s="1">
        <f>'[1]Electricity and CHPs_NCAP'!M$58</f>
        <v>2.5647223679631898E-4</v>
      </c>
      <c r="S2076" s="3"/>
    </row>
    <row r="2077" spans="2:19" x14ac:dyDescent="0.5">
      <c r="B2077" s="5" t="str">
        <f t="shared" si="2216"/>
        <v>SPS1</v>
      </c>
      <c r="C2077" s="5" t="str">
        <f t="shared" si="2213"/>
        <v>CH</v>
      </c>
      <c r="D2077" t="s">
        <v>2206</v>
      </c>
      <c r="E2077" t="str">
        <f t="shared" si="2214"/>
        <v>GWe/yr.</v>
      </c>
      <c r="F2077" s="1">
        <f t="shared" ref="F2077:K2077" si="2223">SUM(F2078:F2083)</f>
        <v>0</v>
      </c>
      <c r="G2077" s="1">
        <f t="shared" si="2223"/>
        <v>5.2275996941839007E-7</v>
      </c>
      <c r="H2077" s="1">
        <f t="shared" si="2223"/>
        <v>2.0392945971238378E-6</v>
      </c>
      <c r="I2077" s="1">
        <f t="shared" si="2223"/>
        <v>6.8864368847415008E-2</v>
      </c>
      <c r="J2077" s="1">
        <f t="shared" si="2223"/>
        <v>0.17354064412853712</v>
      </c>
      <c r="K2077" s="1">
        <f t="shared" si="2223"/>
        <v>0.13997627851532862</v>
      </c>
      <c r="L2077" s="1">
        <f t="shared" ref="L2077:O2077" si="2224">SUM(L2078:L2083)</f>
        <v>0.17982000423385161</v>
      </c>
      <c r="M2077" s="1">
        <f t="shared" si="2224"/>
        <v>4.787214682498115E-2</v>
      </c>
      <c r="N2077" s="1">
        <f t="shared" si="2224"/>
        <v>1.6248025604484208E-6</v>
      </c>
      <c r="O2077" s="1">
        <f t="shared" si="2224"/>
        <v>4.4470997062292534E-6</v>
      </c>
      <c r="P2077" s="1">
        <f>SUM(P2078:P2083)</f>
        <v>0.12643010297674279</v>
      </c>
      <c r="Q2077" s="1">
        <f>SUM(Q2078:Q2083)</f>
        <v>0.10465687039111124</v>
      </c>
      <c r="S2077" s="3"/>
    </row>
    <row r="2078" spans="2:19" x14ac:dyDescent="0.5">
      <c r="B2078" s="5" t="str">
        <f t="shared" si="2216"/>
        <v>SPS1</v>
      </c>
      <c r="C2078" s="5" t="str">
        <f t="shared" si="2213"/>
        <v>CH</v>
      </c>
      <c r="D2078" t="s">
        <v>2207</v>
      </c>
      <c r="E2078" t="str">
        <f t="shared" si="2214"/>
        <v>GWe/yr.</v>
      </c>
      <c r="F2078" s="1">
        <f>'[1]Electricity and CHPs_NCAP'!B$19</f>
        <v>0</v>
      </c>
      <c r="G2078" s="1">
        <f>'[1]Electricity and CHPs_NCAP'!C$19</f>
        <v>1.60347155245054E-7</v>
      </c>
      <c r="H2078" s="1">
        <f>'[1]Electricity and CHPs_NCAP'!D$19</f>
        <v>9.9254876266867098E-7</v>
      </c>
      <c r="I2078" s="1">
        <f>'[1]Electricity and CHPs_NCAP'!E$19</f>
        <v>6.7314470426035805E-2</v>
      </c>
      <c r="J2078" s="1">
        <f>'[1]Electricity and CHPs_NCAP'!F$19</f>
        <v>0.1607810841516</v>
      </c>
      <c r="K2078" s="1">
        <f>'[1]Electricity and CHPs_NCAP'!G$19</f>
        <v>2.5629228408288102E-2</v>
      </c>
      <c r="L2078" s="1">
        <f>'[1]Electricity and CHPs_NCAP'!H$19</f>
        <v>2.7091473330537798E-5</v>
      </c>
      <c r="M2078" s="1">
        <f>'[1]Electricity and CHPs_NCAP'!I$19</f>
        <v>9.4561013168995706E-3</v>
      </c>
      <c r="N2078" s="1">
        <f>'[1]Electricity and CHPs_NCAP'!J$19</f>
        <v>2.6538763525844798E-7</v>
      </c>
      <c r="O2078" s="1">
        <f>'[1]Electricity and CHPs_NCAP'!K$19</f>
        <v>1.12139478151765E-6</v>
      </c>
      <c r="P2078" s="1">
        <f>'[1]Electricity and CHPs_NCAP'!L$19</f>
        <v>0.123711746842859</v>
      </c>
      <c r="Q2078" s="1">
        <f>'[1]Electricity and CHPs_NCAP'!M$19</f>
        <v>5.0235136193656403E-2</v>
      </c>
      <c r="S2078" s="3"/>
    </row>
    <row r="2079" spans="2:19" x14ac:dyDescent="0.5">
      <c r="B2079" s="5" t="str">
        <f t="shared" si="2216"/>
        <v>SPS1</v>
      </c>
      <c r="C2079" s="5" t="str">
        <f t="shared" si="2213"/>
        <v>CH</v>
      </c>
      <c r="D2079" t="s">
        <v>2208</v>
      </c>
      <c r="E2079" t="str">
        <f t="shared" si="2214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9.36468770241832E-2</v>
      </c>
      <c r="L2079" s="1">
        <f>'[1]Electricity and CHPs_NCAP'!H$20</f>
        <v>0.128488182477248</v>
      </c>
      <c r="M2079" s="1">
        <f>'[1]Electricity and CHPs_NCAP'!I$20</f>
        <v>2.65871803486119E-7</v>
      </c>
      <c r="N2079" s="1">
        <f>'[1]Electricity and CHPs_NCAP'!J$20</f>
        <v>6.5794721507276804E-8</v>
      </c>
      <c r="O2079" s="1">
        <f>'[1]Electricity and CHPs_NCAP'!K$20</f>
        <v>2.5018517840071501E-7</v>
      </c>
      <c r="P2079" s="1">
        <f>'[1]Electricity and CHPs_NCAP'!L$20</f>
        <v>4.0850085292120599E-7</v>
      </c>
      <c r="Q2079" s="1">
        <f>'[1]Electricity and CHPs_NCAP'!M$20</f>
        <v>3.7303582939271003E-2</v>
      </c>
      <c r="S2079" s="3"/>
    </row>
    <row r="2080" spans="2:19" x14ac:dyDescent="0.5">
      <c r="B2080" s="5" t="str">
        <f t="shared" si="2216"/>
        <v>SPS1</v>
      </c>
      <c r="C2080" s="5" t="str">
        <f t="shared" si="2213"/>
        <v>CH</v>
      </c>
      <c r="D2080" t="s">
        <v>2209</v>
      </c>
      <c r="E2080" t="str">
        <f t="shared" si="2214"/>
        <v>GWe/yr.</v>
      </c>
      <c r="F2080" s="1">
        <f>'[1]Electricity and CHPs_NCAP'!B$26</f>
        <v>0</v>
      </c>
      <c r="G2080" s="1">
        <f>'[1]Electricity and CHPs_NCAP'!C$26</f>
        <v>1.13601319071765E-7</v>
      </c>
      <c r="H2080" s="1">
        <f>'[1]Electricity and CHPs_NCAP'!D$26</f>
        <v>1.5789019612454801E-7</v>
      </c>
      <c r="I2080" s="1">
        <f>'[1]Electricity and CHPs_NCAP'!E$26</f>
        <v>2.43208215904833E-7</v>
      </c>
      <c r="J2080" s="1">
        <f>'[1]Electricity and CHPs_NCAP'!F$26</f>
        <v>7.7592089119674296E-3</v>
      </c>
      <c r="K2080" s="1">
        <f>'[1]Electricity and CHPs_NCAP'!G$26</f>
        <v>3.0100101356127599E-5</v>
      </c>
      <c r="L2080" s="1">
        <f>'[1]Electricity and CHPs_NCAP'!H$26</f>
        <v>5.9473659860588297E-7</v>
      </c>
      <c r="M2080" s="1">
        <f>'[1]Electricity and CHPs_NCAP'!I$26</f>
        <v>3.4254046435431298E-2</v>
      </c>
      <c r="N2080" s="1">
        <f>'[1]Electricity and CHPs_NCAP'!J$26</f>
        <v>7.6154694676025598E-7</v>
      </c>
      <c r="O2080" s="1">
        <f>'[1]Electricity and CHPs_NCAP'!K$26</f>
        <v>3.6698300630915201E-7</v>
      </c>
      <c r="P2080" s="1">
        <f>'[1]Electricity and CHPs_NCAP'!L$26</f>
        <v>3.8041473476206101E-7</v>
      </c>
      <c r="Q2080" s="1">
        <f>'[1]Electricity and CHPs_NCAP'!M$26</f>
        <v>4.6961487708000299E-7</v>
      </c>
      <c r="S2080" s="3"/>
    </row>
    <row r="2081" spans="2:19" x14ac:dyDescent="0.5">
      <c r="B2081" s="5" t="str">
        <f t="shared" si="2216"/>
        <v>SPS1</v>
      </c>
      <c r="C2081" s="5" t="str">
        <f t="shared" si="2213"/>
        <v>CH</v>
      </c>
      <c r="D2081" t="s">
        <v>2210</v>
      </c>
      <c r="E2081" t="str">
        <f t="shared" si="2214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1.7852751803264798E-2</v>
      </c>
      <c r="L2081" s="1">
        <f>'[1]Electricity and CHPs_NCAP'!H$27</f>
        <v>2.0737357845688299E-2</v>
      </c>
      <c r="M2081" s="1">
        <f>'[1]Electricity and CHPs_NCAP'!I$27</f>
        <v>6.8593121145552505E-4</v>
      </c>
      <c r="N2081" s="1">
        <f>'[1]Electricity and CHPs_NCAP'!J$27</f>
        <v>1.9392412223498899E-7</v>
      </c>
      <c r="O2081" s="1">
        <f>'[1]Electricity and CHPs_NCAP'!K$27</f>
        <v>7.1700525853414595E-7</v>
      </c>
      <c r="P2081" s="1">
        <f>'[1]Electricity and CHPs_NCAP'!L$27</f>
        <v>2.6902551083482699E-3</v>
      </c>
      <c r="Q2081" s="1">
        <f>'[1]Electricity and CHPs_NCAP'!M$27</f>
        <v>1.4775575462692699E-2</v>
      </c>
      <c r="S2081" s="3"/>
    </row>
    <row r="2082" spans="2:19" x14ac:dyDescent="0.5">
      <c r="B2082" s="5" t="str">
        <f t="shared" si="2216"/>
        <v>SPS1</v>
      </c>
      <c r="C2082" s="5" t="str">
        <f t="shared" si="2213"/>
        <v>CH</v>
      </c>
      <c r="D2082" t="s">
        <v>2211</v>
      </c>
      <c r="E2082" t="str">
        <f t="shared" si="2214"/>
        <v>GWe/yr.</v>
      </c>
      <c r="F2082" s="1">
        <f>'[1]Electricity and CHPs_NCAP'!B$44</f>
        <v>0</v>
      </c>
      <c r="G2082" s="1">
        <f>'[1]Electricity and CHPs_NCAP'!C$44</f>
        <v>2.4881149510157099E-7</v>
      </c>
      <c r="H2082" s="1">
        <f>'[1]Electricity and CHPs_NCAP'!D$44</f>
        <v>8.8885563833061897E-7</v>
      </c>
      <c r="I2082" s="1">
        <f>'[1]Electricity and CHPs_NCAP'!E$44</f>
        <v>1.5496552131633E-3</v>
      </c>
      <c r="J2082" s="1">
        <f>'[1]Electricity and CHPs_NCAP'!F$44</f>
        <v>5.0003510649696903E-3</v>
      </c>
      <c r="K2082" s="1">
        <f>'[1]Electricity and CHPs_NCAP'!G$44</f>
        <v>1.2564119076525899E-7</v>
      </c>
      <c r="L2082" s="1">
        <f>'[1]Electricity and CHPs_NCAP'!H$44</f>
        <v>1.2552983694371699E-7</v>
      </c>
      <c r="M2082" s="1">
        <f>'[1]Electricity and CHPs_NCAP'!I$44</f>
        <v>1.72944626214194E-7</v>
      </c>
      <c r="N2082" s="1">
        <f>'[1]Electricity and CHPs_NCAP'!J$44</f>
        <v>1.7317490706362699E-7</v>
      </c>
      <c r="O2082" s="1">
        <f>'[1]Electricity and CHPs_NCAP'!K$44</f>
        <v>1.4579682507042301E-6</v>
      </c>
      <c r="P2082" s="1">
        <f>'[1]Electricity and CHPs_NCAP'!L$44</f>
        <v>2.6127062038925801E-5</v>
      </c>
      <c r="Q2082" s="1">
        <f>'[1]Electricity and CHPs_NCAP'!M$44</f>
        <v>1.0660765666670001E-5</v>
      </c>
      <c r="S2082" s="3"/>
    </row>
    <row r="2083" spans="2:19" x14ac:dyDescent="0.5">
      <c r="B2083" s="5" t="str">
        <f t="shared" si="2216"/>
        <v>SPS1</v>
      </c>
      <c r="C2083" s="5" t="str">
        <f t="shared" si="2213"/>
        <v>CH</v>
      </c>
      <c r="D2083" t="s">
        <v>2212</v>
      </c>
      <c r="E2083" t="str">
        <f t="shared" ref="E2083:E2113" si="2225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2.8171955370456499E-3</v>
      </c>
      <c r="L2083" s="1">
        <f>'[1]Electricity and CHPs_NCAP'!H$45</f>
        <v>3.0566652171149199E-2</v>
      </c>
      <c r="M2083" s="1">
        <f>'[1]Electricity and CHPs_NCAP'!I$45</f>
        <v>3.4756290447650498E-3</v>
      </c>
      <c r="N2083" s="1">
        <f>'[1]Electricity and CHPs_NCAP'!J$45</f>
        <v>1.64974227623824E-7</v>
      </c>
      <c r="O2083" s="1">
        <f>'[1]Electricity and CHPs_NCAP'!K$45</f>
        <v>5.3356323076336101E-7</v>
      </c>
      <c r="P2083" s="1">
        <f>'[1]Electricity and CHPs_NCAP'!L$45</f>
        <v>1.1850479089037101E-6</v>
      </c>
      <c r="Q2083" s="1">
        <f>'[1]Electricity and CHPs_NCAP'!M$45</f>
        <v>2.33144541494738E-3</v>
      </c>
      <c r="S2083" s="3"/>
    </row>
    <row r="2084" spans="2:19" x14ac:dyDescent="0.5">
      <c r="B2084" s="5" t="str">
        <f t="shared" si="2216"/>
        <v>SPS1</v>
      </c>
      <c r="C2084" s="5" t="str">
        <f t="shared" si="2213"/>
        <v>CH</v>
      </c>
      <c r="D2084" t="s">
        <v>2213</v>
      </c>
      <c r="E2084" t="str">
        <f t="shared" si="2225"/>
        <v>GWe/yr.</v>
      </c>
      <c r="F2084" s="1">
        <f t="shared" ref="F2084:K2084" si="2226">SUM(F2085:F2091)</f>
        <v>0</v>
      </c>
      <c r="G2084" s="1">
        <f t="shared" si="2226"/>
        <v>7.434363422549323E-3</v>
      </c>
      <c r="H2084" s="1">
        <f t="shared" si="2226"/>
        <v>3.3138659901894428E-2</v>
      </c>
      <c r="I2084" s="1">
        <f t="shared" si="2226"/>
        <v>1.5202918448408249E-2</v>
      </c>
      <c r="J2084" s="1">
        <f t="shared" si="2226"/>
        <v>2.0235313781723191E-2</v>
      </c>
      <c r="K2084" s="1">
        <f t="shared" si="2226"/>
        <v>0.16697215913888314</v>
      </c>
      <c r="L2084" s="1">
        <f t="shared" ref="L2084:O2084" si="2227">SUM(L2085:L2091)</f>
        <v>7.734629176657426E-2</v>
      </c>
      <c r="M2084" s="1">
        <f t="shared" si="2227"/>
        <v>4.0234819624257623E-2</v>
      </c>
      <c r="N2084" s="1">
        <f t="shared" si="2227"/>
        <v>8.9001987769744037E-2</v>
      </c>
      <c r="O2084" s="1">
        <f t="shared" si="2227"/>
        <v>0.12454411822546062</v>
      </c>
      <c r="P2084" s="1">
        <f>SUM(P2085:P2091)</f>
        <v>6.5374727391891471E-2</v>
      </c>
      <c r="Q2084" s="1">
        <f>SUM(Q2085:Q2091)</f>
        <v>6.8434275584740675E-2</v>
      </c>
      <c r="S2084" s="3"/>
    </row>
    <row r="2085" spans="2:19" x14ac:dyDescent="0.5">
      <c r="B2085" s="5" t="str">
        <f t="shared" si="2216"/>
        <v>SPS1</v>
      </c>
      <c r="C2085" s="5" t="str">
        <f t="shared" si="2213"/>
        <v>CH</v>
      </c>
      <c r="D2085" t="s">
        <v>2214</v>
      </c>
      <c r="E2085" t="str">
        <f t="shared" si="2225"/>
        <v>GWe/yr.</v>
      </c>
      <c r="F2085" s="1">
        <f>'[1]Electricity and CHPs_NCAP'!B$25</f>
        <v>0</v>
      </c>
      <c r="G2085" s="1">
        <f>'[1]Electricity and CHPs_NCAP'!C$25</f>
        <v>1.1538085741276901E-7</v>
      </c>
      <c r="H2085" s="1">
        <f>'[1]Electricity and CHPs_NCAP'!D$25</f>
        <v>3.8175175982212801E-4</v>
      </c>
      <c r="I2085" s="1">
        <f>'[1]Electricity and CHPs_NCAP'!E$25</f>
        <v>3.6227739245733601E-7</v>
      </c>
      <c r="J2085" s="1">
        <f>'[1]Electricity and CHPs_NCAP'!F$25</f>
        <v>8.9737579189105596E-5</v>
      </c>
      <c r="K2085" s="1">
        <f>'[1]Electricity and CHPs_NCAP'!G$25</f>
        <v>6.0513886239900297E-2</v>
      </c>
      <c r="L2085" s="1">
        <f>'[1]Electricity and CHPs_NCAP'!H$25</f>
        <v>2.5222404448722101E-6</v>
      </c>
      <c r="M2085" s="1">
        <f>'[1]Electricity and CHPs_NCAP'!I$25</f>
        <v>1.9729007764819499E-6</v>
      </c>
      <c r="N2085" s="1">
        <f>'[1]Electricity and CHPs_NCAP'!J$25</f>
        <v>5.5107238252026204E-6</v>
      </c>
      <c r="O2085" s="1">
        <f>'[1]Electricity and CHPs_NCAP'!K$25</f>
        <v>5.1571539191437997E-2</v>
      </c>
      <c r="P2085" s="1">
        <f>'[1]Electricity and CHPs_NCAP'!L$25</f>
        <v>5.0379892946383602E-3</v>
      </c>
      <c r="Q2085" s="1">
        <f>'[1]Electricity and CHPs_NCAP'!M$25</f>
        <v>1.34771279558033E-6</v>
      </c>
      <c r="S2085" s="3"/>
    </row>
    <row r="2086" spans="2:19" x14ac:dyDescent="0.5">
      <c r="B2086" s="5" t="str">
        <f t="shared" si="2216"/>
        <v>SPS1</v>
      </c>
      <c r="C2086" s="5" t="str">
        <f t="shared" si="2213"/>
        <v>CH</v>
      </c>
      <c r="D2086" t="s">
        <v>2215</v>
      </c>
      <c r="E2086" t="str">
        <f t="shared" si="2225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9.9641201893889401E-5</v>
      </c>
      <c r="L2086" s="1">
        <f>'[1]Electricity and CHPs_NCAP'!H$31</f>
        <v>1.6245508654445299E-2</v>
      </c>
      <c r="M2086" s="1">
        <f>'[1]Electricity and CHPs_NCAP'!I$31</f>
        <v>5.7333271100106602E-3</v>
      </c>
      <c r="N2086" s="1">
        <f>'[1]Electricity and CHPs_NCAP'!J$31</f>
        <v>2.63725033027647E-5</v>
      </c>
      <c r="O2086" s="1">
        <f>'[1]Electricity and CHPs_NCAP'!K$31</f>
        <v>3.6169142080928002E-7</v>
      </c>
      <c r="P2086" s="1">
        <f>'[1]Electricity and CHPs_NCAP'!L$31</f>
        <v>7.0186744754224097E-3</v>
      </c>
      <c r="Q2086" s="1">
        <f>'[1]Electricity and CHPs_NCAP'!M$31</f>
        <v>0</v>
      </c>
      <c r="S2086" s="3"/>
    </row>
    <row r="2087" spans="2:19" x14ac:dyDescent="0.5">
      <c r="B2087" s="5" t="str">
        <f t="shared" si="2216"/>
        <v>SPS1</v>
      </c>
      <c r="C2087" s="5" t="str">
        <f t="shared" si="2213"/>
        <v>CH</v>
      </c>
      <c r="D2087" t="s">
        <v>2216</v>
      </c>
      <c r="E2087" t="str">
        <f t="shared" si="2225"/>
        <v>GWe/yr.</v>
      </c>
      <c r="F2087" s="1">
        <f>'[1]Electricity and CHPs_NCAP'!B$42</f>
        <v>0</v>
      </c>
      <c r="G2087" s="1">
        <f>'[1]Electricity and CHPs_NCAP'!C$42</f>
        <v>7.4342480416919104E-3</v>
      </c>
      <c r="H2087" s="1">
        <f>'[1]Electricity and CHPs_NCAP'!D$42</f>
        <v>3.27569081420723E-2</v>
      </c>
      <c r="I2087" s="1">
        <f>'[1]Electricity and CHPs_NCAP'!E$42</f>
        <v>1.5026905351894699E-2</v>
      </c>
      <c r="J2087" s="1">
        <f>'[1]Electricity and CHPs_NCAP'!F$42</f>
        <v>1.9991196784717401E-2</v>
      </c>
      <c r="K2087" s="1">
        <f>'[1]Electricity and CHPs_NCAP'!G$42</f>
        <v>1.02662494469147E-6</v>
      </c>
      <c r="L2087" s="1">
        <f>'[1]Electricity and CHPs_NCAP'!H$42</f>
        <v>8.1983006638075696E-7</v>
      </c>
      <c r="M2087" s="1">
        <f>'[1]Electricity and CHPs_NCAP'!I$42</f>
        <v>7.6748138801895194E-5</v>
      </c>
      <c r="N2087" s="1">
        <f>'[1]Electricity and CHPs_NCAP'!J$42</f>
        <v>3.4756212551089899E-7</v>
      </c>
      <c r="O2087" s="1">
        <f>'[1]Electricity and CHPs_NCAP'!K$42</f>
        <v>1.43777029290856E-5</v>
      </c>
      <c r="P2087" s="1">
        <f>'[1]Electricity and CHPs_NCAP'!L$42</f>
        <v>4.1669621499120103E-5</v>
      </c>
      <c r="Q2087" s="1">
        <f>'[1]Electricity and CHPs_NCAP'!M$42</f>
        <v>3.9625317693715899E-5</v>
      </c>
      <c r="S2087" s="3"/>
    </row>
    <row r="2088" spans="2:19" x14ac:dyDescent="0.5">
      <c r="B2088" s="5" t="str">
        <f t="shared" si="2216"/>
        <v>SPS1</v>
      </c>
      <c r="C2088" s="5" t="str">
        <f t="shared" si="2213"/>
        <v>CH</v>
      </c>
      <c r="D2088" t="s">
        <v>2217</v>
      </c>
      <c r="E2088" t="str">
        <f t="shared" si="2225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9.40458163736448E-2</v>
      </c>
      <c r="L2088" s="1">
        <f>'[1]Electricity and CHPs_NCAP'!H$43</f>
        <v>5.8067411008259601E-2</v>
      </c>
      <c r="M2088" s="1">
        <f>'[1]Electricity and CHPs_NCAP'!I$43</f>
        <v>3.4030616814123803E-2</v>
      </c>
      <c r="N2088" s="1">
        <f>'[1]Electricity and CHPs_NCAP'!J$43</f>
        <v>7.9023056542946502E-2</v>
      </c>
      <c r="O2088" s="1">
        <f>'[1]Electricity and CHPs_NCAP'!K$43</f>
        <v>6.8619884013858101E-2</v>
      </c>
      <c r="P2088" s="1">
        <f>'[1]Electricity and CHPs_NCAP'!L$43</f>
        <v>4.97701184276782E-2</v>
      </c>
      <c r="Q2088" s="1">
        <f>'[1]Electricity and CHPs_NCAP'!M$43</f>
        <v>6.1709191072553897E-2</v>
      </c>
      <c r="S2088" s="3"/>
    </row>
    <row r="2089" spans="2:19" x14ac:dyDescent="0.5">
      <c r="B2089" s="5" t="str">
        <f t="shared" si="2216"/>
        <v>SPS1</v>
      </c>
      <c r="C2089" s="5" t="str">
        <f t="shared" si="2213"/>
        <v>CH</v>
      </c>
      <c r="D2089" t="s">
        <v>2218</v>
      </c>
      <c r="E2089" t="str">
        <f t="shared" si="2225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4.9076636273978603E-5</v>
      </c>
      <c r="J2089" s="1">
        <f>'[1]Electricity and CHPs_NCAP'!F$50</f>
        <v>3.3551345279044903E-5</v>
      </c>
      <c r="K2089" s="1">
        <f>'[1]Electricity and CHPs_NCAP'!G$50</f>
        <v>2.8616671513336097E-4</v>
      </c>
      <c r="L2089" s="1">
        <f>'[1]Electricity and CHPs_NCAP'!H$50</f>
        <v>1.3461230034426835E-4</v>
      </c>
      <c r="M2089" s="1">
        <f>'[1]Electricity and CHPs_NCAP'!I$50</f>
        <v>1.5829566509116408E-4</v>
      </c>
      <c r="N2089" s="1">
        <f>'[1]Electricity and CHPs_NCAP'!J$50</f>
        <v>1.446479304501569E-5</v>
      </c>
      <c r="O2089" s="1">
        <f>'[1]Electricity and CHPs_NCAP'!K$50</f>
        <v>1.2906248236547012E-4</v>
      </c>
      <c r="P2089" s="1">
        <f>'[1]Electricity and CHPs_NCAP'!L$50</f>
        <v>1.2666386601678769E-4</v>
      </c>
      <c r="Q2089" s="1">
        <f>'[1]Electricity and CHPs_NCAP'!M$50</f>
        <v>1.4118977456685418E-4</v>
      </c>
      <c r="S2089" s="3"/>
    </row>
    <row r="2090" spans="2:19" x14ac:dyDescent="0.5">
      <c r="B2090" s="5" t="str">
        <f t="shared" si="2216"/>
        <v>SPS1</v>
      </c>
      <c r="C2090" s="5" t="str">
        <f t="shared" si="2213"/>
        <v>CH</v>
      </c>
      <c r="D2090" t="s">
        <v>2219</v>
      </c>
      <c r="E2090" t="str">
        <f t="shared" si="2225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6.5094290595688297E-5</v>
      </c>
      <c r="J2090" s="1">
        <f>'[1]Electricity and CHPs_NCAP'!F$53</f>
        <v>8.0265334163476395E-5</v>
      </c>
      <c r="K2090" s="1">
        <f>'[1]Electricity and CHPs_NCAP'!G$53</f>
        <v>1.1697042728127469E-2</v>
      </c>
      <c r="L2090" s="1">
        <f>'[1]Electricity and CHPs_NCAP'!H$53</f>
        <v>2.8941178878893921E-3</v>
      </c>
      <c r="M2090" s="1">
        <f>'[1]Electricity and CHPs_NCAP'!I$53</f>
        <v>2.3277339055158397E-4</v>
      </c>
      <c r="N2090" s="1">
        <f>'[1]Electricity and CHPs_NCAP'!J$53</f>
        <v>9.7450595174388057E-3</v>
      </c>
      <c r="O2090" s="1">
        <f>'[1]Electricity and CHPs_NCAP'!K$53</f>
        <v>4.172349730833652E-3</v>
      </c>
      <c r="P2090" s="1">
        <f>'[1]Electricity and CHPs_NCAP'!L$53</f>
        <v>3.3642718667698124E-3</v>
      </c>
      <c r="Q2090" s="1">
        <f>'[1]Electricity and CHPs_NCAP'!M$53</f>
        <v>6.245190942794486E-3</v>
      </c>
      <c r="S2090" s="3"/>
    </row>
    <row r="2091" spans="2:19" x14ac:dyDescent="0.5">
      <c r="B2091" s="5" t="str">
        <f t="shared" si="2216"/>
        <v>SPS1</v>
      </c>
      <c r="C2091" s="5" t="str">
        <f t="shared" si="2213"/>
        <v>CH</v>
      </c>
      <c r="D2091" t="s">
        <v>2220</v>
      </c>
      <c r="E2091" t="str">
        <f t="shared" si="2225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6.1479892251427106E-5</v>
      </c>
      <c r="J2091" s="1">
        <f>'[1]Electricity and CHPs_NCAP'!F$56</f>
        <v>4.0562738374161803E-5</v>
      </c>
      <c r="K2091" s="1">
        <f>'[1]Electricity and CHPs_NCAP'!G$56</f>
        <v>3.2857925523864301E-4</v>
      </c>
      <c r="L2091" s="1">
        <f>'[1]Electricity and CHPs_NCAP'!H$56</f>
        <v>1.2998451244468201E-6</v>
      </c>
      <c r="M2091" s="1">
        <f>'[1]Electricity and CHPs_NCAP'!I$56</f>
        <v>1.0856049020355801E-6</v>
      </c>
      <c r="N2091" s="1">
        <f>'[1]Electricity and CHPs_NCAP'!J$56</f>
        <v>1.8717612706024299E-4</v>
      </c>
      <c r="O2091" s="1">
        <f>'[1]Electricity and CHPs_NCAP'!K$56</f>
        <v>3.6543412615514902E-5</v>
      </c>
      <c r="P2091" s="1">
        <f>'[1]Electricity and CHPs_NCAP'!L$56</f>
        <v>1.5339839866773499E-5</v>
      </c>
      <c r="Q2091" s="1">
        <f>'[1]Electricity and CHPs_NCAP'!M$56</f>
        <v>2.97730764336134E-4</v>
      </c>
      <c r="S2091" s="3"/>
    </row>
    <row r="2092" spans="2:19" x14ac:dyDescent="0.5">
      <c r="B2092" s="5" t="str">
        <f t="shared" si="2216"/>
        <v>SPS1</v>
      </c>
      <c r="C2092" s="5" t="str">
        <f t="shared" si="2213"/>
        <v>CH</v>
      </c>
      <c r="D2092" t="s">
        <v>2221</v>
      </c>
      <c r="E2092" t="str">
        <f t="shared" si="2225"/>
        <v>GWe/yr.</v>
      </c>
      <c r="F2092" s="1">
        <f t="shared" ref="F2092:O2092" si="2228">F2093</f>
        <v>0</v>
      </c>
      <c r="G2092" s="1">
        <f t="shared" si="2228"/>
        <v>7.1321173149029799E-3</v>
      </c>
      <c r="H2092" s="1">
        <f t="shared" si="2228"/>
        <v>0.145867462679903</v>
      </c>
      <c r="I2092" s="1">
        <f t="shared" si="2228"/>
        <v>8.1126662807576803E-3</v>
      </c>
      <c r="J2092" s="1">
        <f t="shared" si="2228"/>
        <v>2.1988173628112399E-2</v>
      </c>
      <c r="K2092" s="1">
        <f t="shared" si="2228"/>
        <v>1.08833727014738E-6</v>
      </c>
      <c r="L2092" s="1">
        <f t="shared" si="2228"/>
        <v>0.17294462453348</v>
      </c>
      <c r="M2092" s="1">
        <f t="shared" si="2228"/>
        <v>1.02469556333821E-4</v>
      </c>
      <c r="N2092" s="1">
        <f t="shared" si="2228"/>
        <v>3.0044359538501399E-2</v>
      </c>
      <c r="O2092" s="1">
        <f t="shared" si="2228"/>
        <v>1.6310686288786301E-6</v>
      </c>
      <c r="P2092" s="1">
        <f>P2093</f>
        <v>0.17294767888527601</v>
      </c>
      <c r="Q2092" s="1">
        <f>Q2093</f>
        <v>0</v>
      </c>
      <c r="S2092" s="3"/>
    </row>
    <row r="2093" spans="2:19" x14ac:dyDescent="0.5">
      <c r="B2093" s="5" t="str">
        <f t="shared" si="2216"/>
        <v>SPS1</v>
      </c>
      <c r="C2093" s="5" t="str">
        <f t="shared" si="2213"/>
        <v>CH</v>
      </c>
      <c r="D2093" t="s">
        <v>2222</v>
      </c>
      <c r="E2093" t="str">
        <f t="shared" si="2225"/>
        <v>GWe/yr.</v>
      </c>
      <c r="F2093" s="1">
        <f>'[1]Electricity and CHPs_NCAP'!B$33</f>
        <v>0</v>
      </c>
      <c r="G2093" s="1">
        <f>'[1]Electricity and CHPs_NCAP'!C$33</f>
        <v>7.1321173149029799E-3</v>
      </c>
      <c r="H2093" s="1">
        <f>'[1]Electricity and CHPs_NCAP'!D$33</f>
        <v>0.145867462679903</v>
      </c>
      <c r="I2093" s="1">
        <f>'[1]Electricity and CHPs_NCAP'!E$33</f>
        <v>8.1126662807576803E-3</v>
      </c>
      <c r="J2093" s="1">
        <f>'[1]Electricity and CHPs_NCAP'!F$33</f>
        <v>2.1988173628112399E-2</v>
      </c>
      <c r="K2093" s="1">
        <f>'[1]Electricity and CHPs_NCAP'!G$33</f>
        <v>1.08833727014738E-6</v>
      </c>
      <c r="L2093" s="1">
        <f>'[1]Electricity and CHPs_NCAP'!H$33</f>
        <v>0.17294462453348</v>
      </c>
      <c r="M2093" s="1">
        <f>'[1]Electricity and CHPs_NCAP'!I$33</f>
        <v>1.02469556333821E-4</v>
      </c>
      <c r="N2093" s="1">
        <f>'[1]Electricity and CHPs_NCAP'!J$33</f>
        <v>3.0044359538501399E-2</v>
      </c>
      <c r="O2093" s="1">
        <f>'[1]Electricity and CHPs_NCAP'!K$33</f>
        <v>1.6310686288786301E-6</v>
      </c>
      <c r="P2093" s="1">
        <f>'[1]Electricity and CHPs_NCAP'!L$33</f>
        <v>0.17294767888527601</v>
      </c>
      <c r="Q2093" s="1">
        <f>'[1]Electricity and CHPs_NCAP'!M$33</f>
        <v>0</v>
      </c>
      <c r="S2093" s="3"/>
    </row>
    <row r="2094" spans="2:19" x14ac:dyDescent="0.5">
      <c r="B2094" s="5" t="str">
        <f t="shared" si="2216"/>
        <v>SPS1</v>
      </c>
      <c r="C2094" s="5" t="str">
        <f t="shared" si="2213"/>
        <v>CH</v>
      </c>
      <c r="D2094" t="s">
        <v>2223</v>
      </c>
      <c r="E2094" t="str">
        <f t="shared" si="2225"/>
        <v>GWe/yr.</v>
      </c>
      <c r="F2094" s="1">
        <f t="shared" ref="F2094:K2094" si="2229">SUM(F2095:F2099)</f>
        <v>0</v>
      </c>
      <c r="G2094" s="1">
        <f t="shared" si="2229"/>
        <v>6.3067015622682423E-6</v>
      </c>
      <c r="H2094" s="1">
        <f t="shared" si="2229"/>
        <v>3.8566449696920539</v>
      </c>
      <c r="I2094" s="1">
        <f t="shared" si="2229"/>
        <v>5.2645446614098708</v>
      </c>
      <c r="J2094" s="1">
        <f t="shared" si="2229"/>
        <v>7.4812663983459338</v>
      </c>
      <c r="K2094" s="1">
        <f t="shared" si="2229"/>
        <v>2.9686812504142175</v>
      </c>
      <c r="L2094" s="1">
        <f t="shared" ref="L2094:O2094" si="2230">SUM(L2095:L2099)</f>
        <v>8.0334017426676603</v>
      </c>
      <c r="M2094" s="1">
        <f t="shared" si="2230"/>
        <v>5.8901085845220367</v>
      </c>
      <c r="N2094" s="1">
        <f t="shared" si="2230"/>
        <v>6.5865715273455425</v>
      </c>
      <c r="O2094" s="1">
        <f t="shared" si="2230"/>
        <v>5.774844638997612</v>
      </c>
      <c r="P2094" s="1">
        <f>SUM(P2095:P2099)</f>
        <v>8.6292858690067842</v>
      </c>
      <c r="Q2094" s="1">
        <f>SUM(Q2095:Q2099)</f>
        <v>6.585134664411803</v>
      </c>
      <c r="S2094" s="3"/>
    </row>
    <row r="2095" spans="2:19" x14ac:dyDescent="0.5">
      <c r="B2095" s="5" t="str">
        <f t="shared" si="2216"/>
        <v>SPS1</v>
      </c>
      <c r="C2095" s="5" t="str">
        <f t="shared" si="2213"/>
        <v>CH</v>
      </c>
      <c r="D2095" t="s">
        <v>2224</v>
      </c>
      <c r="E2095" t="str">
        <f t="shared" si="2225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4.49248641432596E-2</v>
      </c>
      <c r="I2095" s="1">
        <f>'[1]Electricity and CHPs_NCAP'!E$34</f>
        <v>0.18450902022639168</v>
      </c>
      <c r="J2095" s="1">
        <f>'[1]Electricity and CHPs_NCAP'!F$34</f>
        <v>0.1943802926847987</v>
      </c>
      <c r="K2095" s="1">
        <f>'[1]Electricity and CHPs_NCAP'!G$34</f>
        <v>0.25804304530130573</v>
      </c>
      <c r="L2095" s="1">
        <f>'[1]Electricity and CHPs_NCAP'!H$34</f>
        <v>0.67781899263382817</v>
      </c>
      <c r="M2095" s="1">
        <f>'[1]Electricity and CHPs_NCAP'!I$34</f>
        <v>0.64876703443340111</v>
      </c>
      <c r="N2095" s="1">
        <f>'[1]Electricity and CHPs_NCAP'!J$34</f>
        <v>3.9001083501420738E-6</v>
      </c>
      <c r="O2095" s="1">
        <f>'[1]Electricity and CHPs_NCAP'!K$34</f>
        <v>5.6498108135800802E-6</v>
      </c>
      <c r="P2095" s="1">
        <f>'[1]Electricity and CHPs_NCAP'!L$34</f>
        <v>5.7420912747869752E-4</v>
      </c>
      <c r="Q2095" s="1">
        <f>'[1]Electricity and CHPs_NCAP'!M$34</f>
        <v>5.6788791723395458E-3</v>
      </c>
      <c r="S2095" s="3"/>
    </row>
    <row r="2096" spans="2:19" x14ac:dyDescent="0.5">
      <c r="B2096" s="5" t="str">
        <f t="shared" si="2216"/>
        <v>SPS1</v>
      </c>
      <c r="C2096" s="5" t="str">
        <f t="shared" si="2213"/>
        <v>CH</v>
      </c>
      <c r="D2096" t="s">
        <v>2225</v>
      </c>
      <c r="E2096" t="str">
        <f t="shared" si="2225"/>
        <v>GWe/yr.</v>
      </c>
      <c r="F2096" s="1">
        <f>'[1]Electricity and CHPs_NCAP'!B$35</f>
        <v>0</v>
      </c>
      <c r="G2096" s="1">
        <f>'[1]Electricity and CHPs_NCAP'!C$35</f>
        <v>1.2299577941021799E-8</v>
      </c>
      <c r="H2096" s="1">
        <f>'[1]Electricity and CHPs_NCAP'!D$35</f>
        <v>1.76796393388853</v>
      </c>
      <c r="I2096" s="1">
        <f>'[1]Electricity and CHPs_NCAP'!E$35</f>
        <v>1.70148395654468E-5</v>
      </c>
      <c r="J2096" s="1">
        <f>'[1]Electricity and CHPs_NCAP'!F$35</f>
        <v>1.91458109928288</v>
      </c>
      <c r="K2096" s="1">
        <f>'[1]Electricity and CHPs_NCAP'!G$35</f>
        <v>0.86938992394196801</v>
      </c>
      <c r="L2096" s="1">
        <f>'[1]Electricity and CHPs_NCAP'!H$35</f>
        <v>2.3094285522816702</v>
      </c>
      <c r="M2096" s="1">
        <f>'[1]Electricity and CHPs_NCAP'!I$35</f>
        <v>0.58894568423453697</v>
      </c>
      <c r="N2096" s="1">
        <f>'[1]Electricity and CHPs_NCAP'!J$35</f>
        <v>1.73843696035979</v>
      </c>
      <c r="O2096" s="1">
        <f>'[1]Electricity and CHPs_NCAP'!K$35</f>
        <v>1.6400334191949999</v>
      </c>
      <c r="P2096" s="1">
        <f>'[1]Electricity and CHPs_NCAP'!L$35</f>
        <v>2.6296110060021198</v>
      </c>
      <c r="Q2096" s="1">
        <f>'[1]Electricity and CHPs_NCAP'!M$35</f>
        <v>0.92546070091076504</v>
      </c>
      <c r="S2096" s="3"/>
    </row>
    <row r="2097" spans="2:19" x14ac:dyDescent="0.5">
      <c r="B2097" s="5" t="str">
        <f t="shared" si="2216"/>
        <v>SPS1</v>
      </c>
      <c r="C2097" s="5" t="str">
        <f t="shared" si="2213"/>
        <v>CH</v>
      </c>
      <c r="D2097" t="s">
        <v>2226</v>
      </c>
      <c r="E2097" t="str">
        <f t="shared" si="2225"/>
        <v>GWe/yr.</v>
      </c>
      <c r="F2097" s="1">
        <f>'[1]Electricity and CHPs_NCAP'!B$36</f>
        <v>0</v>
      </c>
      <c r="G2097" s="1">
        <f>'[1]Electricity and CHPs_NCAP'!C$36</f>
        <v>3.0518107278087028E-6</v>
      </c>
      <c r="H2097" s="1">
        <f>'[1]Electricity and CHPs_NCAP'!D$36</f>
        <v>2.169608896344575E-4</v>
      </c>
      <c r="I2097" s="1">
        <f>'[1]Electricity and CHPs_NCAP'!E$36</f>
        <v>3.4275061260477671</v>
      </c>
      <c r="J2097" s="1">
        <f>'[1]Electricity and CHPs_NCAP'!F$36</f>
        <v>0.46161299658763788</v>
      </c>
      <c r="K2097" s="1">
        <f>'[1]Electricity and CHPs_NCAP'!G$36</f>
        <v>0.75118008792218482</v>
      </c>
      <c r="L2097" s="1">
        <f>'[1]Electricity and CHPs_NCAP'!H$36</f>
        <v>1.8795681984507844</v>
      </c>
      <c r="M2097" s="1">
        <f>'[1]Electricity and CHPs_NCAP'!I$36</f>
        <v>2.6181337362140775</v>
      </c>
      <c r="N2097" s="1">
        <f>'[1]Electricity and CHPs_NCAP'!J$36</f>
        <v>0.71230652583361809</v>
      </c>
      <c r="O2097" s="1">
        <f>'[1]Electricity and CHPs_NCAP'!K$36</f>
        <v>1.0979319627484503</v>
      </c>
      <c r="P2097" s="1">
        <f>'[1]Electricity and CHPs_NCAP'!L$36</f>
        <v>2.2013379651898797</v>
      </c>
      <c r="Q2097" s="1">
        <f>'[1]Electricity and CHPs_NCAP'!M$36</f>
        <v>2.9563557680077324</v>
      </c>
      <c r="S2097" s="3"/>
    </row>
    <row r="2098" spans="2:19" x14ac:dyDescent="0.5">
      <c r="B2098" s="5" t="str">
        <f t="shared" si="2216"/>
        <v>SPS1</v>
      </c>
      <c r="C2098" s="5" t="str">
        <f t="shared" si="2213"/>
        <v>CH</v>
      </c>
      <c r="D2098" t="s">
        <v>2227</v>
      </c>
      <c r="E2098" t="str">
        <f t="shared" si="2225"/>
        <v>GWe/yr.</v>
      </c>
      <c r="F2098" s="1">
        <f>'[1]Electricity and CHPs_NCAP'!B$37</f>
        <v>0</v>
      </c>
      <c r="G2098" s="1">
        <f>'[1]Electricity and CHPs_NCAP'!C$37</f>
        <v>3.2307108088643688E-6</v>
      </c>
      <c r="H2098" s="1">
        <f>'[1]Electricity and CHPs_NCAP'!D$37</f>
        <v>1.2060645368304939</v>
      </c>
      <c r="I2098" s="1">
        <f>'[1]Electricity and CHPs_NCAP'!E$37</f>
        <v>1.652509342239872</v>
      </c>
      <c r="J2098" s="1">
        <f>'[1]Electricity and CHPs_NCAP'!F$37</f>
        <v>0.2583155420816769</v>
      </c>
      <c r="K2098" s="1">
        <f>'[1]Electricity and CHPs_NCAP'!G$37</f>
        <v>0.37419510315762428</v>
      </c>
      <c r="L2098" s="1">
        <f>'[1]Electricity and CHPs_NCAP'!H$37</f>
        <v>1.8912610819567068</v>
      </c>
      <c r="M2098" s="1">
        <f>'[1]Electricity and CHPs_NCAP'!I$37</f>
        <v>1.5394687519141059</v>
      </c>
      <c r="N2098" s="1">
        <f>'[1]Electricity and CHPs_NCAP'!J$37</f>
        <v>0.43674673785659501</v>
      </c>
      <c r="O2098" s="1">
        <f>'[1]Electricity and CHPs_NCAP'!K$37</f>
        <v>0.62086965365561797</v>
      </c>
      <c r="P2098" s="1">
        <f>'[1]Electricity and CHPs_NCAP'!L$37</f>
        <v>2.1202128212701457</v>
      </c>
      <c r="Q2098" s="1">
        <f>'[1]Electricity and CHPs_NCAP'!M$37</f>
        <v>1.7801019637298139</v>
      </c>
      <c r="S2098" s="3"/>
    </row>
    <row r="2099" spans="2:19" x14ac:dyDescent="0.5">
      <c r="B2099" s="5" t="str">
        <f t="shared" si="2216"/>
        <v>SPS1</v>
      </c>
      <c r="C2099" s="5" t="str">
        <f t="shared" si="2213"/>
        <v>CH</v>
      </c>
      <c r="D2099" t="s">
        <v>2228</v>
      </c>
      <c r="E2099" t="str">
        <f t="shared" si="2225"/>
        <v>GWe/yr.</v>
      </c>
      <c r="F2099" s="1">
        <f>'[1]Electricity and CHPs_NCAP'!B$38</f>
        <v>0</v>
      </c>
      <c r="G2099" s="1">
        <f>'[1]Electricity and CHPs_NCAP'!C$38</f>
        <v>1.18804476541489E-8</v>
      </c>
      <c r="H2099" s="1">
        <f>'[1]Electricity and CHPs_NCAP'!D$38</f>
        <v>0.83747467394013597</v>
      </c>
      <c r="I2099" s="1">
        <f>'[1]Electricity and CHPs_NCAP'!E$38</f>
        <v>3.15805627398674E-6</v>
      </c>
      <c r="J2099" s="1">
        <f>'[1]Electricity and CHPs_NCAP'!F$38</f>
        <v>4.6523764677089403</v>
      </c>
      <c r="K2099" s="1">
        <f>'[1]Electricity and CHPs_NCAP'!G$38</f>
        <v>0.71587309009113498</v>
      </c>
      <c r="L2099" s="1">
        <f>'[1]Electricity and CHPs_NCAP'!H$38</f>
        <v>1.2753249173446699</v>
      </c>
      <c r="M2099" s="1">
        <f>'[1]Electricity and CHPs_NCAP'!I$38</f>
        <v>0.49479337772591497</v>
      </c>
      <c r="N2099" s="1">
        <f>'[1]Electricity and CHPs_NCAP'!J$38</f>
        <v>3.6990774031871898</v>
      </c>
      <c r="O2099" s="1">
        <f>'[1]Electricity and CHPs_NCAP'!K$38</f>
        <v>2.41600395358773</v>
      </c>
      <c r="P2099" s="1">
        <f>'[1]Electricity and CHPs_NCAP'!L$38</f>
        <v>1.6775498674171601</v>
      </c>
      <c r="Q2099" s="1">
        <f>'[1]Electricity and CHPs_NCAP'!M$38</f>
        <v>0.91753735259115199</v>
      </c>
      <c r="S2099" s="3"/>
    </row>
    <row r="2100" spans="2:19" x14ac:dyDescent="0.5">
      <c r="B2100" s="5" t="str">
        <f t="shared" si="2216"/>
        <v>SPS1</v>
      </c>
      <c r="C2100" s="5" t="str">
        <f t="shared" si="2213"/>
        <v>CH</v>
      </c>
      <c r="D2100" t="s">
        <v>2229</v>
      </c>
      <c r="E2100" t="str">
        <f t="shared" si="2225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7.2012943723302205E-4</v>
      </c>
      <c r="L2100" s="1">
        <f>'[1]Electricity and CHPs_NCAP'!H$32</f>
        <v>4.1972187268823001E-7</v>
      </c>
      <c r="M2100" s="1">
        <f>'[1]Electricity and CHPs_NCAP'!I$32</f>
        <v>1.2979241315168599E-7</v>
      </c>
      <c r="N2100" s="1">
        <f>'[1]Electricity and CHPs_NCAP'!J$32</f>
        <v>1.5251756180353001E-7</v>
      </c>
      <c r="O2100" s="1">
        <f>'[1]Electricity and CHPs_NCAP'!K$32</f>
        <v>1.66268505704481E-7</v>
      </c>
      <c r="P2100" s="1">
        <f>'[1]Electricity and CHPs_NCAP'!L$32</f>
        <v>1.45242041094207E-6</v>
      </c>
      <c r="Q2100" s="1">
        <f>'[1]Electricity and CHPs_NCAP'!M$32</f>
        <v>0</v>
      </c>
      <c r="S2100" s="3"/>
    </row>
    <row r="2101" spans="2:19" x14ac:dyDescent="0.5">
      <c r="B2101" s="5" t="str">
        <f t="shared" si="2216"/>
        <v>SPS1</v>
      </c>
      <c r="C2101" s="5" t="str">
        <f t="shared" si="2213"/>
        <v>CH</v>
      </c>
      <c r="D2101" t="s">
        <v>2230</v>
      </c>
      <c r="E2101" t="str">
        <f t="shared" si="2225"/>
        <v>GWe/yr.</v>
      </c>
      <c r="F2101" s="1">
        <f t="shared" ref="F2101:K2101" si="2231">F2100</f>
        <v>0</v>
      </c>
      <c r="G2101" s="1">
        <f t="shared" si="2231"/>
        <v>0</v>
      </c>
      <c r="H2101" s="1">
        <f t="shared" si="2231"/>
        <v>0</v>
      </c>
      <c r="I2101" s="1">
        <f t="shared" si="2231"/>
        <v>0</v>
      </c>
      <c r="J2101" s="1">
        <f t="shared" si="2231"/>
        <v>0</v>
      </c>
      <c r="K2101" s="1">
        <f t="shared" si="2231"/>
        <v>7.2012943723302205E-4</v>
      </c>
      <c r="L2101" s="1">
        <f t="shared" ref="L2101:O2101" si="2232">L2100</f>
        <v>4.1972187268823001E-7</v>
      </c>
      <c r="M2101" s="1">
        <f t="shared" si="2232"/>
        <v>1.2979241315168599E-7</v>
      </c>
      <c r="N2101" s="1">
        <f t="shared" si="2232"/>
        <v>1.5251756180353001E-7</v>
      </c>
      <c r="O2101" s="1">
        <f t="shared" si="2232"/>
        <v>1.66268505704481E-7</v>
      </c>
      <c r="P2101" s="1">
        <f>P2100</f>
        <v>1.45242041094207E-6</v>
      </c>
      <c r="Q2101" s="1">
        <f>Q2100</f>
        <v>0</v>
      </c>
      <c r="S2101" s="3"/>
    </row>
    <row r="2102" spans="2:19" x14ac:dyDescent="0.5">
      <c r="B2102" s="5" t="str">
        <f t="shared" si="2216"/>
        <v>SPS1</v>
      </c>
      <c r="C2102" s="5" t="str">
        <f t="shared" si="2213"/>
        <v>CH</v>
      </c>
      <c r="D2102" t="s">
        <v>2231</v>
      </c>
      <c r="E2102" t="str">
        <f t="shared" si="2225"/>
        <v>GWe/yr.</v>
      </c>
      <c r="F2102" s="1">
        <f t="shared" ref="F2102:K2102" si="2233">SUM(F2103:F2105)</f>
        <v>0</v>
      </c>
      <c r="G2102" s="1">
        <f t="shared" si="2233"/>
        <v>0</v>
      </c>
      <c r="H2102" s="1">
        <f t="shared" si="2233"/>
        <v>0</v>
      </c>
      <c r="I2102" s="1">
        <f t="shared" si="2233"/>
        <v>3.4289181682819911E-4</v>
      </c>
      <c r="J2102" s="1">
        <f t="shared" si="2233"/>
        <v>4.0273607046652331E-2</v>
      </c>
      <c r="K2102" s="1">
        <f t="shared" si="2233"/>
        <v>8.7625219556780445E-2</v>
      </c>
      <c r="L2102" s="1">
        <f t="shared" ref="L2102:O2102" si="2234">SUM(L2103:L2105)</f>
        <v>0.10002735665745745</v>
      </c>
      <c r="M2102" s="1">
        <f t="shared" si="2234"/>
        <v>5.7497094797499086E-2</v>
      </c>
      <c r="N2102" s="1">
        <f t="shared" si="2234"/>
        <v>5.1293044482581644E-2</v>
      </c>
      <c r="O2102" s="1">
        <f t="shared" si="2234"/>
        <v>7.0859284141124856E-2</v>
      </c>
      <c r="P2102" s="1">
        <f>SUM(P2103:P2105)</f>
        <v>0.10234128829612595</v>
      </c>
      <c r="Q2102" s="1">
        <f>SUM(Q2103:Q2105)</f>
        <v>5.4007136343138543E-2</v>
      </c>
      <c r="S2102" s="3"/>
    </row>
    <row r="2103" spans="2:19" x14ac:dyDescent="0.5">
      <c r="B2103" s="5" t="str">
        <f t="shared" si="2216"/>
        <v>SPS1</v>
      </c>
      <c r="C2103" s="5" t="str">
        <f t="shared" si="2213"/>
        <v>CH</v>
      </c>
      <c r="D2103" t="s">
        <v>2232</v>
      </c>
      <c r="E2103" t="str">
        <f t="shared" si="2225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1.7351588725671E-2</v>
      </c>
      <c r="L2103" s="1">
        <f>'[1]Electricity and CHPs_NCAP'!H$30</f>
        <v>4.5477463396398098E-2</v>
      </c>
      <c r="M2103" s="1">
        <f>'[1]Electricity and CHPs_NCAP'!I$30</f>
        <v>1.0905453499551399E-2</v>
      </c>
      <c r="N2103" s="1">
        <f>'[1]Electricity and CHPs_NCAP'!J$30</f>
        <v>7.5714940048663204E-7</v>
      </c>
      <c r="O2103" s="1">
        <f>'[1]Electricity and CHPs_NCAP'!K$30</f>
        <v>1.5194026211492901E-2</v>
      </c>
      <c r="P2103" s="1">
        <f>'[1]Electricity and CHPs_NCAP'!L$30</f>
        <v>5.0285924160174203E-2</v>
      </c>
      <c r="Q2103" s="1">
        <f>'[1]Electricity and CHPs_NCAP'!M$30</f>
        <v>9.6057842550970104E-3</v>
      </c>
      <c r="S2103" s="3"/>
    </row>
    <row r="2104" spans="2:19" x14ac:dyDescent="0.5">
      <c r="B2104" s="5" t="str">
        <f t="shared" si="2216"/>
        <v>SPS1</v>
      </c>
      <c r="C2104" s="5" t="str">
        <f t="shared" si="2213"/>
        <v>CH</v>
      </c>
      <c r="D2104" t="s">
        <v>2233</v>
      </c>
      <c r="E2104" t="str">
        <f t="shared" si="2225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2.7157492886493902E-4</v>
      </c>
      <c r="J2104" s="1">
        <f>'[1]Electricity and CHPs_NCAP'!F$46</f>
        <v>4.0169444093280299E-2</v>
      </c>
      <c r="K2104" s="1">
        <f>'[1]Electricity and CHPs_NCAP'!G$46</f>
        <v>6.9533051532172402E-2</v>
      </c>
      <c r="L2104" s="1">
        <f>'[1]Electricity and CHPs_NCAP'!H$46</f>
        <v>5.1847411895309198E-2</v>
      </c>
      <c r="M2104" s="1">
        <f>'[1]Electricity and CHPs_NCAP'!I$46</f>
        <v>4.3383593889183003E-2</v>
      </c>
      <c r="N2104" s="1">
        <f>'[1]Electricity and CHPs_NCAP'!J$46</f>
        <v>5.1292115693461197E-2</v>
      </c>
      <c r="O2104" s="1">
        <f>'[1]Electricity and CHPs_NCAP'!K$46</f>
        <v>5.5664554968432103E-2</v>
      </c>
      <c r="P2104" s="1">
        <f>'[1]Electricity and CHPs_NCAP'!L$46</f>
        <v>5.1961161677637202E-2</v>
      </c>
      <c r="Q2104" s="1">
        <f>'[1]Electricity and CHPs_NCAP'!M$46</f>
        <v>4.2742463436335601E-2</v>
      </c>
      <c r="S2104" s="3"/>
    </row>
    <row r="2105" spans="2:19" x14ac:dyDescent="0.5">
      <c r="B2105" s="5" t="str">
        <f t="shared" si="2216"/>
        <v>SPS1</v>
      </c>
      <c r="C2105" s="5" t="str">
        <f t="shared" si="2213"/>
        <v>CH</v>
      </c>
      <c r="D2105" t="s">
        <v>2234</v>
      </c>
      <c r="E2105" t="str">
        <f t="shared" si="2225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7.1316887963260097E-5</v>
      </c>
      <c r="J2105" s="1">
        <f>'[1]Electricity and CHPs_NCAP'!F$57</f>
        <v>1.0416295337203201E-4</v>
      </c>
      <c r="K2105" s="1">
        <f>'[1]Electricity and CHPs_NCAP'!G$57</f>
        <v>7.4057929893704298E-4</v>
      </c>
      <c r="L2105" s="1">
        <f>'[1]Electricity and CHPs_NCAP'!H$57</f>
        <v>2.7024813657501499E-3</v>
      </c>
      <c r="M2105" s="1">
        <f>'[1]Electricity and CHPs_NCAP'!I$57</f>
        <v>3.20804740876469E-3</v>
      </c>
      <c r="N2105" s="1">
        <f>'[1]Electricity and CHPs_NCAP'!J$57</f>
        <v>1.71639719958351E-7</v>
      </c>
      <c r="O2105" s="1">
        <f>'[1]Electricity and CHPs_NCAP'!K$57</f>
        <v>7.0296119984841303E-7</v>
      </c>
      <c r="P2105" s="1">
        <f>'[1]Electricity and CHPs_NCAP'!L$57</f>
        <v>9.4202458314536798E-5</v>
      </c>
      <c r="Q2105" s="1">
        <f>'[1]Electricity and CHPs_NCAP'!M$57</f>
        <v>1.65888865170593E-3</v>
      </c>
      <c r="S2105" s="3"/>
    </row>
    <row r="2106" spans="2:19" x14ac:dyDescent="0.5">
      <c r="B2106" s="5" t="str">
        <f t="shared" si="2216"/>
        <v>SPS1</v>
      </c>
      <c r="C2106" s="5" t="str">
        <f t="shared" si="2213"/>
        <v>CH</v>
      </c>
      <c r="D2106" t="s">
        <v>2235</v>
      </c>
      <c r="E2106" t="str">
        <f t="shared" si="2225"/>
        <v>GWe/yr.</v>
      </c>
      <c r="F2106" s="1">
        <f t="shared" ref="F2106:K2106" si="2235">SUM(F2107:F2113)</f>
        <v>2.6303775398212582E-3</v>
      </c>
      <c r="G2106" s="1">
        <f t="shared" si="2235"/>
        <v>4.77886582851739E-6</v>
      </c>
      <c r="H2106" s="1">
        <f t="shared" si="2235"/>
        <v>1.3005136389482351E-5</v>
      </c>
      <c r="I2106" s="1">
        <f t="shared" si="2235"/>
        <v>0.14325360979268664</v>
      </c>
      <c r="J2106" s="1">
        <f t="shared" si="2235"/>
        <v>0.36558587227834932</v>
      </c>
      <c r="K2106" s="1">
        <f t="shared" si="2235"/>
        <v>0.3637084227250596</v>
      </c>
      <c r="L2106" s="1">
        <f t="shared" ref="L2106:O2106" si="2236">SUM(L2107:L2113)</f>
        <v>0.53137394975548613</v>
      </c>
      <c r="M2106" s="1">
        <f t="shared" si="2236"/>
        <v>0.61569988094221839</v>
      </c>
      <c r="N2106" s="1">
        <f t="shared" si="2236"/>
        <v>0.45280408139417383</v>
      </c>
      <c r="O2106" s="1">
        <f t="shared" si="2236"/>
        <v>0.39988227862673187</v>
      </c>
      <c r="P2106" s="1">
        <f>SUM(P2107:P2113)</f>
        <v>0.7301828586816983</v>
      </c>
      <c r="Q2106" s="1">
        <f>SUM(Q2107:Q2113)</f>
        <v>0.26820003531983433</v>
      </c>
      <c r="S2106" s="3"/>
    </row>
    <row r="2107" spans="2:19" x14ac:dyDescent="0.5">
      <c r="B2107" s="5" t="str">
        <f t="shared" si="2216"/>
        <v>SPS1</v>
      </c>
      <c r="C2107" s="5" t="str">
        <f t="shared" si="2213"/>
        <v>CH</v>
      </c>
      <c r="D2107" t="s">
        <v>2236</v>
      </c>
      <c r="E2107" t="str">
        <f t="shared" si="2225"/>
        <v>GWe/yr.</v>
      </c>
      <c r="F2107" s="1">
        <f>'[1]Electricity and CHPs_NCAP'!B$63</f>
        <v>0</v>
      </c>
      <c r="G2107" s="1">
        <f>'[1]Electricity and CHPs_NCAP'!C$63</f>
        <v>6.2757053248862204E-7</v>
      </c>
      <c r="H2107" s="1">
        <f>'[1]Electricity and CHPs_NCAP'!D$63</f>
        <v>6.6051880484353999E-7</v>
      </c>
      <c r="I2107" s="1">
        <f>'[1]Electricity and CHPs_NCAP'!E$63</f>
        <v>6.9942388504180601E-7</v>
      </c>
      <c r="J2107" s="1">
        <f>'[1]Electricity and CHPs_NCAP'!F$63</f>
        <v>1.0262242577954099E-6</v>
      </c>
      <c r="K2107" s="1">
        <f>'[1]Electricity and CHPs_NCAP'!G$63</f>
        <v>9.5065920998242704E-7</v>
      </c>
      <c r="L2107" s="1">
        <f>'[1]Electricity and CHPs_NCAP'!H$63</f>
        <v>8.8097707533257104E-7</v>
      </c>
      <c r="M2107" s="1">
        <f>'[1]Electricity and CHPs_NCAP'!I$63</f>
        <v>7.9890038677383502E-7</v>
      </c>
      <c r="N2107" s="1">
        <f>'[1]Electricity and CHPs_NCAP'!J$63</f>
        <v>7.5234542525025198E-7</v>
      </c>
      <c r="O2107" s="1">
        <f>'[1]Electricity and CHPs_NCAP'!K$63</f>
        <v>8.9872952800643802E-7</v>
      </c>
      <c r="P2107" s="1">
        <f>'[1]Electricity and CHPs_NCAP'!L$63</f>
        <v>1.1064236532621E-6</v>
      </c>
      <c r="Q2107" s="1">
        <f>'[1]Electricity and CHPs_NCAP'!M$63</f>
        <v>1.44046075696868E-6</v>
      </c>
      <c r="S2107" s="3"/>
    </row>
    <row r="2108" spans="2:19" x14ac:dyDescent="0.5">
      <c r="B2108" s="5" t="str">
        <f t="shared" si="2216"/>
        <v>SPS1</v>
      </c>
      <c r="C2108" s="5" t="str">
        <f t="shared" si="2213"/>
        <v>CH</v>
      </c>
      <c r="D2108" t="s">
        <v>2237</v>
      </c>
      <c r="E2108" t="str">
        <f t="shared" si="2225"/>
        <v>GWe/yr.</v>
      </c>
      <c r="F2108" s="1">
        <f>'[1]Electricity and CHPs_NCAP'!B$64</f>
        <v>4.4382352698327102E-4</v>
      </c>
      <c r="G2108" s="1">
        <f>'[1]Electricity and CHPs_NCAP'!C$64</f>
        <v>6.8546851105774897E-7</v>
      </c>
      <c r="H2108" s="1">
        <f>'[1]Electricity and CHPs_NCAP'!D$64</f>
        <v>2.3012048970670401E-6</v>
      </c>
      <c r="I2108" s="1">
        <f>'[1]Electricity and CHPs_NCAP'!E$64</f>
        <v>1.1154682368312401E-4</v>
      </c>
      <c r="J2108" s="1">
        <f>'[1]Electricity and CHPs_NCAP'!F$64</f>
        <v>0.28970493825642601</v>
      </c>
      <c r="K2108" s="1">
        <f>'[1]Electricity and CHPs_NCAP'!G$64</f>
        <v>0.221495136407757</v>
      </c>
      <c r="L2108" s="1">
        <f>'[1]Electricity and CHPs_NCAP'!H$64</f>
        <v>0.13954089227852001</v>
      </c>
      <c r="M2108" s="1">
        <f>'[1]Electricity and CHPs_NCAP'!I$64</f>
        <v>0.29605615704231197</v>
      </c>
      <c r="N2108" s="1">
        <f>'[1]Electricity and CHPs_NCAP'!J$64</f>
        <v>0.152437243325139</v>
      </c>
      <c r="O2108" s="1">
        <f>'[1]Electricity and CHPs_NCAP'!K$64</f>
        <v>0.20714909610561</v>
      </c>
      <c r="P2108" s="1">
        <f>'[1]Electricity and CHPs_NCAP'!L$64</f>
        <v>0.27712504638531299</v>
      </c>
      <c r="Q2108" s="1">
        <f>'[1]Electricity and CHPs_NCAP'!M$64</f>
        <v>9.4448861772789799E-2</v>
      </c>
      <c r="S2108" s="3"/>
    </row>
    <row r="2109" spans="2:19" x14ac:dyDescent="0.5">
      <c r="B2109" s="5" t="str">
        <f t="shared" si="2216"/>
        <v>SPS1</v>
      </c>
      <c r="C2109" s="5" t="str">
        <f t="shared" si="2213"/>
        <v>CH</v>
      </c>
      <c r="D2109" t="s">
        <v>2238</v>
      </c>
      <c r="E2109" t="str">
        <f t="shared" si="2225"/>
        <v>GWe/yr.</v>
      </c>
      <c r="F2109" s="1">
        <f>'[1]Electricity and CHPs_NCAP'!B$65</f>
        <v>3.2700650880345197E-4</v>
      </c>
      <c r="G2109" s="1">
        <f>'[1]Electricity and CHPs_NCAP'!C$65</f>
        <v>5.2016723522159701E-7</v>
      </c>
      <c r="H2109" s="1">
        <f>'[1]Electricity and CHPs_NCAP'!D$65</f>
        <v>1.7962800786850999E-6</v>
      </c>
      <c r="I2109" s="1">
        <f>'[1]Electricity and CHPs_NCAP'!E$65</f>
        <v>9.2540320309146494E-5</v>
      </c>
      <c r="J2109" s="1">
        <f>'[1]Electricity and CHPs_NCAP'!F$65</f>
        <v>4.8118306952467001E-3</v>
      </c>
      <c r="K2109" s="1">
        <f>'[1]Electricity and CHPs_NCAP'!G$65</f>
        <v>1.23778315635248E-2</v>
      </c>
      <c r="L2109" s="1">
        <f>'[1]Electricity and CHPs_NCAP'!H$65</f>
        <v>0.310019920377132</v>
      </c>
      <c r="M2109" s="1">
        <f>'[1]Electricity and CHPs_NCAP'!I$65</f>
        <v>0.17821630913278799</v>
      </c>
      <c r="N2109" s="1">
        <f>'[1]Electricity and CHPs_NCAP'!J$65</f>
        <v>0.19757136415441701</v>
      </c>
      <c r="O2109" s="1">
        <f>'[1]Electricity and CHPs_NCAP'!K$65</f>
        <v>7.2513521478080101E-2</v>
      </c>
      <c r="P2109" s="1">
        <f>'[1]Electricity and CHPs_NCAP'!L$65</f>
        <v>0.28118673304939901</v>
      </c>
      <c r="Q2109" s="1">
        <f>'[1]Electricity and CHPs_NCAP'!M$65</f>
        <v>0.100011238324569</v>
      </c>
      <c r="S2109" s="3"/>
    </row>
    <row r="2110" spans="2:19" x14ac:dyDescent="0.5">
      <c r="B2110" s="5" t="str">
        <f t="shared" si="2216"/>
        <v>SPS1</v>
      </c>
      <c r="C2110" s="5" t="str">
        <f t="shared" si="2213"/>
        <v>CH</v>
      </c>
      <c r="D2110" t="s">
        <v>2239</v>
      </c>
      <c r="E2110" t="str">
        <f t="shared" si="2225"/>
        <v>GWe/yr.</v>
      </c>
      <c r="F2110" s="1">
        <f>'[1]Electricity and CHPs_NCAP'!B$66</f>
        <v>3.0939249892992799E-4</v>
      </c>
      <c r="G2110" s="1">
        <f>'[1]Electricity and CHPs_NCAP'!C$66</f>
        <v>4.9015051332667005E-7</v>
      </c>
      <c r="H2110" s="1">
        <f>'[1]Electricity and CHPs_NCAP'!D$66</f>
        <v>1.3247677604426901E-6</v>
      </c>
      <c r="I2110" s="1">
        <f>'[1]Electricity and CHPs_NCAP'!E$66</f>
        <v>3.6601376165737103E-2</v>
      </c>
      <c r="J2110" s="1">
        <f>'[1]Electricity and CHPs_NCAP'!F$66</f>
        <v>3.8801293342953999E-2</v>
      </c>
      <c r="K2110" s="1">
        <f>'[1]Electricity and CHPs_NCAP'!G$66</f>
        <v>7.0487524603597501E-2</v>
      </c>
      <c r="L2110" s="1">
        <f>'[1]Electricity and CHPs_NCAP'!H$66</f>
        <v>4.40784536903664E-2</v>
      </c>
      <c r="M2110" s="1">
        <f>'[1]Electricity and CHPs_NCAP'!I$66</f>
        <v>5.5696230940072901E-2</v>
      </c>
      <c r="N2110" s="1">
        <f>'[1]Electricity and CHPs_NCAP'!J$66</f>
        <v>5.3611232742527402E-2</v>
      </c>
      <c r="O2110" s="1">
        <f>'[1]Electricity and CHPs_NCAP'!K$66</f>
        <v>5.2625828528951799E-2</v>
      </c>
      <c r="P2110" s="1">
        <f>'[1]Electricity and CHPs_NCAP'!L$66</f>
        <v>0.104990188143618</v>
      </c>
      <c r="Q2110" s="1">
        <f>'[1]Electricity and CHPs_NCAP'!M$66</f>
        <v>9.0312611035053695E-4</v>
      </c>
      <c r="S2110" s="3"/>
    </row>
    <row r="2111" spans="2:19" x14ac:dyDescent="0.5">
      <c r="B2111" s="5" t="str">
        <f t="shared" si="2216"/>
        <v>SPS1</v>
      </c>
      <c r="C2111" s="5" t="str">
        <f t="shared" si="2213"/>
        <v>CH</v>
      </c>
      <c r="D2111" t="s">
        <v>2240</v>
      </c>
      <c r="E2111" t="str">
        <f t="shared" si="2225"/>
        <v>GWe/yr.</v>
      </c>
      <c r="F2111" s="1">
        <f>'[1]Electricity and CHPs_NCAP'!B$67</f>
        <v>6.2015498896694906E-4</v>
      </c>
      <c r="G2111" s="1">
        <f>'[1]Electricity and CHPs_NCAP'!C$67</f>
        <v>9.8314906106839002E-7</v>
      </c>
      <c r="H2111" s="1">
        <f>'[1]Electricity and CHPs_NCAP'!D$67</f>
        <v>2.8063753518742299E-6</v>
      </c>
      <c r="I2111" s="1">
        <f>'[1]Electricity and CHPs_NCAP'!E$67</f>
        <v>3.5194530604962304E-2</v>
      </c>
      <c r="J2111" s="1">
        <f>'[1]Electricity and CHPs_NCAP'!F$67</f>
        <v>1.283817260206636E-3</v>
      </c>
      <c r="K2111" s="1">
        <f>'[1]Electricity and CHPs_NCAP'!G$67</f>
        <v>2.2652897759669902E-2</v>
      </c>
      <c r="L2111" s="1">
        <f>'[1]Electricity and CHPs_NCAP'!H$67</f>
        <v>1.9554590192803759E-2</v>
      </c>
      <c r="M2111" s="1">
        <f>'[1]Electricity and CHPs_NCAP'!I$67</f>
        <v>1.8768249499829831E-2</v>
      </c>
      <c r="N2111" s="1">
        <f>'[1]Electricity and CHPs_NCAP'!J$67</f>
        <v>1.1519451757665101E-2</v>
      </c>
      <c r="O2111" s="1">
        <f>'[1]Electricity and CHPs_NCAP'!K$67</f>
        <v>3.8392067851974999E-2</v>
      </c>
      <c r="P2111" s="1">
        <f>'[1]Electricity and CHPs_NCAP'!L$67</f>
        <v>1.330622773525655E-2</v>
      </c>
      <c r="Q2111" s="1">
        <f>'[1]Electricity and CHPs_NCAP'!M$67</f>
        <v>3.0128117942395803E-2</v>
      </c>
      <c r="S2111" s="3"/>
    </row>
    <row r="2112" spans="2:19" x14ac:dyDescent="0.5">
      <c r="B2112" s="5" t="str">
        <f t="shared" si="2216"/>
        <v>SPS1</v>
      </c>
      <c r="C2112" s="5" t="str">
        <f t="shared" si="2213"/>
        <v>CH</v>
      </c>
      <c r="D2112" t="s">
        <v>2241</v>
      </c>
      <c r="E2112" t="str">
        <f t="shared" si="2225"/>
        <v>GWe/yr.</v>
      </c>
      <c r="F2112" s="1">
        <f>'[1]Electricity and CHPs_NCAP'!B$68</f>
        <v>6.1969348489853294E-4</v>
      </c>
      <c r="G2112" s="1">
        <f>'[1]Electricity and CHPs_NCAP'!C$68</f>
        <v>9.8139883778479588E-7</v>
      </c>
      <c r="H2112" s="1">
        <f>'[1]Electricity and CHPs_NCAP'!D$68</f>
        <v>2.7887741340986E-6</v>
      </c>
      <c r="I2112" s="1">
        <f>'[1]Electricity and CHPs_NCAP'!E$68</f>
        <v>4.4806905878205502E-2</v>
      </c>
      <c r="J2112" s="1">
        <f>'[1]Electricity and CHPs_NCAP'!F$68</f>
        <v>1.2299994993313929E-2</v>
      </c>
      <c r="K2112" s="1">
        <f>'[1]Electricity and CHPs_NCAP'!G$68</f>
        <v>2.5585570636973601E-2</v>
      </c>
      <c r="L2112" s="1">
        <f>'[1]Electricity and CHPs_NCAP'!H$68</f>
        <v>1.160168825100521E-2</v>
      </c>
      <c r="M2112" s="1">
        <f>'[1]Electricity and CHPs_NCAP'!I$68</f>
        <v>3.7840285683651095E-2</v>
      </c>
      <c r="N2112" s="1">
        <f>'[1]Electricity and CHPs_NCAP'!J$68</f>
        <v>2.3174857236227499E-2</v>
      </c>
      <c r="O2112" s="1">
        <f>'[1]Electricity and CHPs_NCAP'!K$68</f>
        <v>1.8134537078056838E-2</v>
      </c>
      <c r="P2112" s="1">
        <f>'[1]Electricity and CHPs_NCAP'!L$68</f>
        <v>3.1377269229898801E-2</v>
      </c>
      <c r="Q2112" s="1">
        <f>'[1]Electricity and CHPs_NCAP'!M$68</f>
        <v>2.58668480440594E-2</v>
      </c>
      <c r="S2112" s="3"/>
    </row>
    <row r="2113" spans="2:19" x14ac:dyDescent="0.5">
      <c r="B2113" s="5" t="str">
        <f t="shared" si="2216"/>
        <v>SPS1</v>
      </c>
      <c r="C2113" s="5" t="str">
        <f t="shared" si="2213"/>
        <v>CH</v>
      </c>
      <c r="D2113" t="s">
        <v>2242</v>
      </c>
      <c r="E2113" t="str">
        <f t="shared" si="2225"/>
        <v>GWe/yr.</v>
      </c>
      <c r="F2113" s="1">
        <f>'[1]Electricity and CHPs_NCAP'!B$69</f>
        <v>3.10306531239125E-4</v>
      </c>
      <c r="G2113" s="1">
        <f>'[1]Electricity and CHPs_NCAP'!C$69</f>
        <v>4.9096113756956602E-7</v>
      </c>
      <c r="H2113" s="1">
        <f>'[1]Electricity and CHPs_NCAP'!D$69</f>
        <v>1.32721536247115E-6</v>
      </c>
      <c r="I2113" s="1">
        <f>'[1]Electricity and CHPs_NCAP'!E$69</f>
        <v>2.64460105759044E-2</v>
      </c>
      <c r="J2113" s="1">
        <f>'[1]Electricity and CHPs_NCAP'!F$69</f>
        <v>1.8682971505944199E-2</v>
      </c>
      <c r="K2113" s="1">
        <f>'[1]Electricity and CHPs_NCAP'!G$69</f>
        <v>1.11085110943268E-2</v>
      </c>
      <c r="L2113" s="1">
        <f>'[1]Electricity and CHPs_NCAP'!H$69</f>
        <v>6.5775239885834799E-3</v>
      </c>
      <c r="M2113" s="1">
        <f>'[1]Electricity and CHPs_NCAP'!I$69</f>
        <v>2.9121849743177899E-2</v>
      </c>
      <c r="N2113" s="1">
        <f>'[1]Electricity and CHPs_NCAP'!J$69</f>
        <v>1.44891798327726E-2</v>
      </c>
      <c r="O2113" s="1">
        <f>'[1]Electricity and CHPs_NCAP'!K$69</f>
        <v>1.10663288545301E-2</v>
      </c>
      <c r="P2113" s="1">
        <f>'[1]Electricity and CHPs_NCAP'!L$69</f>
        <v>2.2196287714559601E-2</v>
      </c>
      <c r="Q2113" s="1">
        <f>'[1]Electricity and CHPs_NCAP'!M$69</f>
        <v>1.6840402664912799E-2</v>
      </c>
      <c r="S2113" s="3"/>
    </row>
    <row r="2114" spans="2:19" x14ac:dyDescent="0.5">
      <c r="B2114" s="5" t="str">
        <f>'SPS1'!B1902</f>
        <v>SPS1</v>
      </c>
      <c r="C2114" s="5" t="str">
        <f>'SPS1'!C1902</f>
        <v>CH</v>
      </c>
      <c r="D2114" s="2" t="s">
        <v>2243</v>
      </c>
      <c r="E2114" s="2" t="s">
        <v>1972</v>
      </c>
      <c r="F2114" s="3">
        <f t="shared" ref="F2114:K2114" si="2237">SUM(F2115:F2164)</f>
        <v>3.3305567045778376E-4</v>
      </c>
      <c r="G2114" s="3">
        <f t="shared" si="2237"/>
        <v>0.42948024393250595</v>
      </c>
      <c r="H2114" s="3">
        <f t="shared" si="2237"/>
        <v>0.91469983046760539</v>
      </c>
      <c r="I2114" s="3">
        <f t="shared" si="2237"/>
        <v>2.0666617100920517</v>
      </c>
      <c r="J2114" s="3">
        <f t="shared" si="2237"/>
        <v>3.1095352141491164</v>
      </c>
      <c r="K2114" s="3">
        <f t="shared" si="2237"/>
        <v>1.8685559699358414</v>
      </c>
      <c r="L2114" s="3">
        <f t="shared" ref="L2114:O2114" si="2238">SUM(L2115:L2164)</f>
        <v>2.3012161305549332</v>
      </c>
      <c r="M2114" s="3">
        <f t="shared" si="2238"/>
        <v>2.7668162614048133</v>
      </c>
      <c r="N2114" s="3">
        <f t="shared" si="2238"/>
        <v>2.283004516199783</v>
      </c>
      <c r="O2114" s="3">
        <f t="shared" si="2238"/>
        <v>2.1953567667197187</v>
      </c>
      <c r="P2114" s="3">
        <f>SUM(P2115:P2164)</f>
        <v>2.3483854261550521</v>
      </c>
      <c r="Q2114" s="3">
        <f>SUM(Q2115:Q2164)</f>
        <v>1.9567351922892529</v>
      </c>
      <c r="S2114" s="3"/>
    </row>
    <row r="2115" spans="2:19" x14ac:dyDescent="0.5">
      <c r="B2115" s="5" t="str">
        <f t="shared" ref="B2115:B2146" si="2239">B2114</f>
        <v>SPS1</v>
      </c>
      <c r="C2115" s="5" t="str">
        <f t="shared" ref="C2115:C2146" si="2240">C2114</f>
        <v>CH</v>
      </c>
      <c r="D2115" t="s">
        <v>2244</v>
      </c>
      <c r="E2115" t="str">
        <f t="shared" ref="E2115:E2146" si="2241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M2115" s="1" cm="1">
        <f t="array" ref="M2115">SUMPRODUCT(("var_ncap"=[1]OUT_TransportEnergyCons!$B$4:$B$10000)*1,("-"=[1]OUT_TransportEnergyCons!$C$4:$C$10000)*1,ISNUMBER(SEARCH("T_C*bat*ext",[1]OUT_TransportEnergyCons!$A$4:$A$10000))*1,[1]OUT_TransportEnergyCons!K$4:K$10000)</f>
        <v>0</v>
      </c>
      <c r="N2115" s="1" cm="1">
        <f t="array" ref="N2115">SUMPRODUCT(("var_ncap"=[1]OUT_TransportEnergyCons!$B$4:$B$10000)*1,("-"=[1]OUT_TransportEnergyCons!$C$4:$C$10000)*1,ISNUMBER(SEARCH("T_C*bat*ext",[1]OUT_TransportEnergyCons!$A$4:$A$10000))*1,[1]OUT_TransportEnergyCons!L$4:L$10000)</f>
        <v>0</v>
      </c>
      <c r="O2115" s="1" cm="1">
        <f t="array" ref="O2115">SUMPRODUCT(("var_ncap"=[1]OUT_TransportEnergyCons!$B$4:$B$10000)*1,("-"=[1]OUT_TransportEnergyCons!$C$4:$C$10000)*1,ISNUMBER(SEARCH("T_C*bat*ext",[1]OUT_TransportEnergyCons!$A$4:$A$10000))*1,[1]OUT_TransportEnergyCons!M$4:M$10000)</f>
        <v>0</v>
      </c>
      <c r="P2115" s="1" cm="1">
        <f t="array" ref="P2115">SUMPRODUCT(("var_ncap"=[1]OUT_TransportEnergyCons!$B$4:$B$10000)*1,("-"=[1]OUT_TransportEnergyCons!$C$4:$C$10000)*1,ISNUMBER(SEARCH("T_C*bat*ext",[1]OUT_TransportEnergyCons!$A$4:$A$10000))*1,[1]OUT_TransportEnergyCons!N$4:N$10000)</f>
        <v>0</v>
      </c>
      <c r="Q2115" s="1" cm="1">
        <f t="array" ref="Q2115">SUMPRODUCT(("var_ncap"=[1]OUT_TransportEnergyCons!$B$4:$B$10000)*1,("-"=[1]OUT_TransportEnergyCons!$C$4:$C$10000)*1,ISNUMBER(SEARCH("T_C*bat*ext",[1]OUT_TransportEnergyCons!$A$4:$A$10000))*1,[1]OUT_TransportEnergyCons!O$4:O$10000)</f>
        <v>0</v>
      </c>
      <c r="S2115" s="3"/>
    </row>
    <row r="2116" spans="2:19" x14ac:dyDescent="0.5">
      <c r="B2116" s="5" t="str">
        <f t="shared" si="2239"/>
        <v>SPS1</v>
      </c>
      <c r="C2116" s="5" t="str">
        <f t="shared" si="2240"/>
        <v>CH</v>
      </c>
      <c r="D2116" t="s">
        <v>2245</v>
      </c>
      <c r="E2116" t="str">
        <f t="shared" si="2241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5.3062428652250903E-5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6.2572695105845395E-4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1.1041743131724299E-3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0.149804975901284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0.17334585779061301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0.1360389456336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0.154234517210975</v>
      </c>
      <c r="M2116" s="1" cm="1">
        <f t="array" ref="M2116">SUMPRODUCT(("var_ncap"=[1]OUT_TransportEnergyCons!$B$4:$B$10000)*1,("-"=[1]OUT_TransportEnergyCons!$C$4:$C$10000)*1,ISNUMBER(SEARCH("T_C*bat*s1",[1]OUT_TransportEnergyCons!$A$4:$A$10000))*1,[1]OUT_TransportEnergyCons!K$4:K$10000)</f>
        <v>0.16473700066181701</v>
      </c>
      <c r="N2116" s="1" cm="1">
        <f t="array" ref="N2116">SUMPRODUCT(("var_ncap"=[1]OUT_TransportEnergyCons!$B$4:$B$10000)*1,("-"=[1]OUT_TransportEnergyCons!$C$4:$C$10000)*1,ISNUMBER(SEARCH("T_C*bat*s1",[1]OUT_TransportEnergyCons!$A$4:$A$10000))*1,[1]OUT_TransportEnergyCons!L$4:L$10000)</f>
        <v>0.13402729943389699</v>
      </c>
      <c r="O2116" s="1" cm="1">
        <f t="array" ref="O2116">SUMPRODUCT(("var_ncap"=[1]OUT_TransportEnergyCons!$B$4:$B$10000)*1,("-"=[1]OUT_TransportEnergyCons!$C$4:$C$10000)*1,ISNUMBER(SEARCH("T_C*bat*s1",[1]OUT_TransportEnergyCons!$A$4:$A$10000))*1,[1]OUT_TransportEnergyCons!M$4:M$10000)</f>
        <v>0.13320406111005201</v>
      </c>
      <c r="P2116" s="1" cm="1">
        <f t="array" ref="P2116">SUMPRODUCT(("var_ncap"=[1]OUT_TransportEnergyCons!$B$4:$B$10000)*1,("-"=[1]OUT_TransportEnergyCons!$C$4:$C$10000)*1,ISNUMBER(SEARCH("T_C*bat*s1",[1]OUT_TransportEnergyCons!$A$4:$A$10000))*1,[1]OUT_TransportEnergyCons!N$4:N$10000)</f>
        <v>0.129474965582003</v>
      </c>
      <c r="Q2116" s="1" cm="1">
        <f t="array" ref="Q2116">SUMPRODUCT(("var_ncap"=[1]OUT_TransportEnergyCons!$B$4:$B$10000)*1,("-"=[1]OUT_TransportEnergyCons!$C$4:$C$10000)*1,ISNUMBER(SEARCH("T_C*bat*s1",[1]OUT_TransportEnergyCons!$A$4:$A$10000))*1,[1]OUT_TransportEnergyCons!O$4:O$10000)</f>
        <v>0.10492497515604</v>
      </c>
      <c r="S2116" s="3"/>
    </row>
    <row r="2117" spans="2:19" x14ac:dyDescent="0.5">
      <c r="B2117" s="5" t="str">
        <f t="shared" si="2239"/>
        <v>SPS1</v>
      </c>
      <c r="C2117" s="5" t="str">
        <f t="shared" si="2240"/>
        <v>CH</v>
      </c>
      <c r="D2117" t="s">
        <v>2246</v>
      </c>
      <c r="E2117" t="str">
        <f t="shared" si="2241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7.4832309555097096E-5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2.00586046201347E-4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0.105957177103947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0.57275112495040303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1.2831272477364599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0.55179500115424995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0.70727042049399702</v>
      </c>
      <c r="M2117" s="1" cm="1">
        <f t="array" ref="M2117">SUMPRODUCT(("var_ncap"=[1]OUT_TransportEnergyCons!$B$4:$B$10000)*1,("-"=[1]OUT_TransportEnergyCons!$C$4:$C$10000)*1,ISNUMBER(SEARCH("T_C*bat*s2",[1]OUT_TransportEnergyCons!$A$4:$A$10000))*1,[1]OUT_TransportEnergyCons!K$4:K$10000)</f>
        <v>0.99930737787926205</v>
      </c>
      <c r="N2117" s="1" cm="1">
        <f t="array" ref="N2117">SUMPRODUCT(("var_ncap"=[1]OUT_TransportEnergyCons!$B$4:$B$10000)*1,("-"=[1]OUT_TransportEnergyCons!$C$4:$C$10000)*1,ISNUMBER(SEARCH("T_C*bat*s2",[1]OUT_TransportEnergyCons!$A$4:$A$10000))*1,[1]OUT_TransportEnergyCons!L$4:L$10000)</f>
        <v>0.61008744867514497</v>
      </c>
      <c r="O2117" s="1" cm="1">
        <f t="array" ref="O2117">SUMPRODUCT(("var_ncap"=[1]OUT_TransportEnergyCons!$B$4:$B$10000)*1,("-"=[1]OUT_TransportEnergyCons!$C$4:$C$10000)*1,ISNUMBER(SEARCH("T_C*bat*s2",[1]OUT_TransportEnergyCons!$A$4:$A$10000))*1,[1]OUT_TransportEnergyCons!M$4:M$10000)</f>
        <v>0.66270245796646798</v>
      </c>
      <c r="P2117" s="1" cm="1">
        <f t="array" ref="P2117">SUMPRODUCT(("var_ncap"=[1]OUT_TransportEnergyCons!$B$4:$B$10000)*1,("-"=[1]OUT_TransportEnergyCons!$C$4:$C$10000)*1,ISNUMBER(SEARCH("T_C*bat*s2",[1]OUT_TransportEnergyCons!$A$4:$A$10000))*1,[1]OUT_TransportEnergyCons!N$4:N$10000)</f>
        <v>0.72267946743390199</v>
      </c>
      <c r="Q2117" s="1" cm="1">
        <f t="array" ref="Q2117">SUMPRODUCT(("var_ncap"=[1]OUT_TransportEnergyCons!$B$4:$B$10000)*1,("-"=[1]OUT_TransportEnergyCons!$C$4:$C$10000)*1,ISNUMBER(SEARCH("T_C*bat*s2",[1]OUT_TransportEnergyCons!$A$4:$A$10000))*1,[1]OUT_TransportEnergyCons!O$4:O$10000)</f>
        <v>0.499308109386712</v>
      </c>
      <c r="S2117" s="3"/>
    </row>
    <row r="2118" spans="2:19" x14ac:dyDescent="0.5">
      <c r="B2118" s="5" t="str">
        <f t="shared" si="2239"/>
        <v>SPS1</v>
      </c>
      <c r="C2118" s="5" t="str">
        <f t="shared" si="2240"/>
        <v>CH</v>
      </c>
      <c r="D2118" t="s">
        <v>2247</v>
      </c>
      <c r="E2118" t="str">
        <f t="shared" si="2241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5.5205578656000799E-5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2.6045468795452098E-3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1.44875818700289E-3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2.3424041541278301E-4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5.84022568583452E-2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0.37065469387279099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2.9218069733618499E-2</v>
      </c>
      <c r="M2118" s="1" cm="1">
        <f t="array" ref="M2118">SUMPRODUCT(("var_ncap"=[1]OUT_TransportEnergyCons!$B$4:$B$10000)*1,("-"=[1]OUT_TransportEnergyCons!$C$4:$C$10000)*1,ISNUMBER(SEARCH("T_C*bat*s3",[1]OUT_TransportEnergyCons!$A$4:$A$10000))*1,[1]OUT_TransportEnergyCons!K$4:K$10000)</f>
        <v>0.622128333598434</v>
      </c>
      <c r="N2118" s="1" cm="1">
        <f t="array" ref="N2118">SUMPRODUCT(("var_ncap"=[1]OUT_TransportEnergyCons!$B$4:$B$10000)*1,("-"=[1]OUT_TransportEnergyCons!$C$4:$C$10000)*1,ISNUMBER(SEARCH("T_C*bat*s3",[1]OUT_TransportEnergyCons!$A$4:$A$10000))*1,[1]OUT_TransportEnergyCons!L$4:L$10000)</f>
        <v>0.38242457436509403</v>
      </c>
      <c r="O2118" s="1" cm="1">
        <f t="array" ref="O2118">SUMPRODUCT(("var_ncap"=[1]OUT_TransportEnergyCons!$B$4:$B$10000)*1,("-"=[1]OUT_TransportEnergyCons!$C$4:$C$10000)*1,ISNUMBER(SEARCH("T_C*bat*s3",[1]OUT_TransportEnergyCons!$A$4:$A$10000))*1,[1]OUT_TransportEnergyCons!M$4:M$10000)</f>
        <v>0.54903686942311603</v>
      </c>
      <c r="P2118" s="1" cm="1">
        <f t="array" ref="P2118">SUMPRODUCT(("var_ncap"=[1]OUT_TransportEnergyCons!$B$4:$B$10000)*1,("-"=[1]OUT_TransportEnergyCons!$C$4:$C$10000)*1,ISNUMBER(SEARCH("T_C*bat*s3",[1]OUT_TransportEnergyCons!$A$4:$A$10000))*1,[1]OUT_TransportEnergyCons!N$4:N$10000)</f>
        <v>1.3860179117132601</v>
      </c>
      <c r="Q2118" s="1" cm="1">
        <f t="array" ref="Q2118">SUMPRODUCT(("var_ncap"=[1]OUT_TransportEnergyCons!$B$4:$B$10000)*1,("-"=[1]OUT_TransportEnergyCons!$C$4:$C$10000)*1,ISNUMBER(SEARCH("T_C*bat*s3",[1]OUT_TransportEnergyCons!$A$4:$A$10000))*1,[1]OUT_TransportEnergyCons!O$4:O$10000)</f>
        <v>3.68683820308053E-4</v>
      </c>
      <c r="S2118" s="3"/>
    </row>
    <row r="2119" spans="2:19" x14ac:dyDescent="0.5">
      <c r="B2119" s="5" t="str">
        <f t="shared" si="2239"/>
        <v>SPS1</v>
      </c>
      <c r="C2119" s="5" t="str">
        <f t="shared" si="2240"/>
        <v>CH</v>
      </c>
      <c r="D2119" t="s">
        <v>2248</v>
      </c>
      <c r="E2119" t="str">
        <f t="shared" si="2241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1.4995535359443499E-4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7.2506258148322997E-2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0.171844502234866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0.81650601709571602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0.87679748521543799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0.81006672593680096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0.96315614930240401</v>
      </c>
      <c r="M2119" s="1" cm="1">
        <f t="array" ref="M2119">SUMPRODUCT(("var_ncap"=[1]OUT_TransportEnergyCons!$B$4:$B$10000)*1,("-"=[1]OUT_TransportEnergyCons!$C$4:$C$10000)*1,ISNUMBER(SEARCH("T_C*bat*s4",[1]OUT_TransportEnergyCons!$A$4:$A$10000))*1,[1]OUT_TransportEnergyCons!K$4:K$10000)</f>
        <v>0.98064307101293602</v>
      </c>
      <c r="N2119" s="1" cm="1">
        <f t="array" ref="N2119">SUMPRODUCT(("var_ncap"=[1]OUT_TransportEnergyCons!$B$4:$B$10000)*1,("-"=[1]OUT_TransportEnergyCons!$C$4:$C$10000)*1,ISNUMBER(SEARCH("T_C*bat*s4",[1]OUT_TransportEnergyCons!$A$4:$A$10000))*1,[1]OUT_TransportEnergyCons!L$4:L$10000)</f>
        <v>0.99391649153065598</v>
      </c>
      <c r="O2119" s="1" cm="1">
        <f t="array" ref="O2119">SUMPRODUCT(("var_ncap"=[1]OUT_TransportEnergyCons!$B$4:$B$10000)*1,("-"=[1]OUT_TransportEnergyCons!$C$4:$C$10000)*1,ISNUMBER(SEARCH("T_C*bat*s4",[1]OUT_TransportEnergyCons!$A$4:$A$10000))*1,[1]OUT_TransportEnergyCons!M$4:M$10000)</f>
        <v>0.55889090961825905</v>
      </c>
      <c r="P2119" s="1" cm="1">
        <f t="array" ref="P2119">SUMPRODUCT(("var_ncap"=[1]OUT_TransportEnergyCons!$B$4:$B$10000)*1,("-"=[1]OUT_TransportEnergyCons!$C$4:$C$10000)*1,ISNUMBER(SEARCH("T_C*bat*s4",[1]OUT_TransportEnergyCons!$A$4:$A$10000))*1,[1]OUT_TransportEnergyCons!N$4:N$10000)</f>
        <v>7.6341360205527606E-2</v>
      </c>
      <c r="Q2119" s="1" cm="1">
        <f t="array" ref="Q2119">SUMPRODUCT(("var_ncap"=[1]OUT_TransportEnergyCons!$B$4:$B$10000)*1,("-"=[1]OUT_TransportEnergyCons!$C$4:$C$10000)*1,ISNUMBER(SEARCH("T_C*bat*s4",[1]OUT_TransportEnergyCons!$A$4:$A$10000))*1,[1]OUT_TransportEnergyCons!O$4:O$10000)</f>
        <v>1.28902310437725</v>
      </c>
      <c r="S2119" s="3"/>
    </row>
    <row r="2120" spans="2:19" x14ac:dyDescent="0.5">
      <c r="B2120" s="5" t="str">
        <f t="shared" si="2239"/>
        <v>SPS1</v>
      </c>
      <c r="C2120" s="5" t="str">
        <f t="shared" si="2240"/>
        <v>CH</v>
      </c>
      <c r="D2120" t="s">
        <v>2249</v>
      </c>
      <c r="E2120" t="str">
        <f t="shared" si="2241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3.9272426660165903E-5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4.3125151214644902E-5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4.20292983697552E-5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4.9311198077131597E-5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0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3.6737574435914801E-5</v>
      </c>
      <c r="M2120" s="1" cm="1">
        <f t="array" ref="M2120">SUMPRODUCT(("var_ncap"=[1]OUT_TransportEnergyCons!$B$4:$B$10000)*1,("-"=[1]OUT_TransportEnergyCons!$C$4:$C$10000)*1,ISNUMBER(SEARCH("T_C*pev*GSL*s1",[1]OUT_TransportEnergyCons!$A$4:$A$10000))*1,[1]OUT_TransportEnergyCons!K$4:K$10000)</f>
        <v>0</v>
      </c>
      <c r="N2120" s="1" cm="1">
        <f t="array" ref="N2120">SUMPRODUCT(("var_ncap"=[1]OUT_TransportEnergyCons!$B$4:$B$10000)*1,("-"=[1]OUT_TransportEnergyCons!$C$4:$C$10000)*1,ISNUMBER(SEARCH("T_C*pev*GSL*s1",[1]OUT_TransportEnergyCons!$A$4:$A$10000))*1,[1]OUT_TransportEnergyCons!L$4:L$10000)</f>
        <v>2.4646888004689897E-4</v>
      </c>
      <c r="O2120" s="1" cm="1">
        <f t="array" ref="O2120">SUMPRODUCT(("var_ncap"=[1]OUT_TransportEnergyCons!$B$4:$B$10000)*1,("-"=[1]OUT_TransportEnergyCons!$C$4:$C$10000)*1,ISNUMBER(SEARCH("T_C*pev*GSL*s1",[1]OUT_TransportEnergyCons!$A$4:$A$10000))*1,[1]OUT_TransportEnergyCons!M$4:M$10000)</f>
        <v>2.13777289144597E-4</v>
      </c>
      <c r="P2120" s="1" cm="1">
        <f t="array" ref="P2120">SUMPRODUCT(("var_ncap"=[1]OUT_TransportEnergyCons!$B$4:$B$10000)*1,("-"=[1]OUT_TransportEnergyCons!$C$4:$C$10000)*1,ISNUMBER(SEARCH("T_C*pev*GSL*s1",[1]OUT_TransportEnergyCons!$A$4:$A$10000))*1,[1]OUT_TransportEnergyCons!N$4:N$10000)</f>
        <v>1.8343985379657801E-4</v>
      </c>
      <c r="Q2120" s="1" cm="1">
        <f t="array" ref="Q2120">SUMPRODUCT(("var_ncap"=[1]OUT_TransportEnergyCons!$B$4:$B$10000)*1,("-"=[1]OUT_TransportEnergyCons!$C$4:$C$10000)*1,ISNUMBER(SEARCH("T_C*pev*GSL*s1",[1]OUT_TransportEnergyCons!$A$4:$A$10000))*1,[1]OUT_TransportEnergyCons!O$4:O$10000)</f>
        <v>3.1315501791624598E-4</v>
      </c>
      <c r="S2120" s="3"/>
    </row>
    <row r="2121" spans="2:19" x14ac:dyDescent="0.5">
      <c r="B2121" s="5" t="str">
        <f t="shared" si="2239"/>
        <v>SPS1</v>
      </c>
      <c r="C2121" s="5" t="str">
        <f t="shared" si="2240"/>
        <v>CH</v>
      </c>
      <c r="D2121" t="s">
        <v>2250</v>
      </c>
      <c r="E2121" t="str">
        <f t="shared" si="2241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2.2727079722127901E-5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7.1763019442467707E-5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1.38567424914963E-4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8.0538079562051006E-5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0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9.3782405925250896E-5</v>
      </c>
      <c r="M2121" s="1" cm="1">
        <f t="array" ref="M2121">SUMPRODUCT(("var_ncap"=[1]OUT_TransportEnergyCons!$B$4:$B$10000)*1,("-"=[1]OUT_TransportEnergyCons!$C$4:$C$10000)*1,ISNUMBER(SEARCH("T_C*pev*GSL*s2",[1]OUT_TransportEnergyCons!$A$4:$A$10000))*1,[1]OUT_TransportEnergyCons!K$4:K$10000)</f>
        <v>0</v>
      </c>
      <c r="N2121" s="1" cm="1">
        <f t="array" ref="N2121">SUMPRODUCT(("var_ncap"=[1]OUT_TransportEnergyCons!$B$4:$B$10000)*1,("-"=[1]OUT_TransportEnergyCons!$C$4:$C$10000)*1,ISNUMBER(SEARCH("T_C*pev*GSL*s2",[1]OUT_TransportEnergyCons!$A$4:$A$10000))*1,[1]OUT_TransportEnergyCons!L$4:L$10000)</f>
        <v>6.6234418789450598E-4</v>
      </c>
      <c r="O2121" s="1" cm="1">
        <f t="array" ref="O2121">SUMPRODUCT(("var_ncap"=[1]OUT_TransportEnergyCons!$B$4:$B$10000)*1,("-"=[1]OUT_TransportEnergyCons!$C$4:$C$10000)*1,ISNUMBER(SEARCH("T_C*pev*GSL*s2",[1]OUT_TransportEnergyCons!$A$4:$A$10000))*1,[1]OUT_TransportEnergyCons!M$4:M$10000)</f>
        <v>8.9466894875592302E-5</v>
      </c>
      <c r="P2121" s="1" cm="1">
        <f t="array" ref="P2121">SUMPRODUCT(("var_ncap"=[1]OUT_TransportEnergyCons!$B$4:$B$10000)*1,("-"=[1]OUT_TransportEnergyCons!$C$4:$C$10000)*1,ISNUMBER(SEARCH("T_C*pev*GSL*s2",[1]OUT_TransportEnergyCons!$A$4:$A$10000))*1,[1]OUT_TransportEnergyCons!N$4:N$10000)</f>
        <v>7.4791885037738405E-5</v>
      </c>
      <c r="Q2121" s="1" cm="1">
        <f t="array" ref="Q2121">SUMPRODUCT(("var_ncap"=[1]OUT_TransportEnergyCons!$B$4:$B$10000)*1,("-"=[1]OUT_TransportEnergyCons!$C$4:$C$10000)*1,ISNUMBER(SEARCH("T_C*pev*GSL*s2",[1]OUT_TransportEnergyCons!$A$4:$A$10000))*1,[1]OUT_TransportEnergyCons!O$4:O$10000)</f>
        <v>1.31986045678136E-4</v>
      </c>
      <c r="S2121" s="3"/>
    </row>
    <row r="2122" spans="2:19" x14ac:dyDescent="0.5">
      <c r="B2122" s="5" t="str">
        <f t="shared" si="2239"/>
        <v>SPS1</v>
      </c>
      <c r="C2122" s="5" t="str">
        <f t="shared" si="2240"/>
        <v>CH</v>
      </c>
      <c r="D2122" t="s">
        <v>2251</v>
      </c>
      <c r="E2122" t="str">
        <f t="shared" si="2241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2.38118334679476E-4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7.3287667434098702E-2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0.18594261920876201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0.47727383413715602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0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0.22414439040297099</v>
      </c>
      <c r="M2122" s="1" cm="1">
        <f t="array" ref="M2122">SUMPRODUCT(("var_ncap"=[1]OUT_TransportEnergyCons!$B$4:$B$10000)*1,("-"=[1]OUT_TransportEnergyCons!$C$4:$C$10000)*1,ISNUMBER(SEARCH("T_C*pev*GSL*s3",[1]OUT_TransportEnergyCons!$A$4:$A$10000))*1,[1]OUT_TransportEnergyCons!K$4:K$10000)</f>
        <v>0</v>
      </c>
      <c r="N2122" s="1" cm="1">
        <f t="array" ref="N2122">SUMPRODUCT(("var_ncap"=[1]OUT_TransportEnergyCons!$B$4:$B$10000)*1,("-"=[1]OUT_TransportEnergyCons!$C$4:$C$10000)*1,ISNUMBER(SEARCH("T_C*pev*GSL*s3",[1]OUT_TransportEnergyCons!$A$4:$A$10000))*1,[1]OUT_TransportEnergyCons!L$4:L$10000)</f>
        <v>8.4035855024621896E-4</v>
      </c>
      <c r="O2122" s="1" cm="1">
        <f t="array" ref="O2122">SUMPRODUCT(("var_ncap"=[1]OUT_TransportEnergyCons!$B$4:$B$10000)*1,("-"=[1]OUT_TransportEnergyCons!$C$4:$C$10000)*1,ISNUMBER(SEARCH("T_C*pev*GSL*s3",[1]OUT_TransportEnergyCons!$A$4:$A$10000))*1,[1]OUT_TransportEnergyCons!M$4:M$10000)</f>
        <v>2.0201160882083E-4</v>
      </c>
      <c r="P2122" s="1" cm="1">
        <f t="array" ref="P2122">SUMPRODUCT(("var_ncap"=[1]OUT_TransportEnergyCons!$B$4:$B$10000)*1,("-"=[1]OUT_TransportEnergyCons!$C$4:$C$10000)*1,ISNUMBER(SEARCH("T_C*pev*GSL*s3",[1]OUT_TransportEnergyCons!$A$4:$A$10000))*1,[1]OUT_TransportEnergyCons!N$4:N$10000)</f>
        <v>1.6631170613935401E-4</v>
      </c>
      <c r="Q2122" s="1" cm="1">
        <f t="array" ref="Q2122">SUMPRODUCT(("var_ncap"=[1]OUT_TransportEnergyCons!$B$4:$B$10000)*1,("-"=[1]OUT_TransportEnergyCons!$C$4:$C$10000)*1,ISNUMBER(SEARCH("T_C*pev*GSL*s3",[1]OUT_TransportEnergyCons!$A$4:$A$10000))*1,[1]OUT_TransportEnergyCons!O$4:O$10000)</f>
        <v>1.56129078969756E-4</v>
      </c>
      <c r="S2122" s="3"/>
    </row>
    <row r="2123" spans="2:19" x14ac:dyDescent="0.5">
      <c r="B2123" s="5" t="str">
        <f t="shared" si="2239"/>
        <v>SPS1</v>
      </c>
      <c r="C2123" s="5" t="str">
        <f t="shared" si="2240"/>
        <v>CH</v>
      </c>
      <c r="D2123" t="s">
        <v>2252</v>
      </c>
      <c r="E2123" t="str">
        <f t="shared" si="2241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7.9535431155022997E-5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1.16822831842831E-4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3.3167751892455302E-4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1.4456488849397199E-4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0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1.3232936972239101E-4</v>
      </c>
      <c r="M2123" s="1" cm="1">
        <f t="array" ref="M2123">SUMPRODUCT(("var_ncap"=[1]OUT_TransportEnergyCons!$B$4:$B$10000)*1,("-"=[1]OUT_TransportEnergyCons!$C$4:$C$10000)*1,ISNUMBER(SEARCH("T_C*pev*GSL*s4",[1]OUT_TransportEnergyCons!$A$4:$A$10000))*1,[1]OUT_TransportEnergyCons!K$4:K$10000)</f>
        <v>0</v>
      </c>
      <c r="N2123" s="1" cm="1">
        <f t="array" ref="N2123">SUMPRODUCT(("var_ncap"=[1]OUT_TransportEnergyCons!$B$4:$B$10000)*1,("-"=[1]OUT_TransportEnergyCons!$C$4:$C$10000)*1,ISNUMBER(SEARCH("T_C*pev*GSL*s4",[1]OUT_TransportEnergyCons!$A$4:$A$10000))*1,[1]OUT_TransportEnergyCons!L$4:L$10000)</f>
        <v>0.101013567545822</v>
      </c>
      <c r="O2123" s="1" cm="1">
        <f t="array" ref="O2123">SUMPRODUCT(("var_ncap"=[1]OUT_TransportEnergyCons!$B$4:$B$10000)*1,("-"=[1]OUT_TransportEnergyCons!$C$4:$C$10000)*1,ISNUMBER(SEARCH("T_C*pev*GSL*s4",[1]OUT_TransportEnergyCons!$A$4:$A$10000))*1,[1]OUT_TransportEnergyCons!M$4:M$10000)</f>
        <v>0.177407751169567</v>
      </c>
      <c r="P2123" s="1" cm="1">
        <f t="array" ref="P2123">SUMPRODUCT(("var_ncap"=[1]OUT_TransportEnergyCons!$B$4:$B$10000)*1,("-"=[1]OUT_TransportEnergyCons!$C$4:$C$10000)*1,ISNUMBER(SEARCH("T_C*pev*GSL*s4",[1]OUT_TransportEnergyCons!$A$4:$A$10000))*1,[1]OUT_TransportEnergyCons!N$4:N$10000)</f>
        <v>2.1327603314900901E-2</v>
      </c>
      <c r="Q2123" s="1" cm="1">
        <f t="array" ref="Q2123">SUMPRODUCT(("var_ncap"=[1]OUT_TransportEnergyCons!$B$4:$B$10000)*1,("-"=[1]OUT_TransportEnergyCons!$C$4:$C$10000)*1,ISNUMBER(SEARCH("T_C*pev*GSL*s4",[1]OUT_TransportEnergyCons!$A$4:$A$10000))*1,[1]OUT_TransportEnergyCons!O$4:O$10000)</f>
        <v>2.8590834522845901E-2</v>
      </c>
      <c r="S2123" s="3"/>
    </row>
    <row r="2124" spans="2:19" x14ac:dyDescent="0.5">
      <c r="B2124" s="5" t="str">
        <f t="shared" si="2239"/>
        <v>SPS1</v>
      </c>
      <c r="C2124" s="5" t="str">
        <f t="shared" si="2240"/>
        <v>CH</v>
      </c>
      <c r="D2124" t="s">
        <v>2253</v>
      </c>
      <c r="E2124" t="str">
        <f t="shared" si="2241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4.6011832518255902E-5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4.61814212668953E-5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6.3378490461435004E-5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4.7661512566017601E-5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0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2.2069440205425299E-4</v>
      </c>
      <c r="M2124" s="1" cm="1">
        <f t="array" ref="M2124">SUMPRODUCT(("var_ncap"=[1]OUT_TransportEnergyCons!$B$4:$B$10000)*1,("-"=[1]OUT_TransportEnergyCons!$C$4:$C$10000)*1,ISNUMBER(SEARCH("T_C*pev*dsl*s1",[1]OUT_TransportEnergyCons!$A$4:$A$10000))*1,[1]OUT_TransportEnergyCons!K$4:K$10000)</f>
        <v>0</v>
      </c>
      <c r="N2124" s="1" cm="1">
        <f t="array" ref="N2124">SUMPRODUCT(("var_ncap"=[1]OUT_TransportEnergyCons!$B$4:$B$10000)*1,("-"=[1]OUT_TransportEnergyCons!$C$4:$C$10000)*1,ISNUMBER(SEARCH("T_C*pev*dsl*s1",[1]OUT_TransportEnergyCons!$A$4:$A$10000))*1,[1]OUT_TransportEnergyCons!L$4:L$10000)</f>
        <v>8.6282317500488599E-4</v>
      </c>
      <c r="O2124" s="1" cm="1">
        <f t="array" ref="O2124">SUMPRODUCT(("var_ncap"=[1]OUT_TransportEnergyCons!$B$4:$B$10000)*1,("-"=[1]OUT_TransportEnergyCons!$C$4:$C$10000)*1,ISNUMBER(SEARCH("T_C*pev*dsl*s1",[1]OUT_TransportEnergyCons!$A$4:$A$10000))*1,[1]OUT_TransportEnergyCons!M$4:M$10000)</f>
        <v>9.3788750539140004E-6</v>
      </c>
      <c r="P2124" s="1" cm="1">
        <f t="array" ref="P2124">SUMPRODUCT(("var_ncap"=[1]OUT_TransportEnergyCons!$B$4:$B$10000)*1,("-"=[1]OUT_TransportEnergyCons!$C$4:$C$10000)*1,ISNUMBER(SEARCH("T_C*pev*dsl*s1",[1]OUT_TransportEnergyCons!$A$4:$A$10000))*1,[1]OUT_TransportEnergyCons!N$4:N$10000)</f>
        <v>8.3920786501109706E-6</v>
      </c>
      <c r="Q2124" s="1" cm="1">
        <f t="array" ref="Q2124">SUMPRODUCT(("var_ncap"=[1]OUT_TransportEnergyCons!$B$4:$B$10000)*1,("-"=[1]OUT_TransportEnergyCons!$C$4:$C$10000)*1,ISNUMBER(SEARCH("T_C*pev*dsl*s1",[1]OUT_TransportEnergyCons!$A$4:$A$10000))*1,[1]OUT_TransportEnergyCons!O$4:O$10000)</f>
        <v>1.17942418385709E-5</v>
      </c>
      <c r="S2124" s="3"/>
    </row>
    <row r="2125" spans="2:19" x14ac:dyDescent="0.5">
      <c r="B2125" s="5" t="str">
        <f t="shared" si="2239"/>
        <v>SPS1</v>
      </c>
      <c r="C2125" s="5" t="str">
        <f t="shared" si="2240"/>
        <v>CH</v>
      </c>
      <c r="D2125" t="s">
        <v>2254</v>
      </c>
      <c r="E2125" t="str">
        <f t="shared" si="2241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3.2519462649546797E-5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8.9163899150470496E-5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2.7359761384641602E-4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8.1259416707136193E-5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0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6.3063758126724698E-4</v>
      </c>
      <c r="M2125" s="1" cm="1">
        <f t="array" ref="M2125">SUMPRODUCT(("var_ncap"=[1]OUT_TransportEnergyCons!$B$4:$B$10000)*1,("-"=[1]OUT_TransportEnergyCons!$C$4:$C$10000)*1,ISNUMBER(SEARCH("T_C*pev*dsl*s2",[1]OUT_TransportEnergyCons!$A$4:$A$10000))*1,[1]OUT_TransportEnergyCons!K$4:K$10000)</f>
        <v>0</v>
      </c>
      <c r="N2125" s="1" cm="1">
        <f t="array" ref="N2125">SUMPRODUCT(("var_ncap"=[1]OUT_TransportEnergyCons!$B$4:$B$10000)*1,("-"=[1]OUT_TransportEnergyCons!$C$4:$C$10000)*1,ISNUMBER(SEARCH("T_C*pev*dsl*s2",[1]OUT_TransportEnergyCons!$A$4:$A$10000))*1,[1]OUT_TransportEnergyCons!L$4:L$10000)</f>
        <v>4.59616120506946E-5</v>
      </c>
      <c r="O2125" s="1" cm="1">
        <f t="array" ref="O2125">SUMPRODUCT(("var_ncap"=[1]OUT_TransportEnergyCons!$B$4:$B$10000)*1,("-"=[1]OUT_TransportEnergyCons!$C$4:$C$10000)*1,ISNUMBER(SEARCH("T_C*pev*dsl*s2",[1]OUT_TransportEnergyCons!$A$4:$A$10000))*1,[1]OUT_TransportEnergyCons!M$4:M$10000)</f>
        <v>9.5521397271264597E-6</v>
      </c>
      <c r="P2125" s="1" cm="1">
        <f t="array" ref="P2125">SUMPRODUCT(("var_ncap"=[1]OUT_TransportEnergyCons!$B$4:$B$10000)*1,("-"=[1]OUT_TransportEnergyCons!$C$4:$C$10000)*1,ISNUMBER(SEARCH("T_C*pev*dsl*s2",[1]OUT_TransportEnergyCons!$A$4:$A$10000))*1,[1]OUT_TransportEnergyCons!N$4:N$10000)</f>
        <v>8.2187194407636298E-6</v>
      </c>
      <c r="Q2125" s="1" cm="1">
        <f t="array" ref="Q2125">SUMPRODUCT(("var_ncap"=[1]OUT_TransportEnergyCons!$B$4:$B$10000)*1,("-"=[1]OUT_TransportEnergyCons!$C$4:$C$10000)*1,ISNUMBER(SEARCH("T_C*pev*dsl*s2",[1]OUT_TransportEnergyCons!$A$4:$A$10000))*1,[1]OUT_TransportEnergyCons!O$4:O$10000)</f>
        <v>1.25557268433418E-5</v>
      </c>
      <c r="S2125" s="3"/>
    </row>
    <row r="2126" spans="2:19" x14ac:dyDescent="0.5">
      <c r="B2126" s="5" t="str">
        <f t="shared" si="2239"/>
        <v>SPS1</v>
      </c>
      <c r="C2126" s="5" t="str">
        <f t="shared" si="2240"/>
        <v>CH</v>
      </c>
      <c r="D2126" t="s">
        <v>2255</v>
      </c>
      <c r="E2126" t="str">
        <f t="shared" si="2241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3.2783277721960803E-2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3.7508049023176497E-2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0.33728876562686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0.240048726438888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0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0.22092584079775901</v>
      </c>
      <c r="M2126" s="1" cm="1">
        <f t="array" ref="M2126">SUMPRODUCT(("var_ncap"=[1]OUT_TransportEnergyCons!$B$4:$B$10000)*1,("-"=[1]OUT_TransportEnergyCons!$C$4:$C$10000)*1,ISNUMBER(SEARCH("T_C*pev*dsl*s3",[1]OUT_TransportEnergyCons!$A$4:$A$10000))*1,[1]OUT_TransportEnergyCons!K$4:K$10000)</f>
        <v>0</v>
      </c>
      <c r="N2126" s="1" cm="1">
        <f t="array" ref="N2126">SUMPRODUCT(("var_ncap"=[1]OUT_TransportEnergyCons!$B$4:$B$10000)*1,("-"=[1]OUT_TransportEnergyCons!$C$4:$C$10000)*1,ISNUMBER(SEARCH("T_C*pev*dsl*s3",[1]OUT_TransportEnergyCons!$A$4:$A$10000))*1,[1]OUT_TransportEnergyCons!L$4:L$10000)</f>
        <v>5.5277729463360097E-5</v>
      </c>
      <c r="O2126" s="1" cm="1">
        <f t="array" ref="O2126">SUMPRODUCT(("var_ncap"=[1]OUT_TransportEnergyCons!$B$4:$B$10000)*1,("-"=[1]OUT_TransportEnergyCons!$C$4:$C$10000)*1,ISNUMBER(SEARCH("T_C*pev*dsl*s3",[1]OUT_TransportEnergyCons!$A$4:$A$10000))*1,[1]OUT_TransportEnergyCons!M$4:M$10000)</f>
        <v>1.07446971287738E-5</v>
      </c>
      <c r="P2126" s="1" cm="1">
        <f t="array" ref="P2126">SUMPRODUCT(("var_ncap"=[1]OUT_TransportEnergyCons!$B$4:$B$10000)*1,("-"=[1]OUT_TransportEnergyCons!$C$4:$C$10000)*1,ISNUMBER(SEARCH("T_C*pev*dsl*s3",[1]OUT_TransportEnergyCons!$A$4:$A$10000))*1,[1]OUT_TransportEnergyCons!N$4:N$10000)</f>
        <v>9.3220389269868898E-6</v>
      </c>
      <c r="Q2126" s="1" cm="1">
        <f t="array" ref="Q2126">SUMPRODUCT(("var_ncap"=[1]OUT_TransportEnergyCons!$B$4:$B$10000)*1,("-"=[1]OUT_TransportEnergyCons!$C$4:$C$10000)*1,ISNUMBER(SEARCH("T_C*pev*dsl*s3",[1]OUT_TransportEnergyCons!$A$4:$A$10000))*1,[1]OUT_TransportEnergyCons!O$4:O$10000)</f>
        <v>1.3604572057832699E-5</v>
      </c>
      <c r="S2126" s="3"/>
    </row>
    <row r="2127" spans="2:19" x14ac:dyDescent="0.5">
      <c r="B2127" s="5" t="str">
        <f t="shared" si="2239"/>
        <v>SPS1</v>
      </c>
      <c r="C2127" s="5" t="str">
        <f t="shared" si="2240"/>
        <v>CH</v>
      </c>
      <c r="D2127" t="s">
        <v>2256</v>
      </c>
      <c r="E2127" t="str">
        <f t="shared" si="2241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1.33396065452273E-4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1.3055638092969801E-4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2.1095784194380199E-3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1.36057799176664E-4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1.1520279026398599E-3</v>
      </c>
      <c r="M2127" s="1" cm="1">
        <f t="array" ref="M2127">SUMPRODUCT(("var_ncap"=[1]OUT_TransportEnergyCons!$B$4:$B$10000)*1,("-"=[1]OUT_TransportEnergyCons!$C$4:$C$10000)*1,ISNUMBER(SEARCH("T_C*pev*dsl*s4",[1]OUT_TransportEnergyCons!$A$4:$A$10000))*1,[1]OUT_TransportEnergyCons!K$4:K$10000)</f>
        <v>0</v>
      </c>
      <c r="N2127" s="1" cm="1">
        <f t="array" ref="N2127">SUMPRODUCT(("var_ncap"=[1]OUT_TransportEnergyCons!$B$4:$B$10000)*1,("-"=[1]OUT_TransportEnergyCons!$C$4:$C$10000)*1,ISNUMBER(SEARCH("T_C*pev*dsl*s4",[1]OUT_TransportEnergyCons!$A$4:$A$10000))*1,[1]OUT_TransportEnergyCons!L$4:L$10000)</f>
        <v>5.88214991470642E-2</v>
      </c>
      <c r="O2127" s="1" cm="1">
        <f t="array" ref="O2127">SUMPRODUCT(("var_ncap"=[1]OUT_TransportEnergyCons!$B$4:$B$10000)*1,("-"=[1]OUT_TransportEnergyCons!$C$4:$C$10000)*1,ISNUMBER(SEARCH("T_C*pev*dsl*s4",[1]OUT_TransportEnergyCons!$A$4:$A$10000))*1,[1]OUT_TransportEnergyCons!M$4:M$10000)</f>
        <v>0.11357933612363599</v>
      </c>
      <c r="P2127" s="1" cm="1">
        <f t="array" ref="P2127">SUMPRODUCT(("var_ncap"=[1]OUT_TransportEnergyCons!$B$4:$B$10000)*1,("-"=[1]OUT_TransportEnergyCons!$C$4:$C$10000)*1,ISNUMBER(SEARCH("T_C*pev*dsl*s4",[1]OUT_TransportEnergyCons!$A$4:$A$10000))*1,[1]OUT_TransportEnergyCons!N$4:N$10000)</f>
        <v>1.2093247794133E-2</v>
      </c>
      <c r="Q2127" s="1" cm="1">
        <f t="array" ref="Q2127">SUMPRODUCT(("var_ncap"=[1]OUT_TransportEnergyCons!$B$4:$B$10000)*1,("-"=[1]OUT_TransportEnergyCons!$C$4:$C$10000)*1,ISNUMBER(SEARCH("T_C*pev*dsl*s4",[1]OUT_TransportEnergyCons!$A$4:$A$10000))*1,[1]OUT_TransportEnergyCons!O$4:O$10000)</f>
        <v>3.3879219274504699E-2</v>
      </c>
      <c r="S2127" s="3"/>
    </row>
    <row r="2128" spans="2:19" x14ac:dyDescent="0.5">
      <c r="B2128" s="5" t="str">
        <f t="shared" si="2239"/>
        <v>SPS1</v>
      </c>
      <c r="C2128" s="5" t="str">
        <f t="shared" si="2240"/>
        <v>CH</v>
      </c>
      <c r="D2128" t="s">
        <v>2257</v>
      </c>
      <c r="E2128" t="str">
        <f t="shared" si="2241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2.7827313306634801E-6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1.31457193978015E-6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9.8420007478882706E-8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1.2491021484829101E-7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1.9900715934652401E-7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1.5252226106128499E-7</v>
      </c>
      <c r="M2128" s="1" cm="1">
        <f t="array" ref="M2128">SUMPRODUCT(("var_ncap"=[1]OUT_TransportEnergyCons!$B$4:$B$10000)*1,("-"=[1]OUT_TransportEnergyCons!$C$4:$C$10000)*1,ISNUMBER(SEARCH("T_C*h2o*s1",[1]OUT_TransportEnergyCons!$A$4:$A$10000))*1,[1]OUT_TransportEnergyCons!K$4:K$10000)</f>
        <v>1.3633930061173899E-7</v>
      </c>
      <c r="N2128" s="1" cm="1">
        <f t="array" ref="N2128">SUMPRODUCT(("var_ncap"=[1]OUT_TransportEnergyCons!$B$4:$B$10000)*1,("-"=[1]OUT_TransportEnergyCons!$C$4:$C$10000)*1,ISNUMBER(SEARCH("T_C*h2o*s1",[1]OUT_TransportEnergyCons!$A$4:$A$10000))*1,[1]OUT_TransportEnergyCons!L$4:L$10000)</f>
        <v>9.9359267643561894E-8</v>
      </c>
      <c r="O2128" s="1" cm="1">
        <f t="array" ref="O2128">SUMPRODUCT(("var_ncap"=[1]OUT_TransportEnergyCons!$B$4:$B$10000)*1,("-"=[1]OUT_TransportEnergyCons!$C$4:$C$10000)*1,ISNUMBER(SEARCH("T_C*h2o*s1",[1]OUT_TransportEnergyCons!$A$4:$A$10000))*1,[1]OUT_TransportEnergyCons!M$4:M$10000)</f>
        <v>9.8603447292154495E-8</v>
      </c>
      <c r="P2128" s="1" cm="1">
        <f t="array" ref="P2128">SUMPRODUCT(("var_ncap"=[1]OUT_TransportEnergyCons!$B$4:$B$10000)*1,("-"=[1]OUT_TransportEnergyCons!$C$4:$C$10000)*1,ISNUMBER(SEARCH("T_C*h2o*s1",[1]OUT_TransportEnergyCons!$A$4:$A$10000))*1,[1]OUT_TransportEnergyCons!N$4:N$10000)</f>
        <v>6.9878397112952806E-8</v>
      </c>
      <c r="Q2128" s="1" cm="1">
        <f t="array" ref="Q2128">SUMPRODUCT(("var_ncap"=[1]OUT_TransportEnergyCons!$B$4:$B$10000)*1,("-"=[1]OUT_TransportEnergyCons!$C$4:$C$10000)*1,ISNUMBER(SEARCH("T_C*h2o*s1",[1]OUT_TransportEnergyCons!$A$4:$A$10000))*1,[1]OUT_TransportEnergyCons!O$4:O$10000)</f>
        <v>2.7908696775694602E-7</v>
      </c>
      <c r="S2128" s="3"/>
    </row>
    <row r="2129" spans="2:19" x14ac:dyDescent="0.5">
      <c r="B2129" s="5" t="str">
        <f t="shared" si="2239"/>
        <v>SPS1</v>
      </c>
      <c r="C2129" s="5" t="str">
        <f t="shared" si="2240"/>
        <v>CH</v>
      </c>
      <c r="D2129" t="s">
        <v>2258</v>
      </c>
      <c r="E2129" t="str">
        <f t="shared" si="2241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1.4325728405131201E-6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7.0575467485756198E-7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8.8250180071282101E-8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9.9478412934876403E-8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1.40478784861267E-7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1.3189962320132199E-7</v>
      </c>
      <c r="M2129" s="1" cm="1">
        <f t="array" ref="M2129">SUMPRODUCT(("var_ncap"=[1]OUT_TransportEnergyCons!$B$4:$B$10000)*1,("-"=[1]OUT_TransportEnergyCons!$C$4:$C$10000)*1,ISNUMBER(SEARCH("T_C*h2o*s2",[1]OUT_TransportEnergyCons!$A$4:$A$10000))*1,[1]OUT_TransportEnergyCons!K$4:K$10000)</f>
        <v>1.1933623221422199E-7</v>
      </c>
      <c r="N2129" s="1" cm="1">
        <f t="array" ref="N2129">SUMPRODUCT(("var_ncap"=[1]OUT_TransportEnergyCons!$B$4:$B$10000)*1,("-"=[1]OUT_TransportEnergyCons!$C$4:$C$10000)*1,ISNUMBER(SEARCH("T_C*h2o*s2",[1]OUT_TransportEnergyCons!$A$4:$A$10000))*1,[1]OUT_TransportEnergyCons!L$4:L$10000)</f>
        <v>1.00810529231651E-7</v>
      </c>
      <c r="O2129" s="1" cm="1">
        <f t="array" ref="O2129">SUMPRODUCT(("var_ncap"=[1]OUT_TransportEnergyCons!$B$4:$B$10000)*1,("-"=[1]OUT_TransportEnergyCons!$C$4:$C$10000)*1,ISNUMBER(SEARCH("T_C*h2o*s2",[1]OUT_TransportEnergyCons!$A$4:$A$10000))*1,[1]OUT_TransportEnergyCons!M$4:M$10000)</f>
        <v>1.1812523637952E-7</v>
      </c>
      <c r="P2129" s="1" cm="1">
        <f t="array" ref="P2129">SUMPRODUCT(("var_ncap"=[1]OUT_TransportEnergyCons!$B$4:$B$10000)*1,("-"=[1]OUT_TransportEnergyCons!$C$4:$C$10000)*1,ISNUMBER(SEARCH("T_C*h2o*s2",[1]OUT_TransportEnergyCons!$A$4:$A$10000))*1,[1]OUT_TransportEnergyCons!N$4:N$10000)</f>
        <v>1.03414678063679E-7</v>
      </c>
      <c r="Q2129" s="1" cm="1">
        <f t="array" ref="Q2129">SUMPRODUCT(("var_ncap"=[1]OUT_TransportEnergyCons!$B$4:$B$10000)*1,("-"=[1]OUT_TransportEnergyCons!$C$4:$C$10000)*1,ISNUMBER(SEARCH("T_C*h2o*s2",[1]OUT_TransportEnergyCons!$A$4:$A$10000))*1,[1]OUT_TransportEnergyCons!O$4:O$10000)</f>
        <v>2.5400655819603798E-7</v>
      </c>
      <c r="S2129" s="3"/>
    </row>
    <row r="2130" spans="2:19" x14ac:dyDescent="0.5">
      <c r="B2130" s="5" t="str">
        <f t="shared" si="2239"/>
        <v>SPS1</v>
      </c>
      <c r="C2130" s="5" t="str">
        <f t="shared" si="2240"/>
        <v>CH</v>
      </c>
      <c r="D2130" t="s">
        <v>2259</v>
      </c>
      <c r="E2130" t="str">
        <f t="shared" si="2241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1.21170479714721E-6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5.3707648563148799E-7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7.4154943505076399E-8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8.7825443819845399E-8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1.20249013829961E-7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1.16490587431938E-7</v>
      </c>
      <c r="M2130" s="1" cm="1">
        <f t="array" ref="M2130">SUMPRODUCT(("var_ncap"=[1]OUT_TransportEnergyCons!$B$4:$B$10000)*1,("-"=[1]OUT_TransportEnergyCons!$C$4:$C$10000)*1,ISNUMBER(SEARCH("T_C*h2o*s3",[1]OUT_TransportEnergyCons!$A$4:$A$10000))*1,[1]OUT_TransportEnergyCons!K$4:K$10000)</f>
        <v>1.06906219696045E-7</v>
      </c>
      <c r="N2130" s="1" cm="1">
        <f t="array" ref="N2130">SUMPRODUCT(("var_ncap"=[1]OUT_TransportEnergyCons!$B$4:$B$10000)*1,("-"=[1]OUT_TransportEnergyCons!$C$4:$C$10000)*1,ISNUMBER(SEARCH("T_C*h2o*s3",[1]OUT_TransportEnergyCons!$A$4:$A$10000))*1,[1]OUT_TransportEnergyCons!L$4:L$10000)</f>
        <v>1.04818740312346E-7</v>
      </c>
      <c r="O2130" s="1" cm="1">
        <f t="array" ref="O2130">SUMPRODUCT(("var_ncap"=[1]OUT_TransportEnergyCons!$B$4:$B$10000)*1,("-"=[1]OUT_TransportEnergyCons!$C$4:$C$10000)*1,ISNUMBER(SEARCH("T_C*h2o*s3",[1]OUT_TransportEnergyCons!$A$4:$A$10000))*1,[1]OUT_TransportEnergyCons!M$4:M$10000)</f>
        <v>1.2068828374315899E-7</v>
      </c>
      <c r="P2130" s="1" cm="1">
        <f t="array" ref="P2130">SUMPRODUCT(("var_ncap"=[1]OUT_TransportEnergyCons!$B$4:$B$10000)*1,("-"=[1]OUT_TransportEnergyCons!$C$4:$C$10000)*1,ISNUMBER(SEARCH("T_C*h2o*s3",[1]OUT_TransportEnergyCons!$A$4:$A$10000))*1,[1]OUT_TransportEnergyCons!N$4:N$10000)</f>
        <v>1.2617017067287901E-7</v>
      </c>
      <c r="Q2130" s="1" cm="1">
        <f t="array" ref="Q2130">SUMPRODUCT(("var_ncap"=[1]OUT_TransportEnergyCons!$B$4:$B$10000)*1,("-"=[1]OUT_TransportEnergyCons!$C$4:$C$10000)*1,ISNUMBER(SEARCH("T_C*h2o*s3",[1]OUT_TransportEnergyCons!$A$4:$A$10000))*1,[1]OUT_TransportEnergyCons!O$4:O$10000)</f>
        <v>2.5886039855942798E-7</v>
      </c>
      <c r="S2130" s="3"/>
    </row>
    <row r="2131" spans="2:19" x14ac:dyDescent="0.5">
      <c r="B2131" s="5" t="str">
        <f t="shared" si="2239"/>
        <v>SPS1</v>
      </c>
      <c r="C2131" s="5" t="str">
        <f t="shared" si="2240"/>
        <v>CH</v>
      </c>
      <c r="D2131" t="s">
        <v>2260</v>
      </c>
      <c r="E2131" t="str">
        <f t="shared" si="2241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1.5645187872511E-6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6.7318688300398903E-7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8.3496655306240198E-8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1.00863561756981E-7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1.4360344127997499E-7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1.32464691840401E-7</v>
      </c>
      <c r="M2131" s="1" cm="1">
        <f t="array" ref="M2131">SUMPRODUCT(("var_ncap"=[1]OUT_TransportEnergyCons!$B$4:$B$10000)*1,("-"=[1]OUT_TransportEnergyCons!$C$4:$C$10000)*1,ISNUMBER(SEARCH("T_C*h2o*s4",[1]OUT_TransportEnergyCons!$A$4:$A$10000))*1,[1]OUT_TransportEnergyCons!K$4:K$10000)</f>
        <v>1.15670611965369E-7</v>
      </c>
      <c r="N2131" s="1" cm="1">
        <f t="array" ref="N2131">SUMPRODUCT(("var_ncap"=[1]OUT_TransportEnergyCons!$B$4:$B$10000)*1,("-"=[1]OUT_TransportEnergyCons!$C$4:$C$10000)*1,ISNUMBER(SEARCH("T_C*h2o*s4",[1]OUT_TransportEnergyCons!$A$4:$A$10000))*1,[1]OUT_TransportEnergyCons!L$4:L$10000)</f>
        <v>9.6378861230907102E-8</v>
      </c>
      <c r="O2131" s="1" cm="1">
        <f t="array" ref="O2131">SUMPRODUCT(("var_ncap"=[1]OUT_TransportEnergyCons!$B$4:$B$10000)*1,("-"=[1]OUT_TransportEnergyCons!$C$4:$C$10000)*1,ISNUMBER(SEARCH("T_C*h2o*s4",[1]OUT_TransportEnergyCons!$A$4:$A$10000))*1,[1]OUT_TransportEnergyCons!M$4:M$10000)</f>
        <v>1.12386902030274E-7</v>
      </c>
      <c r="P2131" s="1" cm="1">
        <f t="array" ref="P2131">SUMPRODUCT(("var_ncap"=[1]OUT_TransportEnergyCons!$B$4:$B$10000)*1,("-"=[1]OUT_TransportEnergyCons!$C$4:$C$10000)*1,ISNUMBER(SEARCH("T_C*h2o*s4",[1]OUT_TransportEnergyCons!$A$4:$A$10000))*1,[1]OUT_TransportEnergyCons!N$4:N$10000)</f>
        <v>9.4366088186748994E-8</v>
      </c>
      <c r="Q2131" s="1" cm="1">
        <f t="array" ref="Q2131">SUMPRODUCT(("var_ncap"=[1]OUT_TransportEnergyCons!$B$4:$B$10000)*1,("-"=[1]OUT_TransportEnergyCons!$C$4:$C$10000)*1,ISNUMBER(SEARCH("T_C*h2o*s4",[1]OUT_TransportEnergyCons!$A$4:$A$10000))*1,[1]OUT_TransportEnergyCons!O$4:O$10000)</f>
        <v>2.4911436386196702E-7</v>
      </c>
      <c r="S2131" s="3"/>
    </row>
    <row r="2132" spans="2:19" x14ac:dyDescent="0.5">
      <c r="B2132" s="5" t="str">
        <f t="shared" si="2239"/>
        <v>SPS1</v>
      </c>
      <c r="C2132" s="5" t="str">
        <f t="shared" si="2240"/>
        <v>CH</v>
      </c>
      <c r="D2132" t="s">
        <v>2261</v>
      </c>
      <c r="E2132" t="str">
        <f t="shared" si="2241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M2132" s="1" cm="1">
        <f t="array" ref="M2132">SUMPRODUCT(("var_ncap"=[1]OUT_TransportEnergyCons!$B$4:$B$10000)*1,("-"=[1]OUT_TransportEnergyCons!$C$4:$C$10000)*1,ISNUMBER(SEARCH("T_C*hy*GSL*ext",[1]OUT_TransportEnergyCons!$A$4:$A$10000))*1,[1]OUT_TransportEnergyCons!K$4:K$10000)</f>
        <v>0</v>
      </c>
      <c r="N2132" s="1" cm="1">
        <f t="array" ref="N2132">SUMPRODUCT(("var_ncap"=[1]OUT_TransportEnergyCons!$B$4:$B$10000)*1,("-"=[1]OUT_TransportEnergyCons!$C$4:$C$10000)*1,ISNUMBER(SEARCH("T_C*hy*GSL*ext",[1]OUT_TransportEnergyCons!$A$4:$A$10000))*1,[1]OUT_TransportEnergyCons!L$4:L$10000)</f>
        <v>0</v>
      </c>
      <c r="O2132" s="1" cm="1">
        <f t="array" ref="O2132">SUMPRODUCT(("var_ncap"=[1]OUT_TransportEnergyCons!$B$4:$B$10000)*1,("-"=[1]OUT_TransportEnergyCons!$C$4:$C$10000)*1,ISNUMBER(SEARCH("T_C*hy*GSL*ext",[1]OUT_TransportEnergyCons!$A$4:$A$10000))*1,[1]OUT_TransportEnergyCons!M$4:M$10000)</f>
        <v>0</v>
      </c>
      <c r="P2132" s="1" cm="1">
        <f t="array" ref="P2132">SUMPRODUCT(("var_ncap"=[1]OUT_TransportEnergyCons!$B$4:$B$10000)*1,("-"=[1]OUT_TransportEnergyCons!$C$4:$C$10000)*1,ISNUMBER(SEARCH("T_C*hy*GSL*ext",[1]OUT_TransportEnergyCons!$A$4:$A$10000))*1,[1]OUT_TransportEnergyCons!N$4:N$10000)</f>
        <v>0</v>
      </c>
      <c r="Q2132" s="1" cm="1">
        <f t="array" ref="Q2132">SUMPRODUCT(("var_ncap"=[1]OUT_TransportEnergyCons!$B$4:$B$10000)*1,("-"=[1]OUT_TransportEnergyCons!$C$4:$C$10000)*1,ISNUMBER(SEARCH("T_C*hy*GSL*ext",[1]OUT_TransportEnergyCons!$A$4:$A$10000))*1,[1]OUT_TransportEnergyCons!O$4:O$10000)</f>
        <v>0</v>
      </c>
      <c r="S2132" s="3"/>
    </row>
    <row r="2133" spans="2:19" x14ac:dyDescent="0.5">
      <c r="B2133" s="5" t="str">
        <f t="shared" si="2239"/>
        <v>SPS1</v>
      </c>
      <c r="C2133" s="5" t="str">
        <f t="shared" si="2240"/>
        <v>CH</v>
      </c>
      <c r="D2133" t="s">
        <v>2262</v>
      </c>
      <c r="E2133" t="str">
        <f t="shared" si="2241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1.4777094913643761E-4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3.1521691437490717E-4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9.5406328211058498E-5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0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0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0</v>
      </c>
      <c r="M2133" s="1" cm="1">
        <f t="array" ref="M2133">SUMPRODUCT(("var_ncap"=[1]OUT_TransportEnergyCons!$B$4:$B$10000)*1,("-"=[1]OUT_TransportEnergyCons!$C$4:$C$10000)*1,ISNUMBER(SEARCH("T_C*hy*GSL*s1",[1]OUT_TransportEnergyCons!$A$4:$A$10000))*1,[1]OUT_TransportEnergyCons!K$4:K$10000)</f>
        <v>0</v>
      </c>
      <c r="N2133" s="1" cm="1">
        <f t="array" ref="N2133">SUMPRODUCT(("var_ncap"=[1]OUT_TransportEnergyCons!$B$4:$B$10000)*1,("-"=[1]OUT_TransportEnergyCons!$C$4:$C$10000)*1,ISNUMBER(SEARCH("T_C*hy*GSL*s1",[1]OUT_TransportEnergyCons!$A$4:$A$10000))*1,[1]OUT_TransportEnergyCons!L$4:L$10000)</f>
        <v>0</v>
      </c>
      <c r="O2133" s="1" cm="1">
        <f t="array" ref="O2133">SUMPRODUCT(("var_ncap"=[1]OUT_TransportEnergyCons!$B$4:$B$10000)*1,("-"=[1]OUT_TransportEnergyCons!$C$4:$C$10000)*1,ISNUMBER(SEARCH("T_C*hy*GSL*s1",[1]OUT_TransportEnergyCons!$A$4:$A$10000))*1,[1]OUT_TransportEnergyCons!M$4:M$10000)</f>
        <v>0</v>
      </c>
      <c r="P2133" s="1" cm="1">
        <f t="array" ref="P2133">SUMPRODUCT(("var_ncap"=[1]OUT_TransportEnergyCons!$B$4:$B$10000)*1,("-"=[1]OUT_TransportEnergyCons!$C$4:$C$10000)*1,ISNUMBER(SEARCH("T_C*hy*GSL*s1",[1]OUT_TransportEnergyCons!$A$4:$A$10000))*1,[1]OUT_TransportEnergyCons!N$4:N$10000)</f>
        <v>0</v>
      </c>
      <c r="Q2133" s="1" cm="1">
        <f t="array" ref="Q2133">SUMPRODUCT(("var_ncap"=[1]OUT_TransportEnergyCons!$B$4:$B$10000)*1,("-"=[1]OUT_TransportEnergyCons!$C$4:$C$10000)*1,ISNUMBER(SEARCH("T_C*hy*GSL*s1",[1]OUT_TransportEnergyCons!$A$4:$A$10000))*1,[1]OUT_TransportEnergyCons!O$4:O$10000)</f>
        <v>0</v>
      </c>
      <c r="S2133" s="3"/>
    </row>
    <row r="2134" spans="2:19" x14ac:dyDescent="0.5">
      <c r="B2134" s="5" t="str">
        <f t="shared" si="2239"/>
        <v>SPS1</v>
      </c>
      <c r="C2134" s="5" t="str">
        <f t="shared" si="2240"/>
        <v>CH</v>
      </c>
      <c r="D2134" t="s">
        <v>2263</v>
      </c>
      <c r="E2134" t="str">
        <f t="shared" si="2241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5.0638309119263331E-3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8.0582440504131936E-2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6.5178544335144794E-5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0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0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0</v>
      </c>
      <c r="M2134" s="1" cm="1">
        <f t="array" ref="M2134">SUMPRODUCT(("var_ncap"=[1]OUT_TransportEnergyCons!$B$4:$B$10000)*1,("-"=[1]OUT_TransportEnergyCons!$C$4:$C$10000)*1,ISNUMBER(SEARCH("T_C*hy*GSL*s2",[1]OUT_TransportEnergyCons!$A$4:$A$10000))*1,[1]OUT_TransportEnergyCons!K$4:K$10000)</f>
        <v>0</v>
      </c>
      <c r="N2134" s="1" cm="1">
        <f t="array" ref="N2134">SUMPRODUCT(("var_ncap"=[1]OUT_TransportEnergyCons!$B$4:$B$10000)*1,("-"=[1]OUT_TransportEnergyCons!$C$4:$C$10000)*1,ISNUMBER(SEARCH("T_C*hy*GSL*s2",[1]OUT_TransportEnergyCons!$A$4:$A$10000))*1,[1]OUT_TransportEnergyCons!L$4:L$10000)</f>
        <v>0</v>
      </c>
      <c r="O2134" s="1" cm="1">
        <f t="array" ref="O2134">SUMPRODUCT(("var_ncap"=[1]OUT_TransportEnergyCons!$B$4:$B$10000)*1,("-"=[1]OUT_TransportEnergyCons!$C$4:$C$10000)*1,ISNUMBER(SEARCH("T_C*hy*GSL*s2",[1]OUT_TransportEnergyCons!$A$4:$A$10000))*1,[1]OUT_TransportEnergyCons!M$4:M$10000)</f>
        <v>0</v>
      </c>
      <c r="P2134" s="1" cm="1">
        <f t="array" ref="P2134">SUMPRODUCT(("var_ncap"=[1]OUT_TransportEnergyCons!$B$4:$B$10000)*1,("-"=[1]OUT_TransportEnergyCons!$C$4:$C$10000)*1,ISNUMBER(SEARCH("T_C*hy*GSL*s2",[1]OUT_TransportEnergyCons!$A$4:$A$10000))*1,[1]OUT_TransportEnergyCons!N$4:N$10000)</f>
        <v>0</v>
      </c>
      <c r="Q2134" s="1" cm="1">
        <f t="array" ref="Q2134">SUMPRODUCT(("var_ncap"=[1]OUT_TransportEnergyCons!$B$4:$B$10000)*1,("-"=[1]OUT_TransportEnergyCons!$C$4:$C$10000)*1,ISNUMBER(SEARCH("T_C*hy*GSL*s2",[1]OUT_TransportEnergyCons!$A$4:$A$10000))*1,[1]OUT_TransportEnergyCons!O$4:O$10000)</f>
        <v>0</v>
      </c>
      <c r="S2134" s="3"/>
    </row>
    <row r="2135" spans="2:19" x14ac:dyDescent="0.5">
      <c r="B2135" s="5" t="str">
        <f t="shared" si="2239"/>
        <v>SPS1</v>
      </c>
      <c r="C2135" s="5" t="str">
        <f t="shared" si="2240"/>
        <v>CH</v>
      </c>
      <c r="D2135" t="s">
        <v>2264</v>
      </c>
      <c r="E2135" t="str">
        <f t="shared" si="2241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0.168145225601604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6.1440427320372603E-5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3.2661675685794904E-5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0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0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0</v>
      </c>
      <c r="M2135" s="1" cm="1">
        <f t="array" ref="M2135">SUMPRODUCT(("var_ncap"=[1]OUT_TransportEnergyCons!$B$4:$B$10000)*1,("-"=[1]OUT_TransportEnergyCons!$C$4:$C$10000)*1,ISNUMBER(SEARCH("T_C*hy*GSL*s3",[1]OUT_TransportEnergyCons!$A$4:$A$10000))*1,[1]OUT_TransportEnergyCons!K$4:K$10000)</f>
        <v>0</v>
      </c>
      <c r="N2135" s="1" cm="1">
        <f t="array" ref="N2135">SUMPRODUCT(("var_ncap"=[1]OUT_TransportEnergyCons!$B$4:$B$10000)*1,("-"=[1]OUT_TransportEnergyCons!$C$4:$C$10000)*1,ISNUMBER(SEARCH("T_C*hy*GSL*s3",[1]OUT_TransportEnergyCons!$A$4:$A$10000))*1,[1]OUT_TransportEnergyCons!L$4:L$10000)</f>
        <v>0</v>
      </c>
      <c r="O2135" s="1" cm="1">
        <f t="array" ref="O2135">SUMPRODUCT(("var_ncap"=[1]OUT_TransportEnergyCons!$B$4:$B$10000)*1,("-"=[1]OUT_TransportEnergyCons!$C$4:$C$10000)*1,ISNUMBER(SEARCH("T_C*hy*GSL*s3",[1]OUT_TransportEnergyCons!$A$4:$A$10000))*1,[1]OUT_TransportEnergyCons!M$4:M$10000)</f>
        <v>0</v>
      </c>
      <c r="P2135" s="1" cm="1">
        <f t="array" ref="P2135">SUMPRODUCT(("var_ncap"=[1]OUT_TransportEnergyCons!$B$4:$B$10000)*1,("-"=[1]OUT_TransportEnergyCons!$C$4:$C$10000)*1,ISNUMBER(SEARCH("T_C*hy*GSL*s3",[1]OUT_TransportEnergyCons!$A$4:$A$10000))*1,[1]OUT_TransportEnergyCons!N$4:N$10000)</f>
        <v>0</v>
      </c>
      <c r="Q2135" s="1" cm="1">
        <f t="array" ref="Q2135">SUMPRODUCT(("var_ncap"=[1]OUT_TransportEnergyCons!$B$4:$B$10000)*1,("-"=[1]OUT_TransportEnergyCons!$C$4:$C$10000)*1,ISNUMBER(SEARCH("T_C*hy*GSL*s3",[1]OUT_TransportEnergyCons!$A$4:$A$10000))*1,[1]OUT_TransportEnergyCons!O$4:O$10000)</f>
        <v>0</v>
      </c>
      <c r="S2135" s="3"/>
    </row>
    <row r="2136" spans="2:19" x14ac:dyDescent="0.5">
      <c r="B2136" s="5" t="str">
        <f t="shared" si="2239"/>
        <v>SPS1</v>
      </c>
      <c r="C2136" s="5" t="str">
        <f t="shared" si="2240"/>
        <v>CH</v>
      </c>
      <c r="D2136" t="s">
        <v>2265</v>
      </c>
      <c r="E2136" t="str">
        <f t="shared" si="2241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8.5489466399600101E-5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8.0858173303971004E-5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5.6281818732415298E-5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0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</v>
      </c>
      <c r="M2136" s="1" cm="1">
        <f t="array" ref="M2136">SUMPRODUCT(("var_ncap"=[1]OUT_TransportEnergyCons!$B$4:$B$10000)*1,("-"=[1]OUT_TransportEnergyCons!$C$4:$C$10000)*1,ISNUMBER(SEARCH("T_C*hy*GSL*s4",[1]OUT_TransportEnergyCons!$A$4:$A$10000))*1,[1]OUT_TransportEnergyCons!K$4:K$10000)</f>
        <v>0</v>
      </c>
      <c r="N2136" s="1" cm="1">
        <f t="array" ref="N2136">SUMPRODUCT(("var_ncap"=[1]OUT_TransportEnergyCons!$B$4:$B$10000)*1,("-"=[1]OUT_TransportEnergyCons!$C$4:$C$10000)*1,ISNUMBER(SEARCH("T_C*hy*GSL*s4",[1]OUT_TransportEnergyCons!$A$4:$A$10000))*1,[1]OUT_TransportEnergyCons!L$4:L$10000)</f>
        <v>0</v>
      </c>
      <c r="O2136" s="1" cm="1">
        <f t="array" ref="O2136">SUMPRODUCT(("var_ncap"=[1]OUT_TransportEnergyCons!$B$4:$B$10000)*1,("-"=[1]OUT_TransportEnergyCons!$C$4:$C$10000)*1,ISNUMBER(SEARCH("T_C*hy*GSL*s4",[1]OUT_TransportEnergyCons!$A$4:$A$10000))*1,[1]OUT_TransportEnergyCons!M$4:M$10000)</f>
        <v>0</v>
      </c>
      <c r="P2136" s="1" cm="1">
        <f t="array" ref="P2136">SUMPRODUCT(("var_ncap"=[1]OUT_TransportEnergyCons!$B$4:$B$10000)*1,("-"=[1]OUT_TransportEnergyCons!$C$4:$C$10000)*1,ISNUMBER(SEARCH("T_C*hy*GSL*s4",[1]OUT_TransportEnergyCons!$A$4:$A$10000))*1,[1]OUT_TransportEnergyCons!N$4:N$10000)</f>
        <v>0</v>
      </c>
      <c r="Q2136" s="1" cm="1">
        <f t="array" ref="Q2136">SUMPRODUCT(("var_ncap"=[1]OUT_TransportEnergyCons!$B$4:$B$10000)*1,("-"=[1]OUT_TransportEnergyCons!$C$4:$C$10000)*1,ISNUMBER(SEARCH("T_C*hy*GSL*s4",[1]OUT_TransportEnergyCons!$A$4:$A$10000))*1,[1]OUT_TransportEnergyCons!O$4:O$10000)</f>
        <v>0</v>
      </c>
      <c r="S2136" s="3"/>
    </row>
    <row r="2137" spans="2:19" x14ac:dyDescent="0.5">
      <c r="B2137" s="5" t="str">
        <f t="shared" si="2239"/>
        <v>SPS1</v>
      </c>
      <c r="C2137" s="5" t="str">
        <f t="shared" si="2240"/>
        <v>CH</v>
      </c>
      <c r="D2137" t="s">
        <v>2266</v>
      </c>
      <c r="E2137" t="str">
        <f t="shared" si="2241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M2137" s="1" cm="1">
        <f t="array" ref="M2137">SUMPRODUCT(("var_ncap"=[1]OUT_TransportEnergyCons!$B$4:$B$10000)*1,("-"=[1]OUT_TransportEnergyCons!$C$4:$C$10000)*1,ISNUMBER(SEARCH("T_C*ICE*GSL*ext",[1]OUT_TransportEnergyCons!$A$4:$A$10000))*1,[1]OUT_TransportEnergyCons!K$4:K$10000)</f>
        <v>0</v>
      </c>
      <c r="N2137" s="1" cm="1">
        <f t="array" ref="N2137">SUMPRODUCT(("var_ncap"=[1]OUT_TransportEnergyCons!$B$4:$B$10000)*1,("-"=[1]OUT_TransportEnergyCons!$C$4:$C$10000)*1,ISNUMBER(SEARCH("T_C*ICE*GSL*ext",[1]OUT_TransportEnergyCons!$A$4:$A$10000))*1,[1]OUT_TransportEnergyCons!L$4:L$10000)</f>
        <v>0</v>
      </c>
      <c r="O2137" s="1" cm="1">
        <f t="array" ref="O2137">SUMPRODUCT(("var_ncap"=[1]OUT_TransportEnergyCons!$B$4:$B$10000)*1,("-"=[1]OUT_TransportEnergyCons!$C$4:$C$10000)*1,ISNUMBER(SEARCH("T_C*ICE*GSL*ext",[1]OUT_TransportEnergyCons!$A$4:$A$10000))*1,[1]OUT_TransportEnergyCons!M$4:M$10000)</f>
        <v>0</v>
      </c>
      <c r="P2137" s="1" cm="1">
        <f t="array" ref="P2137">SUMPRODUCT(("var_ncap"=[1]OUT_TransportEnergyCons!$B$4:$B$10000)*1,("-"=[1]OUT_TransportEnergyCons!$C$4:$C$10000)*1,ISNUMBER(SEARCH("T_C*ICE*GSL*ext",[1]OUT_TransportEnergyCons!$A$4:$A$10000))*1,[1]OUT_TransportEnergyCons!N$4:N$10000)</f>
        <v>0</v>
      </c>
      <c r="Q2137" s="1" cm="1">
        <f t="array" ref="Q2137">SUMPRODUCT(("var_ncap"=[1]OUT_TransportEnergyCons!$B$4:$B$10000)*1,("-"=[1]OUT_TransportEnergyCons!$C$4:$C$10000)*1,ISNUMBER(SEARCH("T_C*ICE*GSL*ext",[1]OUT_TransportEnergyCons!$A$4:$A$10000))*1,[1]OUT_TransportEnergyCons!O$4:O$10000)</f>
        <v>0</v>
      </c>
      <c r="S2137" s="3"/>
    </row>
    <row r="2138" spans="2:19" x14ac:dyDescent="0.5">
      <c r="B2138" s="5" t="str">
        <f t="shared" si="2239"/>
        <v>SPS1</v>
      </c>
      <c r="C2138" s="5" t="str">
        <f t="shared" si="2240"/>
        <v>CH</v>
      </c>
      <c r="D2138" t="s">
        <v>2267</v>
      </c>
      <c r="E2138" t="str">
        <f t="shared" si="2241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3.6481476560342802E-5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8.9448333508427402E-2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9.5320306476738399E-5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0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0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0</v>
      </c>
      <c r="M2138" s="1" cm="1">
        <f t="array" ref="M2138">SUMPRODUCT(("var_ncap"=[1]OUT_TransportEnergyCons!$B$4:$B$10000)*1,("-"=[1]OUT_TransportEnergyCons!$C$4:$C$10000)*1,ISNUMBER(SEARCH("T_C*ICE*GSL*s1",[1]OUT_TransportEnergyCons!$A$4:$A$10000))*1,[1]OUT_TransportEnergyCons!K$4:K$10000)</f>
        <v>0</v>
      </c>
      <c r="N2138" s="1" cm="1">
        <f t="array" ref="N2138">SUMPRODUCT(("var_ncap"=[1]OUT_TransportEnergyCons!$B$4:$B$10000)*1,("-"=[1]OUT_TransportEnergyCons!$C$4:$C$10000)*1,ISNUMBER(SEARCH("T_C*ICE*GSL*s1",[1]OUT_TransportEnergyCons!$A$4:$A$10000))*1,[1]OUT_TransportEnergyCons!L$4:L$10000)</f>
        <v>0</v>
      </c>
      <c r="O2138" s="1" cm="1">
        <f t="array" ref="O2138">SUMPRODUCT(("var_ncap"=[1]OUT_TransportEnergyCons!$B$4:$B$10000)*1,("-"=[1]OUT_TransportEnergyCons!$C$4:$C$10000)*1,ISNUMBER(SEARCH("T_C*ICE*GSL*s1",[1]OUT_TransportEnergyCons!$A$4:$A$10000))*1,[1]OUT_TransportEnergyCons!M$4:M$10000)</f>
        <v>0</v>
      </c>
      <c r="P2138" s="1" cm="1">
        <f t="array" ref="P2138">SUMPRODUCT(("var_ncap"=[1]OUT_TransportEnergyCons!$B$4:$B$10000)*1,("-"=[1]OUT_TransportEnergyCons!$C$4:$C$10000)*1,ISNUMBER(SEARCH("T_C*ICE*GSL*s1",[1]OUT_TransportEnergyCons!$A$4:$A$10000))*1,[1]OUT_TransportEnergyCons!N$4:N$10000)</f>
        <v>0</v>
      </c>
      <c r="Q2138" s="1" cm="1">
        <f t="array" ref="Q2138">SUMPRODUCT(("var_ncap"=[1]OUT_TransportEnergyCons!$B$4:$B$10000)*1,("-"=[1]OUT_TransportEnergyCons!$C$4:$C$10000)*1,ISNUMBER(SEARCH("T_C*ICE*GSL*s1",[1]OUT_TransportEnergyCons!$A$4:$A$10000))*1,[1]OUT_TransportEnergyCons!O$4:O$10000)</f>
        <v>0</v>
      </c>
      <c r="S2138" s="3"/>
    </row>
    <row r="2139" spans="2:19" x14ac:dyDescent="0.5">
      <c r="B2139" s="5" t="str">
        <f t="shared" si="2239"/>
        <v>SPS1</v>
      </c>
      <c r="C2139" s="5" t="str">
        <f t="shared" si="2240"/>
        <v>CH</v>
      </c>
      <c r="D2139" t="s">
        <v>2268</v>
      </c>
      <c r="E2139" t="str">
        <f t="shared" si="2241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2.5719785242920999E-5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6.6077805991338501E-4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5.6208309515418098E-5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0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0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0</v>
      </c>
      <c r="M2139" s="1" cm="1">
        <f t="array" ref="M2139">SUMPRODUCT(("var_ncap"=[1]OUT_TransportEnergyCons!$B$4:$B$10000)*1,("-"=[1]OUT_TransportEnergyCons!$C$4:$C$10000)*1,ISNUMBER(SEARCH("T_C*ICE*GSL*s2",[1]OUT_TransportEnergyCons!$A$4:$A$10000))*1,[1]OUT_TransportEnergyCons!K$4:K$10000)</f>
        <v>0</v>
      </c>
      <c r="N2139" s="1" cm="1">
        <f t="array" ref="N2139">SUMPRODUCT(("var_ncap"=[1]OUT_TransportEnergyCons!$B$4:$B$10000)*1,("-"=[1]OUT_TransportEnergyCons!$C$4:$C$10000)*1,ISNUMBER(SEARCH("T_C*ICE*GSL*s2",[1]OUT_TransportEnergyCons!$A$4:$A$10000))*1,[1]OUT_TransportEnergyCons!L$4:L$10000)</f>
        <v>0</v>
      </c>
      <c r="O2139" s="1" cm="1">
        <f t="array" ref="O2139">SUMPRODUCT(("var_ncap"=[1]OUT_TransportEnergyCons!$B$4:$B$10000)*1,("-"=[1]OUT_TransportEnergyCons!$C$4:$C$10000)*1,ISNUMBER(SEARCH("T_C*ICE*GSL*s2",[1]OUT_TransportEnergyCons!$A$4:$A$10000))*1,[1]OUT_TransportEnergyCons!M$4:M$10000)</f>
        <v>0</v>
      </c>
      <c r="P2139" s="1" cm="1">
        <f t="array" ref="P2139">SUMPRODUCT(("var_ncap"=[1]OUT_TransportEnergyCons!$B$4:$B$10000)*1,("-"=[1]OUT_TransportEnergyCons!$C$4:$C$10000)*1,ISNUMBER(SEARCH("T_C*ICE*GSL*s2",[1]OUT_TransportEnergyCons!$A$4:$A$10000))*1,[1]OUT_TransportEnergyCons!N$4:N$10000)</f>
        <v>0</v>
      </c>
      <c r="Q2139" s="1" cm="1">
        <f t="array" ref="Q2139">SUMPRODUCT(("var_ncap"=[1]OUT_TransportEnergyCons!$B$4:$B$10000)*1,("-"=[1]OUT_TransportEnergyCons!$C$4:$C$10000)*1,ISNUMBER(SEARCH("T_C*ICE*GSL*s2",[1]OUT_TransportEnergyCons!$A$4:$A$10000))*1,[1]OUT_TransportEnergyCons!O$4:O$10000)</f>
        <v>0</v>
      </c>
      <c r="S2139" s="3"/>
    </row>
    <row r="2140" spans="2:19" x14ac:dyDescent="0.5">
      <c r="B2140" s="5" t="str">
        <f t="shared" si="2239"/>
        <v>SPS1</v>
      </c>
      <c r="C2140" s="5" t="str">
        <f t="shared" si="2240"/>
        <v>CH</v>
      </c>
      <c r="D2140" t="s">
        <v>2269</v>
      </c>
      <c r="E2140" t="str">
        <f t="shared" si="2241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4.7150903563337101E-5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4.87255743168458E-2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3.7774961689879499E-5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0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0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0</v>
      </c>
      <c r="M2140" s="1" cm="1">
        <f t="array" ref="M2140">SUMPRODUCT(("var_ncap"=[1]OUT_TransportEnergyCons!$B$4:$B$10000)*1,("-"=[1]OUT_TransportEnergyCons!$C$4:$C$10000)*1,ISNUMBER(SEARCH("T_C*ICE*GSL*s3",[1]OUT_TransportEnergyCons!$A$4:$A$10000))*1,[1]OUT_TransportEnergyCons!K$4:K$10000)</f>
        <v>0</v>
      </c>
      <c r="N2140" s="1" cm="1">
        <f t="array" ref="N2140">SUMPRODUCT(("var_ncap"=[1]OUT_TransportEnergyCons!$B$4:$B$10000)*1,("-"=[1]OUT_TransportEnergyCons!$C$4:$C$10000)*1,ISNUMBER(SEARCH("T_C*ICE*GSL*s3",[1]OUT_TransportEnergyCons!$A$4:$A$10000))*1,[1]OUT_TransportEnergyCons!L$4:L$10000)</f>
        <v>0</v>
      </c>
      <c r="O2140" s="1" cm="1">
        <f t="array" ref="O2140">SUMPRODUCT(("var_ncap"=[1]OUT_TransportEnergyCons!$B$4:$B$10000)*1,("-"=[1]OUT_TransportEnergyCons!$C$4:$C$10000)*1,ISNUMBER(SEARCH("T_C*ICE*GSL*s3",[1]OUT_TransportEnergyCons!$A$4:$A$10000))*1,[1]OUT_TransportEnergyCons!M$4:M$10000)</f>
        <v>0</v>
      </c>
      <c r="P2140" s="1" cm="1">
        <f t="array" ref="P2140">SUMPRODUCT(("var_ncap"=[1]OUT_TransportEnergyCons!$B$4:$B$10000)*1,("-"=[1]OUT_TransportEnergyCons!$C$4:$C$10000)*1,ISNUMBER(SEARCH("T_C*ICE*GSL*s3",[1]OUT_TransportEnergyCons!$A$4:$A$10000))*1,[1]OUT_TransportEnergyCons!N$4:N$10000)</f>
        <v>0</v>
      </c>
      <c r="Q2140" s="1" cm="1">
        <f t="array" ref="Q2140">SUMPRODUCT(("var_ncap"=[1]OUT_TransportEnergyCons!$B$4:$B$10000)*1,("-"=[1]OUT_TransportEnergyCons!$C$4:$C$10000)*1,ISNUMBER(SEARCH("T_C*ICE*GSL*s3",[1]OUT_TransportEnergyCons!$A$4:$A$10000))*1,[1]OUT_TransportEnergyCons!O$4:O$10000)</f>
        <v>0</v>
      </c>
      <c r="S2140" s="3"/>
    </row>
    <row r="2141" spans="2:19" x14ac:dyDescent="0.5">
      <c r="B2141" s="5" t="str">
        <f t="shared" si="2239"/>
        <v>SPS1</v>
      </c>
      <c r="C2141" s="5" t="str">
        <f t="shared" si="2240"/>
        <v>CH</v>
      </c>
      <c r="D2141" t="s">
        <v>2270</v>
      </c>
      <c r="E2141" t="str">
        <f t="shared" si="2241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3.3367666004594899E-5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0.20618958036164101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1.5225188340143301E-4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</v>
      </c>
      <c r="M2141" s="1" cm="1">
        <f t="array" ref="M2141">SUMPRODUCT(("var_ncap"=[1]OUT_TransportEnergyCons!$B$4:$B$10000)*1,("-"=[1]OUT_TransportEnergyCons!$C$4:$C$10000)*1,ISNUMBER(SEARCH("T_C*ICE*GSL*s4",[1]OUT_TransportEnergyCons!$A$4:$A$10000))*1,[1]OUT_TransportEnergyCons!K$4:K$10000)</f>
        <v>0</v>
      </c>
      <c r="N2141" s="1" cm="1">
        <f t="array" ref="N2141">SUMPRODUCT(("var_ncap"=[1]OUT_TransportEnergyCons!$B$4:$B$10000)*1,("-"=[1]OUT_TransportEnergyCons!$C$4:$C$10000)*1,ISNUMBER(SEARCH("T_C*ICE*GSL*s4",[1]OUT_TransportEnergyCons!$A$4:$A$10000))*1,[1]OUT_TransportEnergyCons!L$4:L$10000)</f>
        <v>0</v>
      </c>
      <c r="O2141" s="1" cm="1">
        <f t="array" ref="O2141">SUMPRODUCT(("var_ncap"=[1]OUT_TransportEnergyCons!$B$4:$B$10000)*1,("-"=[1]OUT_TransportEnergyCons!$C$4:$C$10000)*1,ISNUMBER(SEARCH("T_C*ICE*GSL*s4",[1]OUT_TransportEnergyCons!$A$4:$A$10000))*1,[1]OUT_TransportEnergyCons!M$4:M$10000)</f>
        <v>0</v>
      </c>
      <c r="P2141" s="1" cm="1">
        <f t="array" ref="P2141">SUMPRODUCT(("var_ncap"=[1]OUT_TransportEnergyCons!$B$4:$B$10000)*1,("-"=[1]OUT_TransportEnergyCons!$C$4:$C$10000)*1,ISNUMBER(SEARCH("T_C*ICE*GSL*s4",[1]OUT_TransportEnergyCons!$A$4:$A$10000))*1,[1]OUT_TransportEnergyCons!N$4:N$10000)</f>
        <v>0</v>
      </c>
      <c r="Q2141" s="1" cm="1">
        <f t="array" ref="Q2141">SUMPRODUCT(("var_ncap"=[1]OUT_TransportEnergyCons!$B$4:$B$10000)*1,("-"=[1]OUT_TransportEnergyCons!$C$4:$C$10000)*1,ISNUMBER(SEARCH("T_C*ICE*GSL*s4",[1]OUT_TransportEnergyCons!$A$4:$A$10000))*1,[1]OUT_TransportEnergyCons!O$4:O$10000)</f>
        <v>0</v>
      </c>
      <c r="S2141" s="3"/>
    </row>
    <row r="2142" spans="2:19" x14ac:dyDescent="0.5">
      <c r="B2142" s="5" t="str">
        <f t="shared" si="2239"/>
        <v>SPS1</v>
      </c>
      <c r="C2142" s="5" t="str">
        <f t="shared" si="2240"/>
        <v>CH</v>
      </c>
      <c r="D2142" t="s">
        <v>2271</v>
      </c>
      <c r="E2142" t="str">
        <f t="shared" si="2241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1.9802204443827601E-5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7.8223103781171197E-5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4.3440484087033999E-5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0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0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0</v>
      </c>
      <c r="M2142" s="1" cm="1">
        <f t="array" ref="M2142">SUMPRODUCT(("var_ncap"=[1]OUT_TransportEnergyCons!$B$4:$B$10000)*1,("-"=[1]OUT_TransportEnergyCons!$C$4:$C$10000)*1,ISNUMBER(SEARCH("T_C*mhy*GSL*s1",[1]OUT_TransportEnergyCons!$A$4:$A$10000))*1,[1]OUT_TransportEnergyCons!K$4:K$10000)</f>
        <v>0</v>
      </c>
      <c r="N2142" s="1" cm="1">
        <f t="array" ref="N2142">SUMPRODUCT(("var_ncap"=[1]OUT_TransportEnergyCons!$B$4:$B$10000)*1,("-"=[1]OUT_TransportEnergyCons!$C$4:$C$10000)*1,ISNUMBER(SEARCH("T_C*mhy*GSL*s1",[1]OUT_TransportEnergyCons!$A$4:$A$10000))*1,[1]OUT_TransportEnergyCons!L$4:L$10000)</f>
        <v>0</v>
      </c>
      <c r="O2142" s="1" cm="1">
        <f t="array" ref="O2142">SUMPRODUCT(("var_ncap"=[1]OUT_TransportEnergyCons!$B$4:$B$10000)*1,("-"=[1]OUT_TransportEnergyCons!$C$4:$C$10000)*1,ISNUMBER(SEARCH("T_C*mhy*GSL*s1",[1]OUT_TransportEnergyCons!$A$4:$A$10000))*1,[1]OUT_TransportEnergyCons!M$4:M$10000)</f>
        <v>0</v>
      </c>
      <c r="P2142" s="1" cm="1">
        <f t="array" ref="P2142">SUMPRODUCT(("var_ncap"=[1]OUT_TransportEnergyCons!$B$4:$B$10000)*1,("-"=[1]OUT_TransportEnergyCons!$C$4:$C$10000)*1,ISNUMBER(SEARCH("T_C*mhy*GSL*s1",[1]OUT_TransportEnergyCons!$A$4:$A$10000))*1,[1]OUT_TransportEnergyCons!N$4:N$10000)</f>
        <v>0</v>
      </c>
      <c r="Q2142" s="1" cm="1">
        <f t="array" ref="Q2142">SUMPRODUCT(("var_ncap"=[1]OUT_TransportEnergyCons!$B$4:$B$10000)*1,("-"=[1]OUT_TransportEnergyCons!$C$4:$C$10000)*1,ISNUMBER(SEARCH("T_C*mhy*GSL*s1",[1]OUT_TransportEnergyCons!$A$4:$A$10000))*1,[1]OUT_TransportEnergyCons!O$4:O$10000)</f>
        <v>0</v>
      </c>
      <c r="S2142" s="3"/>
    </row>
    <row r="2143" spans="2:19" x14ac:dyDescent="0.5">
      <c r="B2143" s="5" t="str">
        <f t="shared" si="2239"/>
        <v>SPS1</v>
      </c>
      <c r="C2143" s="5" t="str">
        <f t="shared" si="2240"/>
        <v>CH</v>
      </c>
      <c r="D2143" t="s">
        <v>2272</v>
      </c>
      <c r="E2143" t="str">
        <f t="shared" si="2241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1.04780775665535E-5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3.88021635079304E-5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2.8428087324154201E-5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0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0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0</v>
      </c>
      <c r="M2143" s="1" cm="1">
        <f t="array" ref="M2143">SUMPRODUCT(("var_ncap"=[1]OUT_TransportEnergyCons!$B$4:$B$10000)*1,("-"=[1]OUT_TransportEnergyCons!$C$4:$C$10000)*1,ISNUMBER(SEARCH("T_C*mhy*GSL*s2",[1]OUT_TransportEnergyCons!$A$4:$A$10000))*1,[1]OUT_TransportEnergyCons!K$4:K$10000)</f>
        <v>0</v>
      </c>
      <c r="N2143" s="1" cm="1">
        <f t="array" ref="N2143">SUMPRODUCT(("var_ncap"=[1]OUT_TransportEnergyCons!$B$4:$B$10000)*1,("-"=[1]OUT_TransportEnergyCons!$C$4:$C$10000)*1,ISNUMBER(SEARCH("T_C*mhy*GSL*s2",[1]OUT_TransportEnergyCons!$A$4:$A$10000))*1,[1]OUT_TransportEnergyCons!L$4:L$10000)</f>
        <v>0</v>
      </c>
      <c r="O2143" s="1" cm="1">
        <f t="array" ref="O2143">SUMPRODUCT(("var_ncap"=[1]OUT_TransportEnergyCons!$B$4:$B$10000)*1,("-"=[1]OUT_TransportEnergyCons!$C$4:$C$10000)*1,ISNUMBER(SEARCH("T_C*mhy*GSL*s2",[1]OUT_TransportEnergyCons!$A$4:$A$10000))*1,[1]OUT_TransportEnergyCons!M$4:M$10000)</f>
        <v>0</v>
      </c>
      <c r="P2143" s="1" cm="1">
        <f t="array" ref="P2143">SUMPRODUCT(("var_ncap"=[1]OUT_TransportEnergyCons!$B$4:$B$10000)*1,("-"=[1]OUT_TransportEnergyCons!$C$4:$C$10000)*1,ISNUMBER(SEARCH("T_C*mhy*GSL*s2",[1]OUT_TransportEnergyCons!$A$4:$A$10000))*1,[1]OUT_TransportEnergyCons!N$4:N$10000)</f>
        <v>0</v>
      </c>
      <c r="Q2143" s="1" cm="1">
        <f t="array" ref="Q2143">SUMPRODUCT(("var_ncap"=[1]OUT_TransportEnergyCons!$B$4:$B$10000)*1,("-"=[1]OUT_TransportEnergyCons!$C$4:$C$10000)*1,ISNUMBER(SEARCH("T_C*mhy*GSL*s2",[1]OUT_TransportEnergyCons!$A$4:$A$10000))*1,[1]OUT_TransportEnergyCons!O$4:O$10000)</f>
        <v>0</v>
      </c>
      <c r="S2143" s="3"/>
    </row>
    <row r="2144" spans="2:19" x14ac:dyDescent="0.5">
      <c r="B2144" s="5" t="str">
        <f t="shared" si="2239"/>
        <v>SPS1</v>
      </c>
      <c r="C2144" s="5" t="str">
        <f t="shared" si="2240"/>
        <v>CH</v>
      </c>
      <c r="D2144" t="s">
        <v>2273</v>
      </c>
      <c r="E2144" t="str">
        <f t="shared" si="2241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1.20316628370129E-5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3.17260002970024E-5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2.05766194814718E-5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0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0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0</v>
      </c>
      <c r="M2144" s="1" cm="1">
        <f t="array" ref="M2144">SUMPRODUCT(("var_ncap"=[1]OUT_TransportEnergyCons!$B$4:$B$10000)*1,("-"=[1]OUT_TransportEnergyCons!$C$4:$C$10000)*1,ISNUMBER(SEARCH("T_C*mhy*GSL*s3",[1]OUT_TransportEnergyCons!$A$4:$A$10000))*1,[1]OUT_TransportEnergyCons!K$4:K$10000)</f>
        <v>0</v>
      </c>
      <c r="N2144" s="1" cm="1">
        <f t="array" ref="N2144">SUMPRODUCT(("var_ncap"=[1]OUT_TransportEnergyCons!$B$4:$B$10000)*1,("-"=[1]OUT_TransportEnergyCons!$C$4:$C$10000)*1,ISNUMBER(SEARCH("T_C*mhy*GSL*s3",[1]OUT_TransportEnergyCons!$A$4:$A$10000))*1,[1]OUT_TransportEnergyCons!L$4:L$10000)</f>
        <v>0</v>
      </c>
      <c r="O2144" s="1" cm="1">
        <f t="array" ref="O2144">SUMPRODUCT(("var_ncap"=[1]OUT_TransportEnergyCons!$B$4:$B$10000)*1,("-"=[1]OUT_TransportEnergyCons!$C$4:$C$10000)*1,ISNUMBER(SEARCH("T_C*mhy*GSL*s3",[1]OUT_TransportEnergyCons!$A$4:$A$10000))*1,[1]OUT_TransportEnergyCons!M$4:M$10000)</f>
        <v>0</v>
      </c>
      <c r="P2144" s="1" cm="1">
        <f t="array" ref="P2144">SUMPRODUCT(("var_ncap"=[1]OUT_TransportEnergyCons!$B$4:$B$10000)*1,("-"=[1]OUT_TransportEnergyCons!$C$4:$C$10000)*1,ISNUMBER(SEARCH("T_C*mhy*GSL*s3",[1]OUT_TransportEnergyCons!$A$4:$A$10000))*1,[1]OUT_TransportEnergyCons!N$4:N$10000)</f>
        <v>0</v>
      </c>
      <c r="Q2144" s="1" cm="1">
        <f t="array" ref="Q2144">SUMPRODUCT(("var_ncap"=[1]OUT_TransportEnergyCons!$B$4:$B$10000)*1,("-"=[1]OUT_TransportEnergyCons!$C$4:$C$10000)*1,ISNUMBER(SEARCH("T_C*mhy*GSL*s3",[1]OUT_TransportEnergyCons!$A$4:$A$10000))*1,[1]OUT_TransportEnergyCons!O$4:O$10000)</f>
        <v>0</v>
      </c>
      <c r="S2144" s="3"/>
    </row>
    <row r="2145" spans="2:19" x14ac:dyDescent="0.5">
      <c r="B2145" s="5" t="str">
        <f t="shared" si="2239"/>
        <v>SPS1</v>
      </c>
      <c r="C2145" s="5" t="str">
        <f t="shared" si="2240"/>
        <v>CH</v>
      </c>
      <c r="D2145" t="s">
        <v>2274</v>
      </c>
      <c r="E2145" t="str">
        <f t="shared" si="2241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1.6472587075749001E-5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5.2565563020353703E-5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4.0832189170284097E-5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0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</v>
      </c>
      <c r="M2145" s="1" cm="1">
        <f t="array" ref="M2145">SUMPRODUCT(("var_ncap"=[1]OUT_TransportEnergyCons!$B$4:$B$10000)*1,("-"=[1]OUT_TransportEnergyCons!$C$4:$C$10000)*1,ISNUMBER(SEARCH("T_C*mhy*GSL*s4",[1]OUT_TransportEnergyCons!$A$4:$A$10000))*1,[1]OUT_TransportEnergyCons!K$4:K$10000)</f>
        <v>0</v>
      </c>
      <c r="N2145" s="1" cm="1">
        <f t="array" ref="N2145">SUMPRODUCT(("var_ncap"=[1]OUT_TransportEnergyCons!$B$4:$B$10000)*1,("-"=[1]OUT_TransportEnergyCons!$C$4:$C$10000)*1,ISNUMBER(SEARCH("T_C*mhy*GSL*s4",[1]OUT_TransportEnergyCons!$A$4:$A$10000))*1,[1]OUT_TransportEnergyCons!L$4:L$10000)</f>
        <v>0</v>
      </c>
      <c r="O2145" s="1" cm="1">
        <f t="array" ref="O2145">SUMPRODUCT(("var_ncap"=[1]OUT_TransportEnergyCons!$B$4:$B$10000)*1,("-"=[1]OUT_TransportEnergyCons!$C$4:$C$10000)*1,ISNUMBER(SEARCH("T_C*mhy*GSL*s4",[1]OUT_TransportEnergyCons!$A$4:$A$10000))*1,[1]OUT_TransportEnergyCons!M$4:M$10000)</f>
        <v>0</v>
      </c>
      <c r="P2145" s="1" cm="1">
        <f t="array" ref="P2145">SUMPRODUCT(("var_ncap"=[1]OUT_TransportEnergyCons!$B$4:$B$10000)*1,("-"=[1]OUT_TransportEnergyCons!$C$4:$C$10000)*1,ISNUMBER(SEARCH("T_C*mhy*GSL*s4",[1]OUT_TransportEnergyCons!$A$4:$A$10000))*1,[1]OUT_TransportEnergyCons!N$4:N$10000)</f>
        <v>0</v>
      </c>
      <c r="Q2145" s="1" cm="1">
        <f t="array" ref="Q2145">SUMPRODUCT(("var_ncap"=[1]OUT_TransportEnergyCons!$B$4:$B$10000)*1,("-"=[1]OUT_TransportEnergyCons!$C$4:$C$10000)*1,ISNUMBER(SEARCH("T_C*mhy*GSL*s4",[1]OUT_TransportEnergyCons!$A$4:$A$10000))*1,[1]OUT_TransportEnergyCons!O$4:O$10000)</f>
        <v>0</v>
      </c>
      <c r="S2145" s="3"/>
    </row>
    <row r="2146" spans="2:19" x14ac:dyDescent="0.5">
      <c r="B2146" s="5" t="str">
        <f t="shared" si="2239"/>
        <v>SPS1</v>
      </c>
      <c r="C2146" s="5" t="str">
        <f t="shared" si="2240"/>
        <v>CH</v>
      </c>
      <c r="D2146" t="s">
        <v>2275</v>
      </c>
      <c r="E2146" t="str">
        <f t="shared" si="2241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M2146" s="1" cm="1">
        <f t="array" ref="M2146">SUMPRODUCT(("var_ncap"=[1]OUT_TransportEnergyCons!$B$4:$B$10000)*1,("-"=[1]OUT_TransportEnergyCons!$C$4:$C$10000)*1,ISNUMBER(SEARCH("T_C*hy*dsl*ext",[1]OUT_TransportEnergyCons!$A$4:$A$10000))*1,[1]OUT_TransportEnergyCons!K$4:K$10000)</f>
        <v>0</v>
      </c>
      <c r="N2146" s="1" cm="1">
        <f t="array" ref="N2146">SUMPRODUCT(("var_ncap"=[1]OUT_TransportEnergyCons!$B$4:$B$10000)*1,("-"=[1]OUT_TransportEnergyCons!$C$4:$C$10000)*1,ISNUMBER(SEARCH("T_C*hy*dsl*ext",[1]OUT_TransportEnergyCons!$A$4:$A$10000))*1,[1]OUT_TransportEnergyCons!L$4:L$10000)</f>
        <v>0</v>
      </c>
      <c r="O2146" s="1" cm="1">
        <f t="array" ref="O2146">SUMPRODUCT(("var_ncap"=[1]OUT_TransportEnergyCons!$B$4:$B$10000)*1,("-"=[1]OUT_TransportEnergyCons!$C$4:$C$10000)*1,ISNUMBER(SEARCH("T_C*hy*dsl*ext",[1]OUT_TransportEnergyCons!$A$4:$A$10000))*1,[1]OUT_TransportEnergyCons!M$4:M$10000)</f>
        <v>0</v>
      </c>
      <c r="P2146" s="1" cm="1">
        <f t="array" ref="P2146">SUMPRODUCT(("var_ncap"=[1]OUT_TransportEnergyCons!$B$4:$B$10000)*1,("-"=[1]OUT_TransportEnergyCons!$C$4:$C$10000)*1,ISNUMBER(SEARCH("T_C*hy*dsl*ext",[1]OUT_TransportEnergyCons!$A$4:$A$10000))*1,[1]OUT_TransportEnergyCons!N$4:N$10000)</f>
        <v>0</v>
      </c>
      <c r="Q2146" s="1" cm="1">
        <f t="array" ref="Q2146">SUMPRODUCT(("var_ncap"=[1]OUT_TransportEnergyCons!$B$4:$B$10000)*1,("-"=[1]OUT_TransportEnergyCons!$C$4:$C$10000)*1,ISNUMBER(SEARCH("T_C*hy*dsl*ext",[1]OUT_TransportEnergyCons!$A$4:$A$10000))*1,[1]OUT_TransportEnergyCons!O$4:O$10000)</f>
        <v>0</v>
      </c>
      <c r="S2146" s="3"/>
    </row>
    <row r="2147" spans="2:19" x14ac:dyDescent="0.5">
      <c r="B2147" s="5" t="str">
        <f t="shared" ref="B2147:B2164" si="2242">B2146</f>
        <v>SPS1</v>
      </c>
      <c r="C2147" s="5" t="str">
        <f t="shared" ref="C2147:C2164" si="2243">C2146</f>
        <v>CH</v>
      </c>
      <c r="D2147" t="s">
        <v>2276</v>
      </c>
      <c r="E2147" t="str">
        <f t="shared" ref="E2147:E2164" si="2244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3.0214962399639389E-2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1.1129597991284075E-3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1.3912436910089161E-4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0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0</v>
      </c>
      <c r="M2147" s="1" cm="1">
        <f t="array" ref="M2147">SUMPRODUCT(("var_ncap"=[1]OUT_TransportEnergyCons!$B$4:$B$10000)*1,("-"=[1]OUT_TransportEnergyCons!$C$4:$C$10000)*1,ISNUMBER(SEARCH("T_C*hy*dsl*s1",[1]OUT_TransportEnergyCons!$A$4:$A$10000))*1,[1]OUT_TransportEnergyCons!K$4:K$10000)</f>
        <v>0</v>
      </c>
      <c r="N2147" s="1" cm="1">
        <f t="array" ref="N2147">SUMPRODUCT(("var_ncap"=[1]OUT_TransportEnergyCons!$B$4:$B$10000)*1,("-"=[1]OUT_TransportEnergyCons!$C$4:$C$10000)*1,ISNUMBER(SEARCH("T_C*hy*dsl*s1",[1]OUT_TransportEnergyCons!$A$4:$A$10000))*1,[1]OUT_TransportEnergyCons!L$4:L$10000)</f>
        <v>0</v>
      </c>
      <c r="O2147" s="1" cm="1">
        <f t="array" ref="O2147">SUMPRODUCT(("var_ncap"=[1]OUT_TransportEnergyCons!$B$4:$B$10000)*1,("-"=[1]OUT_TransportEnergyCons!$C$4:$C$10000)*1,ISNUMBER(SEARCH("T_C*hy*dsl*s1",[1]OUT_TransportEnergyCons!$A$4:$A$10000))*1,[1]OUT_TransportEnergyCons!M$4:M$10000)</f>
        <v>0</v>
      </c>
      <c r="P2147" s="1" cm="1">
        <f t="array" ref="P2147">SUMPRODUCT(("var_ncap"=[1]OUT_TransportEnergyCons!$B$4:$B$10000)*1,("-"=[1]OUT_TransportEnergyCons!$C$4:$C$10000)*1,ISNUMBER(SEARCH("T_C*hy*dsl*s1",[1]OUT_TransportEnergyCons!$A$4:$A$10000))*1,[1]OUT_TransportEnergyCons!N$4:N$10000)</f>
        <v>0</v>
      </c>
      <c r="Q2147" s="1" cm="1">
        <f t="array" ref="Q2147">SUMPRODUCT(("var_ncap"=[1]OUT_TransportEnergyCons!$B$4:$B$10000)*1,("-"=[1]OUT_TransportEnergyCons!$C$4:$C$10000)*1,ISNUMBER(SEARCH("T_C*hy*dsl*s1",[1]OUT_TransportEnergyCons!$A$4:$A$10000))*1,[1]OUT_TransportEnergyCons!O$4:O$10000)</f>
        <v>0</v>
      </c>
      <c r="S2147" s="3"/>
    </row>
    <row r="2148" spans="2:19" x14ac:dyDescent="0.5">
      <c r="B2148" s="5" t="str">
        <f t="shared" si="2242"/>
        <v>SPS1</v>
      </c>
      <c r="C2148" s="5" t="str">
        <f t="shared" si="2243"/>
        <v>CH</v>
      </c>
      <c r="D2148" t="s">
        <v>2277</v>
      </c>
      <c r="E2148" t="str">
        <f t="shared" si="2244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0.11600024628337169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9.5299597631773009E-2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6.1854195464793393E-5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0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0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0</v>
      </c>
      <c r="M2148" s="1" cm="1">
        <f t="array" ref="M2148">SUMPRODUCT(("var_ncap"=[1]OUT_TransportEnergyCons!$B$4:$B$10000)*1,("-"=[1]OUT_TransportEnergyCons!$C$4:$C$10000)*1,ISNUMBER(SEARCH("T_C*hy*dsl*s2",[1]OUT_TransportEnergyCons!$A$4:$A$10000))*1,[1]OUT_TransportEnergyCons!K$4:K$10000)</f>
        <v>0</v>
      </c>
      <c r="N2148" s="1" cm="1">
        <f t="array" ref="N2148">SUMPRODUCT(("var_ncap"=[1]OUT_TransportEnergyCons!$B$4:$B$10000)*1,("-"=[1]OUT_TransportEnergyCons!$C$4:$C$10000)*1,ISNUMBER(SEARCH("T_C*hy*dsl*s2",[1]OUT_TransportEnergyCons!$A$4:$A$10000))*1,[1]OUT_TransportEnergyCons!L$4:L$10000)</f>
        <v>0</v>
      </c>
      <c r="O2148" s="1" cm="1">
        <f t="array" ref="O2148">SUMPRODUCT(("var_ncap"=[1]OUT_TransportEnergyCons!$B$4:$B$10000)*1,("-"=[1]OUT_TransportEnergyCons!$C$4:$C$10000)*1,ISNUMBER(SEARCH("T_C*hy*dsl*s2",[1]OUT_TransportEnergyCons!$A$4:$A$10000))*1,[1]OUT_TransportEnergyCons!M$4:M$10000)</f>
        <v>0</v>
      </c>
      <c r="P2148" s="1" cm="1">
        <f t="array" ref="P2148">SUMPRODUCT(("var_ncap"=[1]OUT_TransportEnergyCons!$B$4:$B$10000)*1,("-"=[1]OUT_TransportEnergyCons!$C$4:$C$10000)*1,ISNUMBER(SEARCH("T_C*hy*dsl*s2",[1]OUT_TransportEnergyCons!$A$4:$A$10000))*1,[1]OUT_TransportEnergyCons!N$4:N$10000)</f>
        <v>0</v>
      </c>
      <c r="Q2148" s="1" cm="1">
        <f t="array" ref="Q2148">SUMPRODUCT(("var_ncap"=[1]OUT_TransportEnergyCons!$B$4:$B$10000)*1,("-"=[1]OUT_TransportEnergyCons!$C$4:$C$10000)*1,ISNUMBER(SEARCH("T_C*hy*dsl*s2",[1]OUT_TransportEnergyCons!$A$4:$A$10000))*1,[1]OUT_TransportEnergyCons!O$4:O$10000)</f>
        <v>0</v>
      </c>
      <c r="S2148" s="3"/>
    </row>
    <row r="2149" spans="2:19" x14ac:dyDescent="0.5">
      <c r="B2149" s="5" t="str">
        <f t="shared" si="2242"/>
        <v>SPS1</v>
      </c>
      <c r="C2149" s="5" t="str">
        <f t="shared" si="2243"/>
        <v>CH</v>
      </c>
      <c r="D2149" t="s">
        <v>2278</v>
      </c>
      <c r="E2149" t="str">
        <f t="shared" si="2244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7.6185892578639801E-5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4.98516625699712E-5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2.8680717902834398E-5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0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0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0</v>
      </c>
      <c r="M2149" s="1" cm="1">
        <f t="array" ref="M2149">SUMPRODUCT(("var_ncap"=[1]OUT_TransportEnergyCons!$B$4:$B$10000)*1,("-"=[1]OUT_TransportEnergyCons!$C$4:$C$10000)*1,ISNUMBER(SEARCH("T_C*hy*dsl*s3",[1]OUT_TransportEnergyCons!$A$4:$A$10000))*1,[1]OUT_TransportEnergyCons!K$4:K$10000)</f>
        <v>0</v>
      </c>
      <c r="N2149" s="1" cm="1">
        <f t="array" ref="N2149">SUMPRODUCT(("var_ncap"=[1]OUT_TransportEnergyCons!$B$4:$B$10000)*1,("-"=[1]OUT_TransportEnergyCons!$C$4:$C$10000)*1,ISNUMBER(SEARCH("T_C*hy*dsl*s3",[1]OUT_TransportEnergyCons!$A$4:$A$10000))*1,[1]OUT_TransportEnergyCons!L$4:L$10000)</f>
        <v>0</v>
      </c>
      <c r="O2149" s="1" cm="1">
        <f t="array" ref="O2149">SUMPRODUCT(("var_ncap"=[1]OUT_TransportEnergyCons!$B$4:$B$10000)*1,("-"=[1]OUT_TransportEnergyCons!$C$4:$C$10000)*1,ISNUMBER(SEARCH("T_C*hy*dsl*s3",[1]OUT_TransportEnergyCons!$A$4:$A$10000))*1,[1]OUT_TransportEnergyCons!M$4:M$10000)</f>
        <v>0</v>
      </c>
      <c r="P2149" s="1" cm="1">
        <f t="array" ref="P2149">SUMPRODUCT(("var_ncap"=[1]OUT_TransportEnergyCons!$B$4:$B$10000)*1,("-"=[1]OUT_TransportEnergyCons!$C$4:$C$10000)*1,ISNUMBER(SEARCH("T_C*hy*dsl*s3",[1]OUT_TransportEnergyCons!$A$4:$A$10000))*1,[1]OUT_TransportEnergyCons!N$4:N$10000)</f>
        <v>0</v>
      </c>
      <c r="Q2149" s="1" cm="1">
        <f t="array" ref="Q2149">SUMPRODUCT(("var_ncap"=[1]OUT_TransportEnergyCons!$B$4:$B$10000)*1,("-"=[1]OUT_TransportEnergyCons!$C$4:$C$10000)*1,ISNUMBER(SEARCH("T_C*hy*dsl*s3",[1]OUT_TransportEnergyCons!$A$4:$A$10000))*1,[1]OUT_TransportEnergyCons!O$4:O$10000)</f>
        <v>0</v>
      </c>
      <c r="S2149" s="3"/>
    </row>
    <row r="2150" spans="2:19" x14ac:dyDescent="0.5">
      <c r="B2150" s="5" t="str">
        <f t="shared" si="2242"/>
        <v>SPS1</v>
      </c>
      <c r="C2150" s="5" t="str">
        <f t="shared" si="2243"/>
        <v>CH</v>
      </c>
      <c r="D2150" t="s">
        <v>2279</v>
      </c>
      <c r="E2150" t="str">
        <f t="shared" si="2244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8.0243902883990104E-5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4.29730029773913E-5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2.7794506450605498E-5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0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0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0</v>
      </c>
      <c r="M2150" s="1" cm="1">
        <f t="array" ref="M2150">SUMPRODUCT(("var_ncap"=[1]OUT_TransportEnergyCons!$B$4:$B$10000)*1,("-"=[1]OUT_TransportEnergyCons!$C$4:$C$10000)*1,ISNUMBER(SEARCH("T_C*hy*dsl*s4",[1]OUT_TransportEnergyCons!$A$4:$A$10000))*1,[1]OUT_TransportEnergyCons!K$4:K$10000)</f>
        <v>0</v>
      </c>
      <c r="N2150" s="1" cm="1">
        <f t="array" ref="N2150">SUMPRODUCT(("var_ncap"=[1]OUT_TransportEnergyCons!$B$4:$B$10000)*1,("-"=[1]OUT_TransportEnergyCons!$C$4:$C$10000)*1,ISNUMBER(SEARCH("T_C*hy*dsl*s4",[1]OUT_TransportEnergyCons!$A$4:$A$10000))*1,[1]OUT_TransportEnergyCons!L$4:L$10000)</f>
        <v>0</v>
      </c>
      <c r="O2150" s="1" cm="1">
        <f t="array" ref="O2150">SUMPRODUCT(("var_ncap"=[1]OUT_TransportEnergyCons!$B$4:$B$10000)*1,("-"=[1]OUT_TransportEnergyCons!$C$4:$C$10000)*1,ISNUMBER(SEARCH("T_C*hy*dsl*s4",[1]OUT_TransportEnergyCons!$A$4:$A$10000))*1,[1]OUT_TransportEnergyCons!M$4:M$10000)</f>
        <v>0</v>
      </c>
      <c r="P2150" s="1" cm="1">
        <f t="array" ref="P2150">SUMPRODUCT(("var_ncap"=[1]OUT_TransportEnergyCons!$B$4:$B$10000)*1,("-"=[1]OUT_TransportEnergyCons!$C$4:$C$10000)*1,ISNUMBER(SEARCH("T_C*hy*dsl*s4",[1]OUT_TransportEnergyCons!$A$4:$A$10000))*1,[1]OUT_TransportEnergyCons!N$4:N$10000)</f>
        <v>0</v>
      </c>
      <c r="Q2150" s="1" cm="1">
        <f t="array" ref="Q2150">SUMPRODUCT(("var_ncap"=[1]OUT_TransportEnergyCons!$B$4:$B$10000)*1,("-"=[1]OUT_TransportEnergyCons!$C$4:$C$10000)*1,ISNUMBER(SEARCH("T_C*hy*dsl*s4",[1]OUT_TransportEnergyCons!$A$4:$A$10000))*1,[1]OUT_TransportEnergyCons!O$4:O$10000)</f>
        <v>0</v>
      </c>
      <c r="S2150" s="3"/>
    </row>
    <row r="2151" spans="2:19" x14ac:dyDescent="0.5">
      <c r="B2151" s="5" t="str">
        <f t="shared" si="2242"/>
        <v>SPS1</v>
      </c>
      <c r="C2151" s="5" t="str">
        <f t="shared" si="2243"/>
        <v>CH</v>
      </c>
      <c r="D2151" t="s">
        <v>2280</v>
      </c>
      <c r="E2151" t="str">
        <f t="shared" si="2244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M2151" s="1" cm="1">
        <f t="array" ref="M2151">SUMPRODUCT(("var_ncap"=[1]OUT_TransportEnergyCons!$B$4:$B$10000)*1,("-"=[1]OUT_TransportEnergyCons!$C$4:$C$10000)*1,ISNUMBER(SEARCH("T_C*ICE*dsl*ext",[1]OUT_TransportEnergyCons!$A$4:$A$10000))*1,[1]OUT_TransportEnergyCons!K$4:K$10000)</f>
        <v>0</v>
      </c>
      <c r="N2151" s="1" cm="1">
        <f t="array" ref="N2151">SUMPRODUCT(("var_ncap"=[1]OUT_TransportEnergyCons!$B$4:$B$10000)*1,("-"=[1]OUT_TransportEnergyCons!$C$4:$C$10000)*1,ISNUMBER(SEARCH("T_C*ICE*dsl*ext",[1]OUT_TransportEnergyCons!$A$4:$A$10000))*1,[1]OUT_TransportEnergyCons!L$4:L$10000)</f>
        <v>0</v>
      </c>
      <c r="O2151" s="1" cm="1">
        <f t="array" ref="O2151">SUMPRODUCT(("var_ncap"=[1]OUT_TransportEnergyCons!$B$4:$B$10000)*1,("-"=[1]OUT_TransportEnergyCons!$C$4:$C$10000)*1,ISNUMBER(SEARCH("T_C*ICE*dsl*ext",[1]OUT_TransportEnergyCons!$A$4:$A$10000))*1,[1]OUT_TransportEnergyCons!M$4:M$10000)</f>
        <v>0</v>
      </c>
      <c r="P2151" s="1" cm="1">
        <f t="array" ref="P2151">SUMPRODUCT(("var_ncap"=[1]OUT_TransportEnergyCons!$B$4:$B$10000)*1,("-"=[1]OUT_TransportEnergyCons!$C$4:$C$10000)*1,ISNUMBER(SEARCH("T_C*ICE*dsl*ext",[1]OUT_TransportEnergyCons!$A$4:$A$10000))*1,[1]OUT_TransportEnergyCons!N$4:N$10000)</f>
        <v>0</v>
      </c>
      <c r="Q2151" s="1" cm="1">
        <f t="array" ref="Q2151">SUMPRODUCT(("var_ncap"=[1]OUT_TransportEnergyCons!$B$4:$B$10000)*1,("-"=[1]OUT_TransportEnergyCons!$C$4:$C$10000)*1,ISNUMBER(SEARCH("T_C*ICE*dsl*ext",[1]OUT_TransportEnergyCons!$A$4:$A$10000))*1,[1]OUT_TransportEnergyCons!O$4:O$10000)</f>
        <v>0</v>
      </c>
      <c r="S2151" s="3"/>
    </row>
    <row r="2152" spans="2:19" x14ac:dyDescent="0.5">
      <c r="B2152" s="5" t="str">
        <f t="shared" si="2242"/>
        <v>SPS1</v>
      </c>
      <c r="C2152" s="5" t="str">
        <f t="shared" si="2243"/>
        <v>CH</v>
      </c>
      <c r="D2152" t="s">
        <v>2281</v>
      </c>
      <c r="E2152" t="str">
        <f t="shared" si="2244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3.9514897757983501E-5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6.3078426843566794E-5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4.2164196703569399E-5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0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0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0</v>
      </c>
      <c r="M2152" s="1" cm="1">
        <f t="array" ref="M2152">SUMPRODUCT(("var_ncap"=[1]OUT_TransportEnergyCons!$B$4:$B$10000)*1,("-"=[1]OUT_TransportEnergyCons!$C$4:$C$10000)*1,ISNUMBER(SEARCH("T_C*ICE*dsl*s1",[1]OUT_TransportEnergyCons!$A$4:$A$10000))*1,[1]OUT_TransportEnergyCons!K$4:K$10000)</f>
        <v>0</v>
      </c>
      <c r="N2152" s="1" cm="1">
        <f t="array" ref="N2152">SUMPRODUCT(("var_ncap"=[1]OUT_TransportEnergyCons!$B$4:$B$10000)*1,("-"=[1]OUT_TransportEnergyCons!$C$4:$C$10000)*1,ISNUMBER(SEARCH("T_C*ICE*dsl*s1",[1]OUT_TransportEnergyCons!$A$4:$A$10000))*1,[1]OUT_TransportEnergyCons!L$4:L$10000)</f>
        <v>0</v>
      </c>
      <c r="O2152" s="1" cm="1">
        <f t="array" ref="O2152">SUMPRODUCT(("var_ncap"=[1]OUT_TransportEnergyCons!$B$4:$B$10000)*1,("-"=[1]OUT_TransportEnergyCons!$C$4:$C$10000)*1,ISNUMBER(SEARCH("T_C*ICE*dsl*s1",[1]OUT_TransportEnergyCons!$A$4:$A$10000))*1,[1]OUT_TransportEnergyCons!M$4:M$10000)</f>
        <v>0</v>
      </c>
      <c r="P2152" s="1" cm="1">
        <f t="array" ref="P2152">SUMPRODUCT(("var_ncap"=[1]OUT_TransportEnergyCons!$B$4:$B$10000)*1,("-"=[1]OUT_TransportEnergyCons!$C$4:$C$10000)*1,ISNUMBER(SEARCH("T_C*ICE*dsl*s1",[1]OUT_TransportEnergyCons!$A$4:$A$10000))*1,[1]OUT_TransportEnergyCons!N$4:N$10000)</f>
        <v>0</v>
      </c>
      <c r="Q2152" s="1" cm="1">
        <f t="array" ref="Q2152">SUMPRODUCT(("var_ncap"=[1]OUT_TransportEnergyCons!$B$4:$B$10000)*1,("-"=[1]OUT_TransportEnergyCons!$C$4:$C$10000)*1,ISNUMBER(SEARCH("T_C*ICE*dsl*s1",[1]OUT_TransportEnergyCons!$A$4:$A$10000))*1,[1]OUT_TransportEnergyCons!O$4:O$10000)</f>
        <v>0</v>
      </c>
      <c r="S2152" s="3"/>
    </row>
    <row r="2153" spans="2:19" x14ac:dyDescent="0.5">
      <c r="B2153" s="5" t="str">
        <f t="shared" si="2242"/>
        <v>SPS1</v>
      </c>
      <c r="C2153" s="5" t="str">
        <f t="shared" si="2243"/>
        <v>CH</v>
      </c>
      <c r="D2153" t="s">
        <v>2282</v>
      </c>
      <c r="E2153" t="str">
        <f t="shared" si="2244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1.9575405143435302E-5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3.5863186965710497E-5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2.12108363700899E-5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0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0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0</v>
      </c>
      <c r="M2153" s="1" cm="1">
        <f t="array" ref="M2153">SUMPRODUCT(("var_ncap"=[1]OUT_TransportEnergyCons!$B$4:$B$10000)*1,("-"=[1]OUT_TransportEnergyCons!$C$4:$C$10000)*1,ISNUMBER(SEARCH("T_C*ICE*dsl*s2",[1]OUT_TransportEnergyCons!$A$4:$A$10000))*1,[1]OUT_TransportEnergyCons!K$4:K$10000)</f>
        <v>0</v>
      </c>
      <c r="N2153" s="1" cm="1">
        <f t="array" ref="N2153">SUMPRODUCT(("var_ncap"=[1]OUT_TransportEnergyCons!$B$4:$B$10000)*1,("-"=[1]OUT_TransportEnergyCons!$C$4:$C$10000)*1,ISNUMBER(SEARCH("T_C*ICE*dsl*s2",[1]OUT_TransportEnergyCons!$A$4:$A$10000))*1,[1]OUT_TransportEnergyCons!L$4:L$10000)</f>
        <v>0</v>
      </c>
      <c r="O2153" s="1" cm="1">
        <f t="array" ref="O2153">SUMPRODUCT(("var_ncap"=[1]OUT_TransportEnergyCons!$B$4:$B$10000)*1,("-"=[1]OUT_TransportEnergyCons!$C$4:$C$10000)*1,ISNUMBER(SEARCH("T_C*ICE*dsl*s2",[1]OUT_TransportEnergyCons!$A$4:$A$10000))*1,[1]OUT_TransportEnergyCons!M$4:M$10000)</f>
        <v>0</v>
      </c>
      <c r="P2153" s="1" cm="1">
        <f t="array" ref="P2153">SUMPRODUCT(("var_ncap"=[1]OUT_TransportEnergyCons!$B$4:$B$10000)*1,("-"=[1]OUT_TransportEnergyCons!$C$4:$C$10000)*1,ISNUMBER(SEARCH("T_C*ICE*dsl*s2",[1]OUT_TransportEnergyCons!$A$4:$A$10000))*1,[1]OUT_TransportEnergyCons!N$4:N$10000)</f>
        <v>0</v>
      </c>
      <c r="Q2153" s="1" cm="1">
        <f t="array" ref="Q2153">SUMPRODUCT(("var_ncap"=[1]OUT_TransportEnergyCons!$B$4:$B$10000)*1,("-"=[1]OUT_TransportEnergyCons!$C$4:$C$10000)*1,ISNUMBER(SEARCH("T_C*ICE*dsl*s2",[1]OUT_TransportEnergyCons!$A$4:$A$10000))*1,[1]OUT_TransportEnergyCons!O$4:O$10000)</f>
        <v>0</v>
      </c>
      <c r="S2153" s="3"/>
    </row>
    <row r="2154" spans="2:19" x14ac:dyDescent="0.5">
      <c r="B2154" s="5" t="str">
        <f t="shared" si="2242"/>
        <v>SPS1</v>
      </c>
      <c r="C2154" s="5" t="str">
        <f t="shared" si="2243"/>
        <v>CH</v>
      </c>
      <c r="D2154" t="s">
        <v>2283</v>
      </c>
      <c r="E2154" t="str">
        <f t="shared" si="2244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2.0784699327478999E-5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2.5951015374208599E-5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1.48872377765656E-5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0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0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0</v>
      </c>
      <c r="M2154" s="1" cm="1">
        <f t="array" ref="M2154">SUMPRODUCT(("var_ncap"=[1]OUT_TransportEnergyCons!$B$4:$B$10000)*1,("-"=[1]OUT_TransportEnergyCons!$C$4:$C$10000)*1,ISNUMBER(SEARCH("T_C*ICE*dsl*s3",[1]OUT_TransportEnergyCons!$A$4:$A$10000))*1,[1]OUT_TransportEnergyCons!K$4:K$10000)</f>
        <v>0</v>
      </c>
      <c r="N2154" s="1" cm="1">
        <f t="array" ref="N2154">SUMPRODUCT(("var_ncap"=[1]OUT_TransportEnergyCons!$B$4:$B$10000)*1,("-"=[1]OUT_TransportEnergyCons!$C$4:$C$10000)*1,ISNUMBER(SEARCH("T_C*ICE*dsl*s3",[1]OUT_TransportEnergyCons!$A$4:$A$10000))*1,[1]OUT_TransportEnergyCons!L$4:L$10000)</f>
        <v>0</v>
      </c>
      <c r="O2154" s="1" cm="1">
        <f t="array" ref="O2154">SUMPRODUCT(("var_ncap"=[1]OUT_TransportEnergyCons!$B$4:$B$10000)*1,("-"=[1]OUT_TransportEnergyCons!$C$4:$C$10000)*1,ISNUMBER(SEARCH("T_C*ICE*dsl*s3",[1]OUT_TransportEnergyCons!$A$4:$A$10000))*1,[1]OUT_TransportEnergyCons!M$4:M$10000)</f>
        <v>0</v>
      </c>
      <c r="P2154" s="1" cm="1">
        <f t="array" ref="P2154">SUMPRODUCT(("var_ncap"=[1]OUT_TransportEnergyCons!$B$4:$B$10000)*1,("-"=[1]OUT_TransportEnergyCons!$C$4:$C$10000)*1,ISNUMBER(SEARCH("T_C*ICE*dsl*s3",[1]OUT_TransportEnergyCons!$A$4:$A$10000))*1,[1]OUT_TransportEnergyCons!N$4:N$10000)</f>
        <v>0</v>
      </c>
      <c r="Q2154" s="1" cm="1">
        <f t="array" ref="Q2154">SUMPRODUCT(("var_ncap"=[1]OUT_TransportEnergyCons!$B$4:$B$10000)*1,("-"=[1]OUT_TransportEnergyCons!$C$4:$C$10000)*1,ISNUMBER(SEARCH("T_C*ICE*dsl*s3",[1]OUT_TransportEnergyCons!$A$4:$A$10000))*1,[1]OUT_TransportEnergyCons!O$4:O$10000)</f>
        <v>0</v>
      </c>
      <c r="S2154" s="3"/>
    </row>
    <row r="2155" spans="2:19" x14ac:dyDescent="0.5">
      <c r="B2155" s="5" t="str">
        <f t="shared" si="2242"/>
        <v>SPS1</v>
      </c>
      <c r="C2155" s="5" t="str">
        <f t="shared" si="2243"/>
        <v>CH</v>
      </c>
      <c r="D2155" t="s">
        <v>2284</v>
      </c>
      <c r="E2155" t="str">
        <f t="shared" si="2244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8.4073789275171895E-6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1.32753603285864E-5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1.13373363195611E-5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0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0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0</v>
      </c>
      <c r="M2155" s="1" cm="1">
        <f t="array" ref="M2155">SUMPRODUCT(("var_ncap"=[1]OUT_TransportEnergyCons!$B$4:$B$10000)*1,("-"=[1]OUT_TransportEnergyCons!$C$4:$C$10000)*1,ISNUMBER(SEARCH("T_C*ICE*dsl*s4",[1]OUT_TransportEnergyCons!$A$4:$A$10000))*1,[1]OUT_TransportEnergyCons!K$4:K$10000)</f>
        <v>0</v>
      </c>
      <c r="N2155" s="1" cm="1">
        <f t="array" ref="N2155">SUMPRODUCT(("var_ncap"=[1]OUT_TransportEnergyCons!$B$4:$B$10000)*1,("-"=[1]OUT_TransportEnergyCons!$C$4:$C$10000)*1,ISNUMBER(SEARCH("T_C*ICE*dsl*s4",[1]OUT_TransportEnergyCons!$A$4:$A$10000))*1,[1]OUT_TransportEnergyCons!L$4:L$10000)</f>
        <v>0</v>
      </c>
      <c r="O2155" s="1" cm="1">
        <f t="array" ref="O2155">SUMPRODUCT(("var_ncap"=[1]OUT_TransportEnergyCons!$B$4:$B$10000)*1,("-"=[1]OUT_TransportEnergyCons!$C$4:$C$10000)*1,ISNUMBER(SEARCH("T_C*ICE*dsl*s4",[1]OUT_TransportEnergyCons!$A$4:$A$10000))*1,[1]OUT_TransportEnergyCons!M$4:M$10000)</f>
        <v>0</v>
      </c>
      <c r="P2155" s="1" cm="1">
        <f t="array" ref="P2155">SUMPRODUCT(("var_ncap"=[1]OUT_TransportEnergyCons!$B$4:$B$10000)*1,("-"=[1]OUT_TransportEnergyCons!$C$4:$C$10000)*1,ISNUMBER(SEARCH("T_C*ICE*dsl*s4",[1]OUT_TransportEnergyCons!$A$4:$A$10000))*1,[1]OUT_TransportEnergyCons!N$4:N$10000)</f>
        <v>0</v>
      </c>
      <c r="Q2155" s="1" cm="1">
        <f t="array" ref="Q2155">SUMPRODUCT(("var_ncap"=[1]OUT_TransportEnergyCons!$B$4:$B$10000)*1,("-"=[1]OUT_TransportEnergyCons!$C$4:$C$10000)*1,ISNUMBER(SEARCH("T_C*ICE*dsl*s4",[1]OUT_TransportEnergyCons!$A$4:$A$10000))*1,[1]OUT_TransportEnergyCons!O$4:O$10000)</f>
        <v>0</v>
      </c>
      <c r="S2155" s="3"/>
    </row>
    <row r="2156" spans="2:19" x14ac:dyDescent="0.5">
      <c r="B2156" s="5" t="str">
        <f t="shared" si="2242"/>
        <v>SPS1</v>
      </c>
      <c r="C2156" s="5" t="str">
        <f t="shared" si="2243"/>
        <v>CH</v>
      </c>
      <c r="D2156" t="s">
        <v>2285</v>
      </c>
      <c r="E2156" t="str">
        <f t="shared" si="2244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1.9417515352790099E-5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6.3317142503877395E-5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5.0389454059857803E-5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0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0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0</v>
      </c>
      <c r="M2156" s="1" cm="1">
        <f t="array" ref="M2156">SUMPRODUCT(("var_ncap"=[1]OUT_TransportEnergyCons!$B$4:$B$10000)*1,("-"=[1]OUT_TransportEnergyCons!$C$4:$C$10000)*1,ISNUMBER(SEARCH("T_C*mhy*dsl*s1",[1]OUT_TransportEnergyCons!$A$4:$A$10000))*1,[1]OUT_TransportEnergyCons!K$4:K$10000)</f>
        <v>0</v>
      </c>
      <c r="N2156" s="1" cm="1">
        <f t="array" ref="N2156">SUMPRODUCT(("var_ncap"=[1]OUT_TransportEnergyCons!$B$4:$B$10000)*1,("-"=[1]OUT_TransportEnergyCons!$C$4:$C$10000)*1,ISNUMBER(SEARCH("T_C*mhy*dsl*s1",[1]OUT_TransportEnergyCons!$A$4:$A$10000))*1,[1]OUT_TransportEnergyCons!L$4:L$10000)</f>
        <v>0</v>
      </c>
      <c r="O2156" s="1" cm="1">
        <f t="array" ref="O2156">SUMPRODUCT(("var_ncap"=[1]OUT_TransportEnergyCons!$B$4:$B$10000)*1,("-"=[1]OUT_TransportEnergyCons!$C$4:$C$10000)*1,ISNUMBER(SEARCH("T_C*mhy*dsl*s1",[1]OUT_TransportEnergyCons!$A$4:$A$10000))*1,[1]OUT_TransportEnergyCons!M$4:M$10000)</f>
        <v>0</v>
      </c>
      <c r="P2156" s="1" cm="1">
        <f t="array" ref="P2156">SUMPRODUCT(("var_ncap"=[1]OUT_TransportEnergyCons!$B$4:$B$10000)*1,("-"=[1]OUT_TransportEnergyCons!$C$4:$C$10000)*1,ISNUMBER(SEARCH("T_C*mhy*dsl*s1",[1]OUT_TransportEnergyCons!$A$4:$A$10000))*1,[1]OUT_TransportEnergyCons!N$4:N$10000)</f>
        <v>0</v>
      </c>
      <c r="Q2156" s="1" cm="1">
        <f t="array" ref="Q2156">SUMPRODUCT(("var_ncap"=[1]OUT_TransportEnergyCons!$B$4:$B$10000)*1,("-"=[1]OUT_TransportEnergyCons!$C$4:$C$10000)*1,ISNUMBER(SEARCH("T_C*mhy*dsl*s1",[1]OUT_TransportEnergyCons!$A$4:$A$10000))*1,[1]OUT_TransportEnergyCons!O$4:O$10000)</f>
        <v>0</v>
      </c>
      <c r="S2156" s="3"/>
    </row>
    <row r="2157" spans="2:19" x14ac:dyDescent="0.5">
      <c r="B2157" s="5" t="str">
        <f t="shared" si="2242"/>
        <v>SPS1</v>
      </c>
      <c r="C2157" s="5" t="str">
        <f t="shared" si="2243"/>
        <v>CH</v>
      </c>
      <c r="D2157" t="s">
        <v>2286</v>
      </c>
      <c r="E2157" t="str">
        <f t="shared" si="2244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1.0192360459680901E-5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3.0461027605418601E-5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2.41337400181174E-5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0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0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0</v>
      </c>
      <c r="M2157" s="1" cm="1">
        <f t="array" ref="M2157">SUMPRODUCT(("var_ncap"=[1]OUT_TransportEnergyCons!$B$4:$B$10000)*1,("-"=[1]OUT_TransportEnergyCons!$C$4:$C$10000)*1,ISNUMBER(SEARCH("T_C*mhy*dsl*s2",[1]OUT_TransportEnergyCons!$A$4:$A$10000))*1,[1]OUT_TransportEnergyCons!K$4:K$10000)</f>
        <v>0</v>
      </c>
      <c r="N2157" s="1" cm="1">
        <f t="array" ref="N2157">SUMPRODUCT(("var_ncap"=[1]OUT_TransportEnergyCons!$B$4:$B$10000)*1,("-"=[1]OUT_TransportEnergyCons!$C$4:$C$10000)*1,ISNUMBER(SEARCH("T_C*mhy*dsl*s2",[1]OUT_TransportEnergyCons!$A$4:$A$10000))*1,[1]OUT_TransportEnergyCons!L$4:L$10000)</f>
        <v>0</v>
      </c>
      <c r="O2157" s="1" cm="1">
        <f t="array" ref="O2157">SUMPRODUCT(("var_ncap"=[1]OUT_TransportEnergyCons!$B$4:$B$10000)*1,("-"=[1]OUT_TransportEnergyCons!$C$4:$C$10000)*1,ISNUMBER(SEARCH("T_C*mhy*dsl*s2",[1]OUT_TransportEnergyCons!$A$4:$A$10000))*1,[1]OUT_TransportEnergyCons!M$4:M$10000)</f>
        <v>0</v>
      </c>
      <c r="P2157" s="1" cm="1">
        <f t="array" ref="P2157">SUMPRODUCT(("var_ncap"=[1]OUT_TransportEnergyCons!$B$4:$B$10000)*1,("-"=[1]OUT_TransportEnergyCons!$C$4:$C$10000)*1,ISNUMBER(SEARCH("T_C*mhy*dsl*s2",[1]OUT_TransportEnergyCons!$A$4:$A$10000))*1,[1]OUT_TransportEnergyCons!N$4:N$10000)</f>
        <v>0</v>
      </c>
      <c r="Q2157" s="1" cm="1">
        <f t="array" ref="Q2157">SUMPRODUCT(("var_ncap"=[1]OUT_TransportEnergyCons!$B$4:$B$10000)*1,("-"=[1]OUT_TransportEnergyCons!$C$4:$C$10000)*1,ISNUMBER(SEARCH("T_C*mhy*dsl*s2",[1]OUT_TransportEnergyCons!$A$4:$A$10000))*1,[1]OUT_TransportEnergyCons!O$4:O$10000)</f>
        <v>0</v>
      </c>
      <c r="S2157" s="3"/>
    </row>
    <row r="2158" spans="2:19" x14ac:dyDescent="0.5">
      <c r="B2158" s="5" t="str">
        <f t="shared" si="2242"/>
        <v>SPS1</v>
      </c>
      <c r="C2158" s="5" t="str">
        <f t="shared" si="2243"/>
        <v>CH</v>
      </c>
      <c r="D2158" t="s">
        <v>2287</v>
      </c>
      <c r="E2158" t="str">
        <f t="shared" si="2244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1.14343523303882E-5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2.46028303013657E-5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1.67320798870166E-5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0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0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0</v>
      </c>
      <c r="M2158" s="1" cm="1">
        <f t="array" ref="M2158">SUMPRODUCT(("var_ncap"=[1]OUT_TransportEnergyCons!$B$4:$B$10000)*1,("-"=[1]OUT_TransportEnergyCons!$C$4:$C$10000)*1,ISNUMBER(SEARCH("T_C*mhy*dsl*s3",[1]OUT_TransportEnergyCons!$A$4:$A$10000))*1,[1]OUT_TransportEnergyCons!K$4:K$10000)</f>
        <v>0</v>
      </c>
      <c r="N2158" s="1" cm="1">
        <f t="array" ref="N2158">SUMPRODUCT(("var_ncap"=[1]OUT_TransportEnergyCons!$B$4:$B$10000)*1,("-"=[1]OUT_TransportEnergyCons!$C$4:$C$10000)*1,ISNUMBER(SEARCH("T_C*mhy*dsl*s3",[1]OUT_TransportEnergyCons!$A$4:$A$10000))*1,[1]OUT_TransportEnergyCons!L$4:L$10000)</f>
        <v>0</v>
      </c>
      <c r="O2158" s="1" cm="1">
        <f t="array" ref="O2158">SUMPRODUCT(("var_ncap"=[1]OUT_TransportEnergyCons!$B$4:$B$10000)*1,("-"=[1]OUT_TransportEnergyCons!$C$4:$C$10000)*1,ISNUMBER(SEARCH("T_C*mhy*dsl*s3",[1]OUT_TransportEnergyCons!$A$4:$A$10000))*1,[1]OUT_TransportEnergyCons!M$4:M$10000)</f>
        <v>0</v>
      </c>
      <c r="P2158" s="1" cm="1">
        <f t="array" ref="P2158">SUMPRODUCT(("var_ncap"=[1]OUT_TransportEnergyCons!$B$4:$B$10000)*1,("-"=[1]OUT_TransportEnergyCons!$C$4:$C$10000)*1,ISNUMBER(SEARCH("T_C*mhy*dsl*s3",[1]OUT_TransportEnergyCons!$A$4:$A$10000))*1,[1]OUT_TransportEnergyCons!N$4:N$10000)</f>
        <v>0</v>
      </c>
      <c r="Q2158" s="1" cm="1">
        <f t="array" ref="Q2158">SUMPRODUCT(("var_ncap"=[1]OUT_TransportEnergyCons!$B$4:$B$10000)*1,("-"=[1]OUT_TransportEnergyCons!$C$4:$C$10000)*1,ISNUMBER(SEARCH("T_C*mhy*dsl*s3",[1]OUT_TransportEnergyCons!$A$4:$A$10000))*1,[1]OUT_TransportEnergyCons!O$4:O$10000)</f>
        <v>0</v>
      </c>
      <c r="S2158" s="3"/>
    </row>
    <row r="2159" spans="2:19" x14ac:dyDescent="0.5">
      <c r="B2159" s="5" t="str">
        <f t="shared" si="2242"/>
        <v>SPS1</v>
      </c>
      <c r="C2159" s="5" t="str">
        <f t="shared" si="2243"/>
        <v>CH</v>
      </c>
      <c r="D2159" t="s">
        <v>2288</v>
      </c>
      <c r="E2159" t="str">
        <f t="shared" si="2244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8.6793243466201993E-6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1.45674336763885E-5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1.21102829837798E-5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0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0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0</v>
      </c>
      <c r="M2159" s="1" cm="1">
        <f t="array" ref="M2159">SUMPRODUCT(("var_ncap"=[1]OUT_TransportEnergyCons!$B$4:$B$10000)*1,("-"=[1]OUT_TransportEnergyCons!$C$4:$C$10000)*1,ISNUMBER(SEARCH("T_C*mhy*dsl*s4",[1]OUT_TransportEnergyCons!$A$4:$A$10000))*1,[1]OUT_TransportEnergyCons!K$4:K$10000)</f>
        <v>0</v>
      </c>
      <c r="N2159" s="1" cm="1">
        <f t="array" ref="N2159">SUMPRODUCT(("var_ncap"=[1]OUT_TransportEnergyCons!$B$4:$B$10000)*1,("-"=[1]OUT_TransportEnergyCons!$C$4:$C$10000)*1,ISNUMBER(SEARCH("T_C*mhy*dsl*s4",[1]OUT_TransportEnergyCons!$A$4:$A$10000))*1,[1]OUT_TransportEnergyCons!L$4:L$10000)</f>
        <v>0</v>
      </c>
      <c r="O2159" s="1" cm="1">
        <f t="array" ref="O2159">SUMPRODUCT(("var_ncap"=[1]OUT_TransportEnergyCons!$B$4:$B$10000)*1,("-"=[1]OUT_TransportEnergyCons!$C$4:$C$10000)*1,ISNUMBER(SEARCH("T_C*mhy*dsl*s4",[1]OUT_TransportEnergyCons!$A$4:$A$10000))*1,[1]OUT_TransportEnergyCons!M$4:M$10000)</f>
        <v>0</v>
      </c>
      <c r="P2159" s="1" cm="1">
        <f t="array" ref="P2159">SUMPRODUCT(("var_ncap"=[1]OUT_TransportEnergyCons!$B$4:$B$10000)*1,("-"=[1]OUT_TransportEnergyCons!$C$4:$C$10000)*1,ISNUMBER(SEARCH("T_C*mhy*dsl*s4",[1]OUT_TransportEnergyCons!$A$4:$A$10000))*1,[1]OUT_TransportEnergyCons!N$4:N$10000)</f>
        <v>0</v>
      </c>
      <c r="Q2159" s="1" cm="1">
        <f t="array" ref="Q2159">SUMPRODUCT(("var_ncap"=[1]OUT_TransportEnergyCons!$B$4:$B$10000)*1,("-"=[1]OUT_TransportEnergyCons!$C$4:$C$10000)*1,ISNUMBER(SEARCH("T_C*mhy*dsl*s4",[1]OUT_TransportEnergyCons!$A$4:$A$10000))*1,[1]OUT_TransportEnergyCons!O$4:O$10000)</f>
        <v>0</v>
      </c>
      <c r="S2159" s="3"/>
    </row>
    <row r="2160" spans="2:19" x14ac:dyDescent="0.5">
      <c r="B2160" s="5" t="str">
        <f t="shared" si="2242"/>
        <v>SPS1</v>
      </c>
      <c r="C2160" s="5" t="str">
        <f t="shared" si="2243"/>
        <v>CH</v>
      </c>
      <c r="D2160" t="s">
        <v>2289</v>
      </c>
      <c r="E2160" t="str">
        <f t="shared" si="2244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M2160" s="1" cm="1">
        <f t="array" ref="M2160">SUMPRODUCT(("var_ncap"=[1]OUT_TransportEnergyCons!$B$4:$B$10000)*1,("-"=[1]OUT_TransportEnergyCons!$C$4:$C$10000)*1,ISNUMBER(SEARCH("T_C*ICE*nga*ext",[1]OUT_TransportEnergyCons!$A$4:$A$10000))*1,[1]OUT_TransportEnergyCons!K$4:K$10000)</f>
        <v>0</v>
      </c>
      <c r="N2160" s="1" cm="1">
        <f t="array" ref="N2160">SUMPRODUCT(("var_ncap"=[1]OUT_TransportEnergyCons!$B$4:$B$10000)*1,("-"=[1]OUT_TransportEnergyCons!$C$4:$C$10000)*1,ISNUMBER(SEARCH("T_C*ICE*nga*ext",[1]OUT_TransportEnergyCons!$A$4:$A$10000))*1,[1]OUT_TransportEnergyCons!L$4:L$10000)</f>
        <v>0</v>
      </c>
      <c r="O2160" s="1" cm="1">
        <f t="array" ref="O2160">SUMPRODUCT(("var_ncap"=[1]OUT_TransportEnergyCons!$B$4:$B$10000)*1,("-"=[1]OUT_TransportEnergyCons!$C$4:$C$10000)*1,ISNUMBER(SEARCH("T_C*ICE*nga*ext",[1]OUT_TransportEnergyCons!$A$4:$A$10000))*1,[1]OUT_TransportEnergyCons!M$4:M$10000)</f>
        <v>0</v>
      </c>
      <c r="P2160" s="1" cm="1">
        <f t="array" ref="P2160">SUMPRODUCT(("var_ncap"=[1]OUT_TransportEnergyCons!$B$4:$B$10000)*1,("-"=[1]OUT_TransportEnergyCons!$C$4:$C$10000)*1,ISNUMBER(SEARCH("T_C*ICE*nga*ext",[1]OUT_TransportEnergyCons!$A$4:$A$10000))*1,[1]OUT_TransportEnergyCons!N$4:N$10000)</f>
        <v>0</v>
      </c>
      <c r="Q2160" s="1" cm="1">
        <f t="array" ref="Q2160">SUMPRODUCT(("var_ncap"=[1]OUT_TransportEnergyCons!$B$4:$B$10000)*1,("-"=[1]OUT_TransportEnergyCons!$C$4:$C$10000)*1,ISNUMBER(SEARCH("T_C*ICE*nga*ext",[1]OUT_TransportEnergyCons!$A$4:$A$10000))*1,[1]OUT_TransportEnergyCons!O$4:O$10000)</f>
        <v>0</v>
      </c>
      <c r="S2160" s="3"/>
    </row>
    <row r="2161" spans="2:19" x14ac:dyDescent="0.5">
      <c r="B2161" s="5" t="str">
        <f t="shared" si="2242"/>
        <v>SPS1</v>
      </c>
      <c r="C2161" s="5" t="str">
        <f t="shared" si="2243"/>
        <v>CH</v>
      </c>
      <c r="D2161" t="s">
        <v>2290</v>
      </c>
      <c r="E2161" t="str">
        <f t="shared" si="2244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2.66068019592733E-6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2.7119732967627402E-6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1.3644723176537201E-8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0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0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0</v>
      </c>
      <c r="M2161" s="1" cm="1">
        <f t="array" ref="M2161">SUMPRODUCT(("var_ncap"=[1]OUT_TransportEnergyCons!$B$4:$B$10000)*1,("-"=[1]OUT_TransportEnergyCons!$C$4:$C$10000)*1,ISNUMBER(SEARCH("T_C*ICE*nga*s1",[1]OUT_TransportEnergyCons!$A$4:$A$10000))*1,[1]OUT_TransportEnergyCons!K$4:K$10000)</f>
        <v>0</v>
      </c>
      <c r="N2161" s="1" cm="1">
        <f t="array" ref="N2161">SUMPRODUCT(("var_ncap"=[1]OUT_TransportEnergyCons!$B$4:$B$10000)*1,("-"=[1]OUT_TransportEnergyCons!$C$4:$C$10000)*1,ISNUMBER(SEARCH("T_C*ICE*nga*s1",[1]OUT_TransportEnergyCons!$A$4:$A$10000))*1,[1]OUT_TransportEnergyCons!L$4:L$10000)</f>
        <v>0</v>
      </c>
      <c r="O2161" s="1" cm="1">
        <f t="array" ref="O2161">SUMPRODUCT(("var_ncap"=[1]OUT_TransportEnergyCons!$B$4:$B$10000)*1,("-"=[1]OUT_TransportEnergyCons!$C$4:$C$10000)*1,ISNUMBER(SEARCH("T_C*ICE*nga*s1",[1]OUT_TransportEnergyCons!$A$4:$A$10000))*1,[1]OUT_TransportEnergyCons!M$4:M$10000)</f>
        <v>0</v>
      </c>
      <c r="P2161" s="1" cm="1">
        <f t="array" ref="P2161">SUMPRODUCT(("var_ncap"=[1]OUT_TransportEnergyCons!$B$4:$B$10000)*1,("-"=[1]OUT_TransportEnergyCons!$C$4:$C$10000)*1,ISNUMBER(SEARCH("T_C*ICE*nga*s1",[1]OUT_TransportEnergyCons!$A$4:$A$10000))*1,[1]OUT_TransportEnergyCons!N$4:N$10000)</f>
        <v>0</v>
      </c>
      <c r="Q2161" s="1" cm="1">
        <f t="array" ref="Q2161">SUMPRODUCT(("var_ncap"=[1]OUT_TransportEnergyCons!$B$4:$B$10000)*1,("-"=[1]OUT_TransportEnergyCons!$C$4:$C$10000)*1,ISNUMBER(SEARCH("T_C*ICE*nga*s1",[1]OUT_TransportEnergyCons!$A$4:$A$10000))*1,[1]OUT_TransportEnergyCons!O$4:O$10000)</f>
        <v>0</v>
      </c>
      <c r="S2161" s="3"/>
    </row>
    <row r="2162" spans="2:19" x14ac:dyDescent="0.5">
      <c r="B2162" s="5" t="str">
        <f t="shared" si="2242"/>
        <v>SPS1</v>
      </c>
      <c r="C2162" s="5" t="str">
        <f t="shared" si="2243"/>
        <v>CH</v>
      </c>
      <c r="D2162" t="s">
        <v>2291</v>
      </c>
      <c r="E2162" t="str">
        <f t="shared" si="2244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1.5115379601316699E-6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1.32101514908381E-6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0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0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0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0</v>
      </c>
      <c r="M2162" s="1" cm="1">
        <f t="array" ref="M2162">SUMPRODUCT(("var_ncap"=[1]OUT_TransportEnergyCons!$B$4:$B$10000)*1,("-"=[1]OUT_TransportEnergyCons!$C$4:$C$10000)*1,ISNUMBER(SEARCH("T_C*ICE*nga*s2",[1]OUT_TransportEnergyCons!$A$4:$A$10000))*1,[1]OUT_TransportEnergyCons!K$4:K$10000)</f>
        <v>0</v>
      </c>
      <c r="N2162" s="1" cm="1">
        <f t="array" ref="N2162">SUMPRODUCT(("var_ncap"=[1]OUT_TransportEnergyCons!$B$4:$B$10000)*1,("-"=[1]OUT_TransportEnergyCons!$C$4:$C$10000)*1,ISNUMBER(SEARCH("T_C*ICE*nga*s2",[1]OUT_TransportEnergyCons!$A$4:$A$10000))*1,[1]OUT_TransportEnergyCons!L$4:L$10000)</f>
        <v>0</v>
      </c>
      <c r="O2162" s="1" cm="1">
        <f t="array" ref="O2162">SUMPRODUCT(("var_ncap"=[1]OUT_TransportEnergyCons!$B$4:$B$10000)*1,("-"=[1]OUT_TransportEnergyCons!$C$4:$C$10000)*1,ISNUMBER(SEARCH("T_C*ICE*nga*s2",[1]OUT_TransportEnergyCons!$A$4:$A$10000))*1,[1]OUT_TransportEnergyCons!M$4:M$10000)</f>
        <v>0</v>
      </c>
      <c r="P2162" s="1" cm="1">
        <f t="array" ref="P2162">SUMPRODUCT(("var_ncap"=[1]OUT_TransportEnergyCons!$B$4:$B$10000)*1,("-"=[1]OUT_TransportEnergyCons!$C$4:$C$10000)*1,ISNUMBER(SEARCH("T_C*ICE*nga*s2",[1]OUT_TransportEnergyCons!$A$4:$A$10000))*1,[1]OUT_TransportEnergyCons!N$4:N$10000)</f>
        <v>0</v>
      </c>
      <c r="Q2162" s="1" cm="1">
        <f t="array" ref="Q2162">SUMPRODUCT(("var_ncap"=[1]OUT_TransportEnergyCons!$B$4:$B$10000)*1,("-"=[1]OUT_TransportEnergyCons!$C$4:$C$10000)*1,ISNUMBER(SEARCH("T_C*ICE*nga*s2",[1]OUT_TransportEnergyCons!$A$4:$A$10000))*1,[1]OUT_TransportEnergyCons!O$4:O$10000)</f>
        <v>0</v>
      </c>
      <c r="S2162" s="3"/>
    </row>
    <row r="2163" spans="2:19" x14ac:dyDescent="0.5">
      <c r="B2163" s="5" t="str">
        <f t="shared" si="2242"/>
        <v>SPS1</v>
      </c>
      <c r="C2163" s="5" t="str">
        <f t="shared" si="2243"/>
        <v>CH</v>
      </c>
      <c r="D2163" t="s">
        <v>2292</v>
      </c>
      <c r="E2163" t="str">
        <f t="shared" si="2244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1.78841396698982E-6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1.1691786516677101E-6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0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0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0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0</v>
      </c>
      <c r="M2163" s="1" cm="1">
        <f t="array" ref="M2163">SUMPRODUCT(("var_ncap"=[1]OUT_TransportEnergyCons!$B$4:$B$10000)*1,("-"=[1]OUT_TransportEnergyCons!$C$4:$C$10000)*1,ISNUMBER(SEARCH("T_C*ICE*nga*s3",[1]OUT_TransportEnergyCons!$A$4:$A$10000))*1,[1]OUT_TransportEnergyCons!K$4:K$10000)</f>
        <v>0</v>
      </c>
      <c r="N2163" s="1" cm="1">
        <f t="array" ref="N2163">SUMPRODUCT(("var_ncap"=[1]OUT_TransportEnergyCons!$B$4:$B$10000)*1,("-"=[1]OUT_TransportEnergyCons!$C$4:$C$10000)*1,ISNUMBER(SEARCH("T_C*ICE*nga*s3",[1]OUT_TransportEnergyCons!$A$4:$A$10000))*1,[1]OUT_TransportEnergyCons!L$4:L$10000)</f>
        <v>0</v>
      </c>
      <c r="O2163" s="1" cm="1">
        <f t="array" ref="O2163">SUMPRODUCT(("var_ncap"=[1]OUT_TransportEnergyCons!$B$4:$B$10000)*1,("-"=[1]OUT_TransportEnergyCons!$C$4:$C$10000)*1,ISNUMBER(SEARCH("T_C*ICE*nga*s3",[1]OUT_TransportEnergyCons!$A$4:$A$10000))*1,[1]OUT_TransportEnergyCons!M$4:M$10000)</f>
        <v>0</v>
      </c>
      <c r="P2163" s="1" cm="1">
        <f t="array" ref="P2163">SUMPRODUCT(("var_ncap"=[1]OUT_TransportEnergyCons!$B$4:$B$10000)*1,("-"=[1]OUT_TransportEnergyCons!$C$4:$C$10000)*1,ISNUMBER(SEARCH("T_C*ICE*nga*s3",[1]OUT_TransportEnergyCons!$A$4:$A$10000))*1,[1]OUT_TransportEnergyCons!N$4:N$10000)</f>
        <v>0</v>
      </c>
      <c r="Q2163" s="1" cm="1">
        <f t="array" ref="Q2163">SUMPRODUCT(("var_ncap"=[1]OUT_TransportEnergyCons!$B$4:$B$10000)*1,("-"=[1]OUT_TransportEnergyCons!$C$4:$C$10000)*1,ISNUMBER(SEARCH("T_C*ICE*nga*s3",[1]OUT_TransportEnergyCons!$A$4:$A$10000))*1,[1]OUT_TransportEnergyCons!O$4:O$10000)</f>
        <v>0</v>
      </c>
      <c r="S2163" s="3"/>
    </row>
    <row r="2164" spans="2:19" x14ac:dyDescent="0.5">
      <c r="B2164" s="5" t="str">
        <f t="shared" si="2242"/>
        <v>SPS1</v>
      </c>
      <c r="C2164" s="5" t="str">
        <f t="shared" si="2243"/>
        <v>CH</v>
      </c>
      <c r="D2164" t="s">
        <v>2293</v>
      </c>
      <c r="E2164" t="str">
        <f t="shared" si="2244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1.84968822139886E-6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1.4190938011422401E-6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0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0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0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0</v>
      </c>
      <c r="M2164" s="1" cm="1">
        <f t="array" ref="M2164">SUMPRODUCT(("var_ncap"=[1]OUT_TransportEnergyCons!$B$4:$B$10000)*1,("-"=[1]OUT_TransportEnergyCons!$C$4:$C$10000)*1,ISNUMBER(SEARCH("T_C*ICE*nga*s4",[1]OUT_TransportEnergyCons!$A$4:$A$10000))*1,[1]OUT_TransportEnergyCons!K$4:K$10000)</f>
        <v>0</v>
      </c>
      <c r="N2164" s="1" cm="1">
        <f t="array" ref="N2164">SUMPRODUCT(("var_ncap"=[1]OUT_TransportEnergyCons!$B$4:$B$10000)*1,("-"=[1]OUT_TransportEnergyCons!$C$4:$C$10000)*1,ISNUMBER(SEARCH("T_C*ICE*nga*s4",[1]OUT_TransportEnergyCons!$A$4:$A$10000))*1,[1]OUT_TransportEnergyCons!L$4:L$10000)</f>
        <v>0</v>
      </c>
      <c r="O2164" s="1" cm="1">
        <f t="array" ref="O2164">SUMPRODUCT(("var_ncap"=[1]OUT_TransportEnergyCons!$B$4:$B$10000)*1,("-"=[1]OUT_TransportEnergyCons!$C$4:$C$10000)*1,ISNUMBER(SEARCH("T_C*ICE*nga*s4",[1]OUT_TransportEnergyCons!$A$4:$A$10000))*1,[1]OUT_TransportEnergyCons!M$4:M$10000)</f>
        <v>0</v>
      </c>
      <c r="P2164" s="1" cm="1">
        <f t="array" ref="P2164">SUMPRODUCT(("var_ncap"=[1]OUT_TransportEnergyCons!$B$4:$B$10000)*1,("-"=[1]OUT_TransportEnergyCons!$C$4:$C$10000)*1,ISNUMBER(SEARCH("T_C*ICE*nga*s4",[1]OUT_TransportEnergyCons!$A$4:$A$10000))*1,[1]OUT_TransportEnergyCons!N$4:N$10000)</f>
        <v>0</v>
      </c>
      <c r="Q2164" s="1" cm="1">
        <f t="array" ref="Q2164">SUMPRODUCT(("var_ncap"=[1]OUT_TransportEnergyCons!$B$4:$B$10000)*1,("-"=[1]OUT_TransportEnergyCons!$C$4:$C$10000)*1,ISNUMBER(SEARCH("T_C*ICE*nga*s4",[1]OUT_TransportEnergyCons!$A$4:$A$10000))*1,[1]OUT_TransportEnergyCons!O$4:O$10000)</f>
        <v>0</v>
      </c>
      <c r="S2164" s="3"/>
    </row>
    <row r="2165" spans="2:19" x14ac:dyDescent="0.5">
      <c r="B2165" s="5" t="str">
        <f>'SPS1'!B1953</f>
        <v>SPS1</v>
      </c>
      <c r="C2165" s="5" t="str">
        <f>'SPS1'!C1953</f>
        <v>CH</v>
      </c>
      <c r="D2165" s="2" t="s">
        <v>2294</v>
      </c>
      <c r="E2165" s="2" t="s">
        <v>1999</v>
      </c>
      <c r="F2165" s="3">
        <f t="shared" ref="F2165:K2165" si="2245">SUM(F2166:F2188)</f>
        <v>0</v>
      </c>
      <c r="G2165" s="3">
        <f t="shared" si="2245"/>
        <v>0.7174091480094803</v>
      </c>
      <c r="H2165" s="3">
        <f t="shared" si="2245"/>
        <v>1.5695601960279779</v>
      </c>
      <c r="I2165" s="3">
        <f t="shared" si="2245"/>
        <v>6.6938049476300252</v>
      </c>
      <c r="J2165" s="3">
        <f t="shared" si="2245"/>
        <v>4.138880756545972</v>
      </c>
      <c r="K2165" s="3">
        <f t="shared" si="2245"/>
        <v>3.1069314225442528</v>
      </c>
      <c r="L2165" s="3">
        <f t="shared" ref="L2165:O2165" si="2246">SUM(L2166:L2188)</f>
        <v>2.9742389220647985</v>
      </c>
      <c r="M2165" s="3">
        <f t="shared" si="2246"/>
        <v>4.5616455360796824</v>
      </c>
      <c r="N2165" s="3">
        <f t="shared" si="2246"/>
        <v>2.5086836765991301</v>
      </c>
      <c r="O2165" s="3">
        <f t="shared" si="2246"/>
        <v>4.9479677036521021</v>
      </c>
      <c r="P2165" s="3">
        <f>SUM(P2166:P2188)</f>
        <v>3.2974523908968916</v>
      </c>
      <c r="Q2165" s="3">
        <f>SUM(Q2166:Q2188)</f>
        <v>4.1199809908986129</v>
      </c>
      <c r="S2165" s="3"/>
    </row>
    <row r="2166" spans="2:19" x14ac:dyDescent="0.5">
      <c r="B2166" s="5" t="str">
        <f t="shared" ref="B2166:B2197" si="2247">B2165</f>
        <v>SPS1</v>
      </c>
      <c r="C2166" s="5" t="str">
        <f t="shared" ref="C2166:C2197" si="2248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M2166" s="1" cm="1">
        <f t="array" ref="M2166">(SUMPRODUCT(("var_ncap"=[1]OUT_TransportEnergyCons!$B$4:$B$10000)*1,ISNUMBER(SEARCH("T_B_u*bev*ext",[1]OUT_TransportEnergyCons!$A$4:$A$10000))*1,[1]OUT_TransportEnergyCons!K$4:K$10000))*1000</f>
        <v>0</v>
      </c>
      <c r="N2166" s="1" cm="1">
        <f t="array" ref="N2166">(SUMPRODUCT(("var_ncap"=[1]OUT_TransportEnergyCons!$B$4:$B$10000)*1,ISNUMBER(SEARCH("T_B_u*bev*ext",[1]OUT_TransportEnergyCons!$A$4:$A$10000))*1,[1]OUT_TransportEnergyCons!L$4:L$10000))*1000</f>
        <v>0</v>
      </c>
      <c r="O2166" s="1" cm="1">
        <f t="array" ref="O2166">(SUMPRODUCT(("var_ncap"=[1]OUT_TransportEnergyCons!$B$4:$B$10000)*1,ISNUMBER(SEARCH("T_B_u*bev*ext",[1]OUT_TransportEnergyCons!$A$4:$A$10000))*1,[1]OUT_TransportEnergyCons!M$4:M$10000))*1000</f>
        <v>0</v>
      </c>
      <c r="P2166" s="1" cm="1">
        <f t="array" ref="P2166">(SUMPRODUCT(("var_ncap"=[1]OUT_TransportEnergyCons!$B$4:$B$10000)*1,ISNUMBER(SEARCH("T_B_u*bev*ext",[1]OUT_TransportEnergyCons!$A$4:$A$10000))*1,[1]OUT_TransportEnergyCons!N$4:N$10000))*1000</f>
        <v>0</v>
      </c>
      <c r="Q2166" s="1" cm="1">
        <f t="array" ref="Q2166">(SUMPRODUCT(("var_ncap"=[1]OUT_TransportEnergyCons!$B$4:$B$10000)*1,ISNUMBER(SEARCH("T_B_u*bev*ext",[1]OUT_TransportEnergyCons!$A$4:$A$10000))*1,[1]OUT_TransportEnergyCons!O$4:O$10000))*1000</f>
        <v>0</v>
      </c>
      <c r="S2166" s="3"/>
    </row>
    <row r="2167" spans="2:19" x14ac:dyDescent="0.5">
      <c r="B2167" s="5" t="str">
        <f t="shared" si="2247"/>
        <v>SPS1</v>
      </c>
      <c r="C2167" s="5" t="str">
        <f t="shared" si="2248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5.3583600989296105E-3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8.7388757065992792E-3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2.0244866521775799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2.3806780230841298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0.47578724077316498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1.2205147570974699</v>
      </c>
      <c r="M2167" s="1" cm="1">
        <f t="array" ref="M2167">(SUMPRODUCT(("var_ncap"=[1]OUT_TransportEnergyCons!$B$4:$B$10000)*1,ISNUMBER(SEARCH("T_B_u*bev*s1",[1]OUT_TransportEnergyCons!$A$4:$A$10000))*1,[1]OUT_TransportEnergyCons!K$4:K$10000))*1000</f>
        <v>1.65150125231625</v>
      </c>
      <c r="N2167" s="1" cm="1">
        <f t="array" ref="N2167">(SUMPRODUCT(("var_ncap"=[1]OUT_TransportEnergyCons!$B$4:$B$10000)*1,ISNUMBER(SEARCH("T_B_u*bev*s1",[1]OUT_TransportEnergyCons!$A$4:$A$10000))*1,[1]OUT_TransportEnergyCons!L$4:L$10000))*1000</f>
        <v>0.96996400492242907</v>
      </c>
      <c r="O2167" s="1" cm="1">
        <f t="array" ref="O2167">(SUMPRODUCT(("var_ncap"=[1]OUT_TransportEnergyCons!$B$4:$B$10000)*1,ISNUMBER(SEARCH("T_B_u*bev*s1",[1]OUT_TransportEnergyCons!$A$4:$A$10000))*1,[1]OUT_TransportEnergyCons!M$4:M$10000))*1000</f>
        <v>1.45300746885367</v>
      </c>
      <c r="P2167" s="1" cm="1">
        <f t="array" ref="P2167">(SUMPRODUCT(("var_ncap"=[1]OUT_TransportEnergyCons!$B$4:$B$10000)*1,ISNUMBER(SEARCH("T_B_u*bev*s1",[1]OUT_TransportEnergyCons!$A$4:$A$10000))*1,[1]OUT_TransportEnergyCons!N$4:N$10000))*1000</f>
        <v>1.7207089896478001</v>
      </c>
      <c r="Q2167" s="1" cm="1">
        <f t="array" ref="Q2167">(SUMPRODUCT(("var_ncap"=[1]OUT_TransportEnergyCons!$B$4:$B$10000)*1,ISNUMBER(SEARCH("T_B_u*bev*s1",[1]OUT_TransportEnergyCons!$A$4:$A$10000))*1,[1]OUT_TransportEnergyCons!O$4:O$10000))*1000</f>
        <v>0.687207934276587</v>
      </c>
      <c r="S2167" s="3"/>
    </row>
    <row r="2168" spans="2:19" x14ac:dyDescent="0.5">
      <c r="B2168" s="5" t="str">
        <f t="shared" si="2247"/>
        <v>SPS1</v>
      </c>
      <c r="C2168" s="5" t="str">
        <f t="shared" si="2248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1.35111210461364E-3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7.7992974534348107E-3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0.74061346832094099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0.71177413583863292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0.104736781446094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0.37271798502758796</v>
      </c>
      <c r="M2168" s="1" cm="1">
        <f t="array" ref="M2168">(SUMPRODUCT(("var_ncap"=[1]OUT_TransportEnergyCons!$B$4:$B$10000)*1,ISNUMBER(SEARCH("T_B_u*bev*s2",[1]OUT_TransportEnergyCons!$A$4:$A$10000))*1,[1]OUT_TransportEnergyCons!K$4:K$10000))*1000</f>
        <v>0.469045276399571</v>
      </c>
      <c r="N2168" s="1" cm="1">
        <f t="array" ref="N2168">(SUMPRODUCT(("var_ncap"=[1]OUT_TransportEnergyCons!$B$4:$B$10000)*1,ISNUMBER(SEARCH("T_B_u*bev*s2",[1]OUT_TransportEnergyCons!$A$4:$A$10000))*1,[1]OUT_TransportEnergyCons!L$4:L$10000))*1000</f>
        <v>0.26276221052120396</v>
      </c>
      <c r="O2168" s="1" cm="1">
        <f t="array" ref="O2168">(SUMPRODUCT(("var_ncap"=[1]OUT_TransportEnergyCons!$B$4:$B$10000)*1,ISNUMBER(SEARCH("T_B_u*bev*s2",[1]OUT_TransportEnergyCons!$A$4:$A$10000))*1,[1]OUT_TransportEnergyCons!M$4:M$10000))*1000</f>
        <v>0.42255292946144601</v>
      </c>
      <c r="P2168" s="1" cm="1">
        <f t="array" ref="P2168">(SUMPRODUCT(("var_ncap"=[1]OUT_TransportEnergyCons!$B$4:$B$10000)*1,ISNUMBER(SEARCH("T_B_u*bev*s2",[1]OUT_TransportEnergyCons!$A$4:$A$10000))*1,[1]OUT_TransportEnergyCons!N$4:N$10000))*1000</f>
        <v>0.484388447018267</v>
      </c>
      <c r="Q2168" s="1" cm="1">
        <f t="array" ref="Q2168">(SUMPRODUCT(("var_ncap"=[1]OUT_TransportEnergyCons!$B$4:$B$10000)*1,ISNUMBER(SEARCH("T_B_u*bev*s2",[1]OUT_TransportEnergyCons!$A$4:$A$10000))*1,[1]OUT_TransportEnergyCons!O$4:O$10000))*1000</f>
        <v>0.217599651207211</v>
      </c>
      <c r="S2168" s="3"/>
    </row>
    <row r="2169" spans="2:19" x14ac:dyDescent="0.5">
      <c r="B2169" s="5" t="str">
        <f t="shared" si="2247"/>
        <v>SPS1</v>
      </c>
      <c r="C2169" s="5" t="str">
        <f t="shared" si="2248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7.0168828089968004E-4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6.4312375393708807E-3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3.6105391587056199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1.04587582855119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2.5260931890512701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1.3806688167032202</v>
      </c>
      <c r="M2169" s="1" cm="1">
        <f t="array" ref="M2169">(SUMPRODUCT(("var_ncap"=[1]OUT_TransportEnergyCons!$B$4:$B$10000)*1,ISNUMBER(SEARCH("T_B_u*bev*s3",[1]OUT_TransportEnergyCons!$A$4:$A$10000))*1,[1]OUT_TransportEnergyCons!K$4:K$10000))*1000</f>
        <v>2.4406139218241401</v>
      </c>
      <c r="N2169" s="1" cm="1">
        <f t="array" ref="N2169">(SUMPRODUCT(("var_ncap"=[1]OUT_TransportEnergyCons!$B$4:$B$10000)*1,ISNUMBER(SEARCH("T_B_u*bev*s3",[1]OUT_TransportEnergyCons!$A$4:$A$10000))*1,[1]OUT_TransportEnergyCons!L$4:L$10000))*1000</f>
        <v>1.2755038522977</v>
      </c>
      <c r="O2169" s="1" cm="1">
        <f t="array" ref="O2169">(SUMPRODUCT(("var_ncap"=[1]OUT_TransportEnergyCons!$B$4:$B$10000)*1,ISNUMBER(SEARCH("T_B_u*bev*s3",[1]OUT_TransportEnergyCons!$A$4:$A$10000))*1,[1]OUT_TransportEnergyCons!M$4:M$10000))*1000</f>
        <v>3.0718062078837298</v>
      </c>
      <c r="P2169" s="1" cm="1">
        <f t="array" ref="P2169">(SUMPRODUCT(("var_ncap"=[1]OUT_TransportEnergyCons!$B$4:$B$10000)*1,ISNUMBER(SEARCH("T_B_u*bev*s3",[1]OUT_TransportEnergyCons!$A$4:$A$10000))*1,[1]OUT_TransportEnergyCons!N$4:N$10000))*1000</f>
        <v>1.0917439926869601</v>
      </c>
      <c r="Q2169" s="1" cm="1">
        <f t="array" ref="Q2169">(SUMPRODUCT(("var_ncap"=[1]OUT_TransportEnergyCons!$B$4:$B$10000)*1,ISNUMBER(SEARCH("T_B_u*bev*s3",[1]OUT_TransportEnergyCons!$A$4:$A$10000))*1,[1]OUT_TransportEnergyCons!O$4:O$10000))*1000</f>
        <v>3.2142708451936901</v>
      </c>
      <c r="S2169" s="3"/>
    </row>
    <row r="2170" spans="2:19" x14ac:dyDescent="0.5">
      <c r="B2170" s="5" t="str">
        <f t="shared" si="2247"/>
        <v>SPS1</v>
      </c>
      <c r="C2170" s="5" t="str">
        <f t="shared" si="2248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1.8296556940163499E-4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2.9137507252171999E-4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0.31816566842588501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5.5276907201909505E-4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2.9179010380786199E-4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3.3736323652066902E-4</v>
      </c>
      <c r="M2170" s="1" cm="1">
        <f t="array" ref="M2170">(SUMPRODUCT(("var_ncap"=[1]OUT_TransportEnergyCons!$B$4:$B$10000)*1,ISNUMBER(SEARCH("T_B_u*bev*s4",[1]OUT_TransportEnergyCons!$A$4:$A$10000))*1,[1]OUT_TransportEnergyCons!K$4:K$10000))*1000</f>
        <v>4.8508553972103897E-4</v>
      </c>
      <c r="N2170" s="1" cm="1">
        <f t="array" ref="N2170">(SUMPRODUCT(("var_ncap"=[1]OUT_TransportEnergyCons!$B$4:$B$10000)*1,ISNUMBER(SEARCH("T_B_u*bev*s4",[1]OUT_TransportEnergyCons!$A$4:$A$10000))*1,[1]OUT_TransportEnergyCons!L$4:L$10000))*1000</f>
        <v>4.5360885779677598E-4</v>
      </c>
      <c r="O2170" s="1" cm="1">
        <f t="array" ref="O2170">(SUMPRODUCT(("var_ncap"=[1]OUT_TransportEnergyCons!$B$4:$B$10000)*1,ISNUMBER(SEARCH("T_B_u*bev*s4",[1]OUT_TransportEnergyCons!$A$4:$A$10000))*1,[1]OUT_TransportEnergyCons!M$4:M$10000))*1000</f>
        <v>6.0109745325587997E-4</v>
      </c>
      <c r="P2170" s="1" cm="1">
        <f t="array" ref="P2170">(SUMPRODUCT(("var_ncap"=[1]OUT_TransportEnergyCons!$B$4:$B$10000)*1,ISNUMBER(SEARCH("T_B_u*bev*s4",[1]OUT_TransportEnergyCons!$A$4:$A$10000))*1,[1]OUT_TransportEnergyCons!N$4:N$10000))*1000</f>
        <v>6.1096154386420002E-4</v>
      </c>
      <c r="Q2170" s="1" cm="1">
        <f t="array" ref="Q2170">(SUMPRODUCT(("var_ncap"=[1]OUT_TransportEnergyCons!$B$4:$B$10000)*1,ISNUMBER(SEARCH("T_B_u*bev*s4",[1]OUT_TransportEnergyCons!$A$4:$A$10000))*1,[1]OUT_TransportEnergyCons!O$4:O$10000))*1000</f>
        <v>9.0256022112448597E-4</v>
      </c>
      <c r="S2170" s="3"/>
    </row>
    <row r="2171" spans="2:19" x14ac:dyDescent="0.5">
      <c r="B2171" s="5" t="str">
        <f t="shared" si="2247"/>
        <v>SPS1</v>
      </c>
      <c r="C2171" s="5" t="str">
        <f t="shared" si="2248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0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0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0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0</v>
      </c>
      <c r="M2171" s="1" cm="1">
        <f t="array" ref="M2171">(SUMPRODUCT(("var_ncap"=[1]OUT_TransportEnergyCons!$B$4:$B$10000)*1,ISNUMBER(SEARCH("T_B_u*h2o*s1",[1]OUT_TransportEnergyCons!$A$4:$A$10000))*1,[1]OUT_TransportEnergyCons!K$4:K$10000))*1000</f>
        <v>0</v>
      </c>
      <c r="N2171" s="1" cm="1">
        <f t="array" ref="N2171">(SUMPRODUCT(("var_ncap"=[1]OUT_TransportEnergyCons!$B$4:$B$10000)*1,ISNUMBER(SEARCH("T_B_u*h2o*s1",[1]OUT_TransportEnergyCons!$A$4:$A$10000))*1,[1]OUT_TransportEnergyCons!L$4:L$10000))*1000</f>
        <v>0</v>
      </c>
      <c r="O2171" s="1" cm="1">
        <f t="array" ref="O2171">(SUMPRODUCT(("var_ncap"=[1]OUT_TransportEnergyCons!$B$4:$B$10000)*1,ISNUMBER(SEARCH("T_B_u*h2o*s1",[1]OUT_TransportEnergyCons!$A$4:$A$10000))*1,[1]OUT_TransportEnergyCons!M$4:M$10000))*1000</f>
        <v>0</v>
      </c>
      <c r="P2171" s="1" cm="1">
        <f t="array" ref="P2171">(SUMPRODUCT(("var_ncap"=[1]OUT_TransportEnergyCons!$B$4:$B$10000)*1,ISNUMBER(SEARCH("T_B_u*h2o*s1",[1]OUT_TransportEnergyCons!$A$4:$A$10000))*1,[1]OUT_TransportEnergyCons!N$4:N$10000))*1000</f>
        <v>0</v>
      </c>
      <c r="Q2171" s="1" cm="1">
        <f t="array" ref="Q2171">(SUMPRODUCT(("var_ncap"=[1]OUT_TransportEnergyCons!$B$4:$B$10000)*1,ISNUMBER(SEARCH("T_B_u*h2o*s1",[1]OUT_TransportEnergyCons!$A$4:$A$10000))*1,[1]OUT_TransportEnergyCons!O$4:O$10000))*1000</f>
        <v>0</v>
      </c>
      <c r="S2171" s="3"/>
    </row>
    <row r="2172" spans="2:19" x14ac:dyDescent="0.5">
      <c r="B2172" s="5" t="str">
        <f t="shared" si="2247"/>
        <v>SPS1</v>
      </c>
      <c r="C2172" s="5" t="str">
        <f t="shared" si="2248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0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0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0</v>
      </c>
      <c r="M2172" s="1" cm="1">
        <f t="array" ref="M2172">(SUMPRODUCT(("var_ncap"=[1]OUT_TransportEnergyCons!$B$4:$B$10000)*1,ISNUMBER(SEARCH("T_B_u*h2o*s2",[1]OUT_TransportEnergyCons!$A$4:$A$10000))*1,[1]OUT_TransportEnergyCons!K$4:K$10000))*1000</f>
        <v>0</v>
      </c>
      <c r="N2172" s="1" cm="1">
        <f t="array" ref="N2172">(SUMPRODUCT(("var_ncap"=[1]OUT_TransportEnergyCons!$B$4:$B$10000)*1,ISNUMBER(SEARCH("T_B_u*h2o*s2",[1]OUT_TransportEnergyCons!$A$4:$A$10000))*1,[1]OUT_TransportEnergyCons!L$4:L$10000))*1000</f>
        <v>0</v>
      </c>
      <c r="O2172" s="1" cm="1">
        <f t="array" ref="O2172">(SUMPRODUCT(("var_ncap"=[1]OUT_TransportEnergyCons!$B$4:$B$10000)*1,ISNUMBER(SEARCH("T_B_u*h2o*s2",[1]OUT_TransportEnergyCons!$A$4:$A$10000))*1,[1]OUT_TransportEnergyCons!M$4:M$10000))*1000</f>
        <v>0</v>
      </c>
      <c r="P2172" s="1" cm="1">
        <f t="array" ref="P2172">(SUMPRODUCT(("var_ncap"=[1]OUT_TransportEnergyCons!$B$4:$B$10000)*1,ISNUMBER(SEARCH("T_B_u*h2o*s2",[1]OUT_TransportEnergyCons!$A$4:$A$10000))*1,[1]OUT_TransportEnergyCons!N$4:N$10000))*1000</f>
        <v>0</v>
      </c>
      <c r="Q2172" s="1" cm="1">
        <f t="array" ref="Q2172">(SUMPRODUCT(("var_ncap"=[1]OUT_TransportEnergyCons!$B$4:$B$10000)*1,ISNUMBER(SEARCH("T_B_u*h2o*s2",[1]OUT_TransportEnergyCons!$A$4:$A$10000))*1,[1]OUT_TransportEnergyCons!O$4:O$10000))*1000</f>
        <v>0</v>
      </c>
      <c r="S2172" s="3"/>
    </row>
    <row r="2173" spans="2:19" x14ac:dyDescent="0.5">
      <c r="B2173" s="5" t="str">
        <f t="shared" si="2247"/>
        <v>SPS1</v>
      </c>
      <c r="C2173" s="5" t="str">
        <f t="shared" si="2248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0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0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0</v>
      </c>
      <c r="M2173" s="1" cm="1">
        <f t="array" ref="M2173">(SUMPRODUCT(("var_ncap"=[1]OUT_TransportEnergyCons!$B$4:$B$10000)*1,ISNUMBER(SEARCH("T_B_u*h2o*s3",[1]OUT_TransportEnergyCons!$A$4:$A$10000))*1,[1]OUT_TransportEnergyCons!K$4:K$10000))*1000</f>
        <v>0</v>
      </c>
      <c r="N2173" s="1" cm="1">
        <f t="array" ref="N2173">(SUMPRODUCT(("var_ncap"=[1]OUT_TransportEnergyCons!$B$4:$B$10000)*1,ISNUMBER(SEARCH("T_B_u*h2o*s3",[1]OUT_TransportEnergyCons!$A$4:$A$10000))*1,[1]OUT_TransportEnergyCons!L$4:L$10000))*1000</f>
        <v>0</v>
      </c>
      <c r="O2173" s="1" cm="1">
        <f t="array" ref="O2173">(SUMPRODUCT(("var_ncap"=[1]OUT_TransportEnergyCons!$B$4:$B$10000)*1,ISNUMBER(SEARCH("T_B_u*h2o*s3",[1]OUT_TransportEnergyCons!$A$4:$A$10000))*1,[1]OUT_TransportEnergyCons!M$4:M$10000))*1000</f>
        <v>0</v>
      </c>
      <c r="P2173" s="1" cm="1">
        <f t="array" ref="P2173">(SUMPRODUCT(("var_ncap"=[1]OUT_TransportEnergyCons!$B$4:$B$10000)*1,ISNUMBER(SEARCH("T_B_u*h2o*s3",[1]OUT_TransportEnergyCons!$A$4:$A$10000))*1,[1]OUT_TransportEnergyCons!N$4:N$10000))*1000</f>
        <v>0</v>
      </c>
      <c r="Q2173" s="1" cm="1">
        <f t="array" ref="Q2173">(SUMPRODUCT(("var_ncap"=[1]OUT_TransportEnergyCons!$B$4:$B$10000)*1,ISNUMBER(SEARCH("T_B_u*h2o*s3",[1]OUT_TransportEnergyCons!$A$4:$A$10000))*1,[1]OUT_TransportEnergyCons!O$4:O$10000))*1000</f>
        <v>0</v>
      </c>
      <c r="S2173" s="3"/>
    </row>
    <row r="2174" spans="2:19" x14ac:dyDescent="0.5">
      <c r="B2174" s="5" t="str">
        <f t="shared" si="2247"/>
        <v>SPS1</v>
      </c>
      <c r="C2174" s="5" t="str">
        <f t="shared" si="2248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M2174" s="1" cm="1">
        <f t="array" ref="M2174">(SUMPRODUCT(("var_ncap"=[1]OUT_TransportEnergyCons!$B$4:$B$10000)*1,ISNUMBER(SEARCH("T_B_u*h2o*s4",[1]OUT_TransportEnergyCons!$A$4:$A$10000))*1,[1]OUT_TransportEnergyCons!K$4:K$10000))*1000</f>
        <v>0</v>
      </c>
      <c r="N2174" s="1" cm="1">
        <f t="array" ref="N2174">(SUMPRODUCT(("var_ncap"=[1]OUT_TransportEnergyCons!$B$4:$B$10000)*1,ISNUMBER(SEARCH("T_B_u*h2o*s4",[1]OUT_TransportEnergyCons!$A$4:$A$10000))*1,[1]OUT_TransportEnergyCons!L$4:L$10000))*1000</f>
        <v>0</v>
      </c>
      <c r="O2174" s="1" cm="1">
        <f t="array" ref="O2174">(SUMPRODUCT(("var_ncap"=[1]OUT_TransportEnergyCons!$B$4:$B$10000)*1,ISNUMBER(SEARCH("T_B_u*h2o*s4",[1]OUT_TransportEnergyCons!$A$4:$A$10000))*1,[1]OUT_TransportEnergyCons!M$4:M$10000))*1000</f>
        <v>0</v>
      </c>
      <c r="P2174" s="1" cm="1">
        <f t="array" ref="P2174">(SUMPRODUCT(("var_ncap"=[1]OUT_TransportEnergyCons!$B$4:$B$10000)*1,ISNUMBER(SEARCH("T_B_u*h2o*s4",[1]OUT_TransportEnergyCons!$A$4:$A$10000))*1,[1]OUT_TransportEnergyCons!N$4:N$10000))*1000</f>
        <v>0</v>
      </c>
      <c r="Q2174" s="1" cm="1">
        <f t="array" ref="Q2174">(SUMPRODUCT(("var_ncap"=[1]OUT_TransportEnergyCons!$B$4:$B$10000)*1,ISNUMBER(SEARCH("T_B_u*h2o*s4",[1]OUT_TransportEnergyCons!$A$4:$A$10000))*1,[1]OUT_TransportEnergyCons!O$4:O$10000))*1000</f>
        <v>0</v>
      </c>
      <c r="S2174" s="3"/>
    </row>
    <row r="2175" spans="2:19" x14ac:dyDescent="0.5">
      <c r="B2175" s="5" t="str">
        <f t="shared" si="2247"/>
        <v>SPS1</v>
      </c>
      <c r="C2175" s="5" t="str">
        <f t="shared" si="2248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0.17007091269704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1.2406411699788301E-3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0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0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0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0</v>
      </c>
      <c r="M2175" s="1" cm="1">
        <f t="array" ref="M2175">(SUMPRODUCT(("var_ncap"=[1]OUT_TransportEnergyCons!$B$4:$B$10000)*1,ISNUMBER(SEARCH("T_B_u*hyb*DSL*s1",[1]OUT_TransportEnergyCons!$A$4:$A$10000))*1,[1]OUT_TransportEnergyCons!K$4:K$10000))*1000</f>
        <v>0</v>
      </c>
      <c r="N2175" s="1" cm="1">
        <f t="array" ref="N2175">(SUMPRODUCT(("var_ncap"=[1]OUT_TransportEnergyCons!$B$4:$B$10000)*1,ISNUMBER(SEARCH("T_B_u*hyb*DSL*s1",[1]OUT_TransportEnergyCons!$A$4:$A$10000))*1,[1]OUT_TransportEnergyCons!L$4:L$10000))*1000</f>
        <v>0</v>
      </c>
      <c r="O2175" s="1" cm="1">
        <f t="array" ref="O2175">(SUMPRODUCT(("var_ncap"=[1]OUT_TransportEnergyCons!$B$4:$B$10000)*1,ISNUMBER(SEARCH("T_B_u*hyb*DSL*s1",[1]OUT_TransportEnergyCons!$A$4:$A$10000))*1,[1]OUT_TransportEnergyCons!M$4:M$10000))*1000</f>
        <v>0</v>
      </c>
      <c r="P2175" s="1" cm="1">
        <f t="array" ref="P2175">(SUMPRODUCT(("var_ncap"=[1]OUT_TransportEnergyCons!$B$4:$B$10000)*1,ISNUMBER(SEARCH("T_B_u*hyb*DSL*s1",[1]OUT_TransportEnergyCons!$A$4:$A$10000))*1,[1]OUT_TransportEnergyCons!N$4:N$10000))*1000</f>
        <v>0</v>
      </c>
      <c r="Q2175" s="1" cm="1">
        <f t="array" ref="Q2175">(SUMPRODUCT(("var_ncap"=[1]OUT_TransportEnergyCons!$B$4:$B$10000)*1,ISNUMBER(SEARCH("T_B_u*hyb*DSL*s1",[1]OUT_TransportEnergyCons!$A$4:$A$10000))*1,[1]OUT_TransportEnergyCons!O$4:O$10000))*1000</f>
        <v>0</v>
      </c>
      <c r="S2175" s="3"/>
    </row>
    <row r="2176" spans="2:19" x14ac:dyDescent="0.5">
      <c r="B2176" s="5" t="str">
        <f t="shared" si="2247"/>
        <v>SPS1</v>
      </c>
      <c r="C2176" s="5" t="str">
        <f t="shared" si="2248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1.0434598891258401E-3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5.3224768419441804E-4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0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0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0</v>
      </c>
      <c r="M2176" s="1" cm="1">
        <f t="array" ref="M2176">(SUMPRODUCT(("var_ncap"=[1]OUT_TransportEnergyCons!$B$4:$B$10000)*1,ISNUMBER(SEARCH("T_B_u*hyb*DSL*s2",[1]OUT_TransportEnergyCons!$A$4:$A$10000))*1,[1]OUT_TransportEnergyCons!K$4:K$10000))*1000</f>
        <v>0</v>
      </c>
      <c r="N2176" s="1" cm="1">
        <f t="array" ref="N2176">(SUMPRODUCT(("var_ncap"=[1]OUT_TransportEnergyCons!$B$4:$B$10000)*1,ISNUMBER(SEARCH("T_B_u*hyb*DSL*s2",[1]OUT_TransportEnergyCons!$A$4:$A$10000))*1,[1]OUT_TransportEnergyCons!L$4:L$10000))*1000</f>
        <v>0</v>
      </c>
      <c r="O2176" s="1" cm="1">
        <f t="array" ref="O2176">(SUMPRODUCT(("var_ncap"=[1]OUT_TransportEnergyCons!$B$4:$B$10000)*1,ISNUMBER(SEARCH("T_B_u*hyb*DSL*s2",[1]OUT_TransportEnergyCons!$A$4:$A$10000))*1,[1]OUT_TransportEnergyCons!M$4:M$10000))*1000</f>
        <v>0</v>
      </c>
      <c r="P2176" s="1" cm="1">
        <f t="array" ref="P2176">(SUMPRODUCT(("var_ncap"=[1]OUT_TransportEnergyCons!$B$4:$B$10000)*1,ISNUMBER(SEARCH("T_B_u*hyb*DSL*s2",[1]OUT_TransportEnergyCons!$A$4:$A$10000))*1,[1]OUT_TransportEnergyCons!N$4:N$10000))*1000</f>
        <v>0</v>
      </c>
      <c r="Q2176" s="1" cm="1">
        <f t="array" ref="Q2176">(SUMPRODUCT(("var_ncap"=[1]OUT_TransportEnergyCons!$B$4:$B$10000)*1,ISNUMBER(SEARCH("T_B_u*hyb*DSL*s2",[1]OUT_TransportEnergyCons!$A$4:$A$10000))*1,[1]OUT_TransportEnergyCons!O$4:O$10000))*1000</f>
        <v>0</v>
      </c>
      <c r="S2176" s="3"/>
    </row>
    <row r="2177" spans="2:19" x14ac:dyDescent="0.5">
      <c r="B2177" s="5" t="str">
        <f t="shared" si="2247"/>
        <v>SPS1</v>
      </c>
      <c r="C2177" s="5" t="str">
        <f t="shared" si="2248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7.4012783713685E-4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3.4300708626674802E-4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0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0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0</v>
      </c>
      <c r="M2177" s="1" cm="1">
        <f t="array" ref="M2177">(SUMPRODUCT(("var_ncap"=[1]OUT_TransportEnergyCons!$B$4:$B$10000)*1,ISNUMBER(SEARCH("T_B_u*hyb*DSL*s3",[1]OUT_TransportEnergyCons!$A$4:$A$10000))*1,[1]OUT_TransportEnergyCons!K$4:K$10000))*1000</f>
        <v>0</v>
      </c>
      <c r="N2177" s="1" cm="1">
        <f t="array" ref="N2177">(SUMPRODUCT(("var_ncap"=[1]OUT_TransportEnergyCons!$B$4:$B$10000)*1,ISNUMBER(SEARCH("T_B_u*hyb*DSL*s3",[1]OUT_TransportEnergyCons!$A$4:$A$10000))*1,[1]OUT_TransportEnergyCons!L$4:L$10000))*1000</f>
        <v>0</v>
      </c>
      <c r="O2177" s="1" cm="1">
        <f t="array" ref="O2177">(SUMPRODUCT(("var_ncap"=[1]OUT_TransportEnergyCons!$B$4:$B$10000)*1,ISNUMBER(SEARCH("T_B_u*hyb*DSL*s3",[1]OUT_TransportEnergyCons!$A$4:$A$10000))*1,[1]OUT_TransportEnergyCons!M$4:M$10000))*1000</f>
        <v>0</v>
      </c>
      <c r="P2177" s="1" cm="1">
        <f t="array" ref="P2177">(SUMPRODUCT(("var_ncap"=[1]OUT_TransportEnergyCons!$B$4:$B$10000)*1,ISNUMBER(SEARCH("T_B_u*hyb*DSL*s3",[1]OUT_TransportEnergyCons!$A$4:$A$10000))*1,[1]OUT_TransportEnergyCons!N$4:N$10000))*1000</f>
        <v>0</v>
      </c>
      <c r="Q2177" s="1" cm="1">
        <f t="array" ref="Q2177">(SUMPRODUCT(("var_ncap"=[1]OUT_TransportEnergyCons!$B$4:$B$10000)*1,ISNUMBER(SEARCH("T_B_u*hyb*DSL*s3",[1]OUT_TransportEnergyCons!$A$4:$A$10000))*1,[1]OUT_TransportEnergyCons!O$4:O$10000))*1000</f>
        <v>0</v>
      </c>
      <c r="S2177" s="3"/>
    </row>
    <row r="2178" spans="2:19" x14ac:dyDescent="0.5">
      <c r="B2178" s="5" t="str">
        <f t="shared" si="2247"/>
        <v>SPS1</v>
      </c>
      <c r="C2178" s="5" t="str">
        <f t="shared" si="2248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4.56709120277577E-5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3.8937280796023698E-5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0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1.02852324788809E-5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0</v>
      </c>
      <c r="M2178" s="1" cm="1">
        <f t="array" ref="M2178">(SUMPRODUCT(("var_ncap"=[1]OUT_TransportEnergyCons!$B$4:$B$10000)*1,ISNUMBER(SEARCH("T_B_u*hyb*DSL*s4",[1]OUT_TransportEnergyCons!$A$4:$A$10000))*1,[1]OUT_TransportEnergyCons!K$4:K$10000))*1000</f>
        <v>0</v>
      </c>
      <c r="N2178" s="1" cm="1">
        <f t="array" ref="N2178">(SUMPRODUCT(("var_ncap"=[1]OUT_TransportEnergyCons!$B$4:$B$10000)*1,ISNUMBER(SEARCH("T_B_u*hyb*DSL*s4",[1]OUT_TransportEnergyCons!$A$4:$A$10000))*1,[1]OUT_TransportEnergyCons!L$4:L$10000))*1000</f>
        <v>0</v>
      </c>
      <c r="O2178" s="1" cm="1">
        <f t="array" ref="O2178">(SUMPRODUCT(("var_ncap"=[1]OUT_TransportEnergyCons!$B$4:$B$10000)*1,ISNUMBER(SEARCH("T_B_u*hyb*DSL*s4",[1]OUT_TransportEnergyCons!$A$4:$A$10000))*1,[1]OUT_TransportEnergyCons!M$4:M$10000))*1000</f>
        <v>0</v>
      </c>
      <c r="P2178" s="1" cm="1">
        <f t="array" ref="P2178">(SUMPRODUCT(("var_ncap"=[1]OUT_TransportEnergyCons!$B$4:$B$10000)*1,ISNUMBER(SEARCH("T_B_u*hyb*DSL*s4",[1]OUT_TransportEnergyCons!$A$4:$A$10000))*1,[1]OUT_TransportEnergyCons!N$4:N$10000))*1000</f>
        <v>0</v>
      </c>
      <c r="Q2178" s="1" cm="1">
        <f t="array" ref="Q2178">(SUMPRODUCT(("var_ncap"=[1]OUT_TransportEnergyCons!$B$4:$B$10000)*1,ISNUMBER(SEARCH("T_B_u*hyb*DSL*s4",[1]OUT_TransportEnergyCons!$A$4:$A$10000))*1,[1]OUT_TransportEnergyCons!O$4:O$10000))*1000</f>
        <v>0</v>
      </c>
      <c r="S2178" s="3"/>
    </row>
    <row r="2179" spans="2:19" x14ac:dyDescent="0.5">
      <c r="B2179" s="5" t="str">
        <f t="shared" si="2247"/>
        <v>SPS1</v>
      </c>
      <c r="C2179" s="5" t="str">
        <f t="shared" si="2248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M2179" s="1" cm="1">
        <f t="array" ref="M2179">(SUMPRODUCT(("var_ncap"=[1]OUT_TransportEnergyCons!$B$4:$B$10000)*1,ISNUMBER(SEARCH("T_B_u*ICE*DSL*ext",[1]OUT_TransportEnergyCons!$A$4:$A$10000))*1,[1]OUT_TransportEnergyCons!K$4:K$10000))*1000</f>
        <v>0</v>
      </c>
      <c r="N2179" s="1" cm="1">
        <f t="array" ref="N2179">(SUMPRODUCT(("var_ncap"=[1]OUT_TransportEnergyCons!$B$4:$B$10000)*1,ISNUMBER(SEARCH("T_B_u*ICE*DSL*ext",[1]OUT_TransportEnergyCons!$A$4:$A$10000))*1,[1]OUT_TransportEnergyCons!L$4:L$10000))*1000</f>
        <v>0</v>
      </c>
      <c r="O2179" s="1" cm="1">
        <f t="array" ref="O2179">(SUMPRODUCT(("var_ncap"=[1]OUT_TransportEnergyCons!$B$4:$B$10000)*1,ISNUMBER(SEARCH("T_B_u*ICE*DSL*ext",[1]OUT_TransportEnergyCons!$A$4:$A$10000))*1,[1]OUT_TransportEnergyCons!M$4:M$10000))*1000</f>
        <v>0</v>
      </c>
      <c r="P2179" s="1" cm="1">
        <f t="array" ref="P2179">(SUMPRODUCT(("var_ncap"=[1]OUT_TransportEnergyCons!$B$4:$B$10000)*1,ISNUMBER(SEARCH("T_B_u*ICE*DSL*ext",[1]OUT_TransportEnergyCons!$A$4:$A$10000))*1,[1]OUT_TransportEnergyCons!N$4:N$10000))*1000</f>
        <v>0</v>
      </c>
      <c r="Q2179" s="1" cm="1">
        <f t="array" ref="Q2179">(SUMPRODUCT(("var_ncap"=[1]OUT_TransportEnergyCons!$B$4:$B$10000)*1,ISNUMBER(SEARCH("T_B_u*ICE*DSL*ext",[1]OUT_TransportEnergyCons!$A$4:$A$10000))*1,[1]OUT_TransportEnergyCons!O$4:O$10000))*1000</f>
        <v>0</v>
      </c>
      <c r="S2179" s="3"/>
    </row>
    <row r="2180" spans="2:19" x14ac:dyDescent="0.5">
      <c r="B2180" s="5" t="str">
        <f t="shared" si="2247"/>
        <v>SPS1</v>
      </c>
      <c r="C2180" s="5" t="str">
        <f t="shared" si="2248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0.47921005250062898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0.52339707172943306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0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0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0</v>
      </c>
      <c r="M2180" s="1" cm="1">
        <f t="array" ref="M2180">(SUMPRODUCT(("var_ncap"=[1]OUT_TransportEnergyCons!$B$4:$B$10000)*1,ISNUMBER(SEARCH("T_B_u*ICE*DSL*s1",[1]OUT_TransportEnergyCons!$A$4:$A$10000))*1,[1]OUT_TransportEnergyCons!K$4:K$10000))*1000</f>
        <v>0</v>
      </c>
      <c r="N2180" s="1" cm="1">
        <f t="array" ref="N2180">(SUMPRODUCT(("var_ncap"=[1]OUT_TransportEnergyCons!$B$4:$B$10000)*1,ISNUMBER(SEARCH("T_B_u*ICE*DSL*s1",[1]OUT_TransportEnergyCons!$A$4:$A$10000))*1,[1]OUT_TransportEnergyCons!L$4:L$10000))*1000</f>
        <v>0</v>
      </c>
      <c r="O2180" s="1" cm="1">
        <f t="array" ref="O2180">(SUMPRODUCT(("var_ncap"=[1]OUT_TransportEnergyCons!$B$4:$B$10000)*1,ISNUMBER(SEARCH("T_B_u*ICE*DSL*s1",[1]OUT_TransportEnergyCons!$A$4:$A$10000))*1,[1]OUT_TransportEnergyCons!M$4:M$10000))*1000</f>
        <v>0</v>
      </c>
      <c r="P2180" s="1" cm="1">
        <f t="array" ref="P2180">(SUMPRODUCT(("var_ncap"=[1]OUT_TransportEnergyCons!$B$4:$B$10000)*1,ISNUMBER(SEARCH("T_B_u*ICE*DSL*s1",[1]OUT_TransportEnergyCons!$A$4:$A$10000))*1,[1]OUT_TransportEnergyCons!N$4:N$10000))*1000</f>
        <v>0</v>
      </c>
      <c r="Q2180" s="1" cm="1">
        <f t="array" ref="Q2180">(SUMPRODUCT(("var_ncap"=[1]OUT_TransportEnergyCons!$B$4:$B$10000)*1,ISNUMBER(SEARCH("T_B_u*ICE*DSL*s1",[1]OUT_TransportEnergyCons!$A$4:$A$10000))*1,[1]OUT_TransportEnergyCons!O$4:O$10000))*1000</f>
        <v>0</v>
      </c>
      <c r="S2180" s="3"/>
    </row>
    <row r="2181" spans="2:19" x14ac:dyDescent="0.5">
      <c r="B2181" s="5" t="str">
        <f t="shared" si="2247"/>
        <v>SPS1</v>
      </c>
      <c r="C2181" s="5" t="str">
        <f t="shared" si="2248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6.9859241402545702E-3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0.181615058554535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0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0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0</v>
      </c>
      <c r="M2181" s="1" cm="1">
        <f t="array" ref="M2181">(SUMPRODUCT(("var_ncap"=[1]OUT_TransportEnergyCons!$B$4:$B$10000)*1,ISNUMBER(SEARCH("T_B_u*ICE*DSL*s2",[1]OUT_TransportEnergyCons!$A$4:$A$10000))*1,[1]OUT_TransportEnergyCons!K$4:K$10000))*1000</f>
        <v>0</v>
      </c>
      <c r="N2181" s="1" cm="1">
        <f t="array" ref="N2181">(SUMPRODUCT(("var_ncap"=[1]OUT_TransportEnergyCons!$B$4:$B$10000)*1,ISNUMBER(SEARCH("T_B_u*ICE*DSL*s2",[1]OUT_TransportEnergyCons!$A$4:$A$10000))*1,[1]OUT_TransportEnergyCons!L$4:L$10000))*1000</f>
        <v>0</v>
      </c>
      <c r="O2181" s="1" cm="1">
        <f t="array" ref="O2181">(SUMPRODUCT(("var_ncap"=[1]OUT_TransportEnergyCons!$B$4:$B$10000)*1,ISNUMBER(SEARCH("T_B_u*ICE*DSL*s2",[1]OUT_TransportEnergyCons!$A$4:$A$10000))*1,[1]OUT_TransportEnergyCons!M$4:M$10000))*1000</f>
        <v>0</v>
      </c>
      <c r="P2181" s="1" cm="1">
        <f t="array" ref="P2181">(SUMPRODUCT(("var_ncap"=[1]OUT_TransportEnergyCons!$B$4:$B$10000)*1,ISNUMBER(SEARCH("T_B_u*ICE*DSL*s2",[1]OUT_TransportEnergyCons!$A$4:$A$10000))*1,[1]OUT_TransportEnergyCons!N$4:N$10000))*1000</f>
        <v>0</v>
      </c>
      <c r="Q2181" s="1" cm="1">
        <f t="array" ref="Q2181">(SUMPRODUCT(("var_ncap"=[1]OUT_TransportEnergyCons!$B$4:$B$10000)*1,ISNUMBER(SEARCH("T_B_u*ICE*DSL*s2",[1]OUT_TransportEnergyCons!$A$4:$A$10000))*1,[1]OUT_TransportEnergyCons!O$4:O$10000))*1000</f>
        <v>0</v>
      </c>
      <c r="S2181" s="3"/>
    </row>
    <row r="2182" spans="2:19" x14ac:dyDescent="0.5">
      <c r="B2182" s="5" t="str">
        <f t="shared" si="2247"/>
        <v>SPS1</v>
      </c>
      <c r="C2182" s="5" t="str">
        <f t="shared" si="2248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5.0815631754353302E-2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0.8150940747681179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0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0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0</v>
      </c>
      <c r="M2182" s="1" cm="1">
        <f t="array" ref="M2182">(SUMPRODUCT(("var_ncap"=[1]OUT_TransportEnergyCons!$B$4:$B$10000)*1,ISNUMBER(SEARCH("T_B_u*ICE*DSL*s3",[1]OUT_TransportEnergyCons!$A$4:$A$10000))*1,[1]OUT_TransportEnergyCons!K$4:K$10000))*1000</f>
        <v>0</v>
      </c>
      <c r="N2182" s="1" cm="1">
        <f t="array" ref="N2182">(SUMPRODUCT(("var_ncap"=[1]OUT_TransportEnergyCons!$B$4:$B$10000)*1,ISNUMBER(SEARCH("T_B_u*ICE*DSL*s3",[1]OUT_TransportEnergyCons!$A$4:$A$10000))*1,[1]OUT_TransportEnergyCons!L$4:L$10000))*1000</f>
        <v>0</v>
      </c>
      <c r="O2182" s="1" cm="1">
        <f t="array" ref="O2182">(SUMPRODUCT(("var_ncap"=[1]OUT_TransportEnergyCons!$B$4:$B$10000)*1,ISNUMBER(SEARCH("T_B_u*ICE*DSL*s3",[1]OUT_TransportEnergyCons!$A$4:$A$10000))*1,[1]OUT_TransportEnergyCons!M$4:M$10000))*1000</f>
        <v>0</v>
      </c>
      <c r="P2182" s="1" cm="1">
        <f t="array" ref="P2182">(SUMPRODUCT(("var_ncap"=[1]OUT_TransportEnergyCons!$B$4:$B$10000)*1,ISNUMBER(SEARCH("T_B_u*ICE*DSL*s3",[1]OUT_TransportEnergyCons!$A$4:$A$10000))*1,[1]OUT_TransportEnergyCons!N$4:N$10000))*1000</f>
        <v>0</v>
      </c>
      <c r="Q2182" s="1" cm="1">
        <f t="array" ref="Q2182">(SUMPRODUCT(("var_ncap"=[1]OUT_TransportEnergyCons!$B$4:$B$10000)*1,ISNUMBER(SEARCH("T_B_u*ICE*DSL*s3",[1]OUT_TransportEnergyCons!$A$4:$A$10000))*1,[1]OUT_TransportEnergyCons!O$4:O$10000))*1000</f>
        <v>0</v>
      </c>
      <c r="S2182" s="3"/>
    </row>
    <row r="2183" spans="2:19" x14ac:dyDescent="0.5">
      <c r="B2183" s="5" t="str">
        <f t="shared" si="2247"/>
        <v>SPS1</v>
      </c>
      <c r="C2183" s="5" t="str">
        <f t="shared" si="2248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4.9291987654191497E-5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4.7293761680545197E-5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0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0</v>
      </c>
      <c r="M2183" s="1" cm="1">
        <f t="array" ref="M2183">(SUMPRODUCT(("var_ncap"=[1]OUT_TransportEnergyCons!$B$4:$B$10000)*1,ISNUMBER(SEARCH("T_B_u*ICE*DSL*s4",[1]OUT_TransportEnergyCons!$A$4:$A$10000))*1,[1]OUT_TransportEnergyCons!K$4:K$10000))*1000</f>
        <v>0</v>
      </c>
      <c r="N2183" s="1" cm="1">
        <f t="array" ref="N2183">(SUMPRODUCT(("var_ncap"=[1]OUT_TransportEnergyCons!$B$4:$B$10000)*1,ISNUMBER(SEARCH("T_B_u*ICE*DSL*s4",[1]OUT_TransportEnergyCons!$A$4:$A$10000))*1,[1]OUT_TransportEnergyCons!L$4:L$10000))*1000</f>
        <v>0</v>
      </c>
      <c r="O2183" s="1" cm="1">
        <f t="array" ref="O2183">(SUMPRODUCT(("var_ncap"=[1]OUT_TransportEnergyCons!$B$4:$B$10000)*1,ISNUMBER(SEARCH("T_B_u*ICE*DSL*s4",[1]OUT_TransportEnergyCons!$A$4:$A$10000))*1,[1]OUT_TransportEnergyCons!M$4:M$10000))*1000</f>
        <v>0</v>
      </c>
      <c r="P2183" s="1" cm="1">
        <f t="array" ref="P2183">(SUMPRODUCT(("var_ncap"=[1]OUT_TransportEnergyCons!$B$4:$B$10000)*1,ISNUMBER(SEARCH("T_B_u*ICE*DSL*s4",[1]OUT_TransportEnergyCons!$A$4:$A$10000))*1,[1]OUT_TransportEnergyCons!N$4:N$10000))*1000</f>
        <v>0</v>
      </c>
      <c r="Q2183" s="1" cm="1">
        <f t="array" ref="Q2183">(SUMPRODUCT(("var_ncap"=[1]OUT_TransportEnergyCons!$B$4:$B$10000)*1,ISNUMBER(SEARCH("T_B_u*ICE*DSL*s4",[1]OUT_TransportEnergyCons!$A$4:$A$10000))*1,[1]OUT_TransportEnergyCons!O$4:O$10000))*1000</f>
        <v>0</v>
      </c>
      <c r="S2183" s="3"/>
    </row>
    <row r="2184" spans="2:19" x14ac:dyDescent="0.5">
      <c r="B2184" s="5" t="str">
        <f t="shared" si="2247"/>
        <v>SPS1</v>
      </c>
      <c r="C2184" s="5" t="str">
        <f t="shared" si="2248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M2184" s="1" cm="1">
        <f t="array" ref="M2184">(SUMPRODUCT(("var_ncap"=[1]OUT_TransportEnergyCons!$B$4:$B$10000)*1,ISNUMBER(SEARCH("T_B_u*ICE*nga*ext",[1]OUT_TransportEnergyCons!$A$4:$A$10000))*1,[1]OUT_TransportEnergyCons!K$4:K$10000))*1000</f>
        <v>0</v>
      </c>
      <c r="N2184" s="1" cm="1">
        <f t="array" ref="N2184">(SUMPRODUCT(("var_ncap"=[1]OUT_TransportEnergyCons!$B$4:$B$10000)*1,ISNUMBER(SEARCH("T_B_u*ICE*nga*ext",[1]OUT_TransportEnergyCons!$A$4:$A$10000))*1,[1]OUT_TransportEnergyCons!L$4:L$10000))*1000</f>
        <v>0</v>
      </c>
      <c r="O2184" s="1" cm="1">
        <f t="array" ref="O2184">(SUMPRODUCT(("var_ncap"=[1]OUT_TransportEnergyCons!$B$4:$B$10000)*1,ISNUMBER(SEARCH("T_B_u*ICE*nga*ext",[1]OUT_TransportEnergyCons!$A$4:$A$10000))*1,[1]OUT_TransportEnergyCons!M$4:M$10000))*1000</f>
        <v>0</v>
      </c>
      <c r="P2184" s="1" cm="1">
        <f t="array" ref="P2184">(SUMPRODUCT(("var_ncap"=[1]OUT_TransportEnergyCons!$B$4:$B$10000)*1,ISNUMBER(SEARCH("T_B_u*ICE*nga*ext",[1]OUT_TransportEnergyCons!$A$4:$A$10000))*1,[1]OUT_TransportEnergyCons!N$4:N$10000))*1000</f>
        <v>0</v>
      </c>
      <c r="Q2184" s="1" cm="1">
        <f t="array" ref="Q2184">(SUMPRODUCT(("var_ncap"=[1]OUT_TransportEnergyCons!$B$4:$B$10000)*1,ISNUMBER(SEARCH("T_B_u*ICE*nga*ext",[1]OUT_TransportEnergyCons!$A$4:$A$10000))*1,[1]OUT_TransportEnergyCons!O$4:O$10000))*1000</f>
        <v>0</v>
      </c>
      <c r="S2184" s="3"/>
    </row>
    <row r="2185" spans="2:19" x14ac:dyDescent="0.5">
      <c r="B2185" s="5" t="str">
        <f t="shared" si="2247"/>
        <v>SPS1</v>
      </c>
      <c r="C2185" s="5" t="str">
        <f t="shared" si="2248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4.2103662909691498E-4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1.14623542553383E-3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0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0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0</v>
      </c>
      <c r="M2185" s="1" cm="1">
        <f t="array" ref="M2185">(SUMPRODUCT(("var_ncap"=[1]OUT_TransportEnergyCons!$B$4:$B$10000)*1,ISNUMBER(SEARCH("T_B_u*ICE*nga*s1",[1]OUT_TransportEnergyCons!$A$4:$A$10000))*1,[1]OUT_TransportEnergyCons!K$4:K$10000))*1000</f>
        <v>0</v>
      </c>
      <c r="N2185" s="1" cm="1">
        <f t="array" ref="N2185">(SUMPRODUCT(("var_ncap"=[1]OUT_TransportEnergyCons!$B$4:$B$10000)*1,ISNUMBER(SEARCH("T_B_u*ICE*nga*s1",[1]OUT_TransportEnergyCons!$A$4:$A$10000))*1,[1]OUT_TransportEnergyCons!L$4:L$10000))*1000</f>
        <v>0</v>
      </c>
      <c r="O2185" s="1" cm="1">
        <f t="array" ref="O2185">(SUMPRODUCT(("var_ncap"=[1]OUT_TransportEnergyCons!$B$4:$B$10000)*1,ISNUMBER(SEARCH("T_B_u*ICE*nga*s1",[1]OUT_TransportEnergyCons!$A$4:$A$10000))*1,[1]OUT_TransportEnergyCons!M$4:M$10000))*1000</f>
        <v>0</v>
      </c>
      <c r="P2185" s="1" cm="1">
        <f t="array" ref="P2185">(SUMPRODUCT(("var_ncap"=[1]OUT_TransportEnergyCons!$B$4:$B$10000)*1,ISNUMBER(SEARCH("T_B_u*ICE*nga*s1",[1]OUT_TransportEnergyCons!$A$4:$A$10000))*1,[1]OUT_TransportEnergyCons!N$4:N$10000))*1000</f>
        <v>0</v>
      </c>
      <c r="Q2185" s="1" cm="1">
        <f t="array" ref="Q2185">(SUMPRODUCT(("var_ncap"=[1]OUT_TransportEnergyCons!$B$4:$B$10000)*1,ISNUMBER(SEARCH("T_B_u*ICE*nga*s1",[1]OUT_TransportEnergyCons!$A$4:$A$10000))*1,[1]OUT_TransportEnergyCons!O$4:O$10000))*1000</f>
        <v>0</v>
      </c>
      <c r="S2185" s="3"/>
    </row>
    <row r="2186" spans="2:19" x14ac:dyDescent="0.5">
      <c r="B2186" s="5" t="str">
        <f t="shared" si="2247"/>
        <v>SPS1</v>
      </c>
      <c r="C2186" s="5" t="str">
        <f t="shared" si="2248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2.4498119567079295E-4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2.0561152483248297E-3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0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0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0</v>
      </c>
      <c r="M2186" s="1" cm="1">
        <f t="array" ref="M2186">(SUMPRODUCT(("var_ncap"=[1]OUT_TransportEnergyCons!$B$4:$B$10000)*1,ISNUMBER(SEARCH("T_B_u*ICE*nga*s2",[1]OUT_TransportEnergyCons!$A$4:$A$10000))*1,[1]OUT_TransportEnergyCons!K$4:K$10000))*1000</f>
        <v>0</v>
      </c>
      <c r="N2186" s="1" cm="1">
        <f t="array" ref="N2186">(SUMPRODUCT(("var_ncap"=[1]OUT_TransportEnergyCons!$B$4:$B$10000)*1,ISNUMBER(SEARCH("T_B_u*ICE*nga*s2",[1]OUT_TransportEnergyCons!$A$4:$A$10000))*1,[1]OUT_TransportEnergyCons!L$4:L$10000))*1000</f>
        <v>0</v>
      </c>
      <c r="O2186" s="1" cm="1">
        <f t="array" ref="O2186">(SUMPRODUCT(("var_ncap"=[1]OUT_TransportEnergyCons!$B$4:$B$10000)*1,ISNUMBER(SEARCH("T_B_u*ICE*nga*s2",[1]OUT_TransportEnergyCons!$A$4:$A$10000))*1,[1]OUT_TransportEnergyCons!M$4:M$10000))*1000</f>
        <v>0</v>
      </c>
      <c r="P2186" s="1" cm="1">
        <f t="array" ref="P2186">(SUMPRODUCT(("var_ncap"=[1]OUT_TransportEnergyCons!$B$4:$B$10000)*1,ISNUMBER(SEARCH("T_B_u*ICE*nga*s2",[1]OUT_TransportEnergyCons!$A$4:$A$10000))*1,[1]OUT_TransportEnergyCons!N$4:N$10000))*1000</f>
        <v>0</v>
      </c>
      <c r="Q2186" s="1" cm="1">
        <f t="array" ref="Q2186">(SUMPRODUCT(("var_ncap"=[1]OUT_TransportEnergyCons!$B$4:$B$10000)*1,ISNUMBER(SEARCH("T_B_u*ICE*nga*s2",[1]OUT_TransportEnergyCons!$A$4:$A$10000))*1,[1]OUT_TransportEnergyCons!O$4:O$10000))*1000</f>
        <v>0</v>
      </c>
      <c r="S2186" s="3"/>
    </row>
    <row r="2187" spans="2:19" x14ac:dyDescent="0.5">
      <c r="B2187" s="5" t="str">
        <f t="shared" si="2247"/>
        <v>SPS1</v>
      </c>
      <c r="C2187" s="5" t="str">
        <f t="shared" si="2248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1.6189140081539899E-4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2.0750283888838802E-2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0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0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0</v>
      </c>
      <c r="M2187" s="1" cm="1">
        <f t="array" ref="M2187">(SUMPRODUCT(("var_ncap"=[1]OUT_TransportEnergyCons!$B$4:$B$10000)*1,ISNUMBER(SEARCH("T_B_u*ICE*nga*s3",[1]OUT_TransportEnergyCons!$A$4:$A$10000))*1,[1]OUT_TransportEnergyCons!K$4:K$10000))*1000</f>
        <v>0</v>
      </c>
      <c r="N2187" s="1" cm="1">
        <f t="array" ref="N2187">(SUMPRODUCT(("var_ncap"=[1]OUT_TransportEnergyCons!$B$4:$B$10000)*1,ISNUMBER(SEARCH("T_B_u*ICE*nga*s3",[1]OUT_TransportEnergyCons!$A$4:$A$10000))*1,[1]OUT_TransportEnergyCons!L$4:L$10000))*1000</f>
        <v>0</v>
      </c>
      <c r="O2187" s="1" cm="1">
        <f t="array" ref="O2187">(SUMPRODUCT(("var_ncap"=[1]OUT_TransportEnergyCons!$B$4:$B$10000)*1,ISNUMBER(SEARCH("T_B_u*ICE*nga*s3",[1]OUT_TransportEnergyCons!$A$4:$A$10000))*1,[1]OUT_TransportEnergyCons!M$4:M$10000))*1000</f>
        <v>0</v>
      </c>
      <c r="P2187" s="1" cm="1">
        <f t="array" ref="P2187">(SUMPRODUCT(("var_ncap"=[1]OUT_TransportEnergyCons!$B$4:$B$10000)*1,ISNUMBER(SEARCH("T_B_u*ICE*nga*s3",[1]OUT_TransportEnergyCons!$A$4:$A$10000))*1,[1]OUT_TransportEnergyCons!N$4:N$10000))*1000</f>
        <v>0</v>
      </c>
      <c r="Q2187" s="1" cm="1">
        <f t="array" ref="Q2187">(SUMPRODUCT(("var_ncap"=[1]OUT_TransportEnergyCons!$B$4:$B$10000)*1,ISNUMBER(SEARCH("T_B_u*ICE*nga*s3",[1]OUT_TransportEnergyCons!$A$4:$A$10000))*1,[1]OUT_TransportEnergyCons!O$4:O$10000))*1000</f>
        <v>0</v>
      </c>
      <c r="S2187" s="3"/>
    </row>
    <row r="2188" spans="2:19" x14ac:dyDescent="0.5">
      <c r="B2188" s="5" t="str">
        <f t="shared" si="2247"/>
        <v>SPS1</v>
      </c>
      <c r="C2188" s="5" t="str">
        <f t="shared" si="2248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2.6041011831172398E-5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3.8443658351651397E-5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0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1.2135937436581199E-5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0</v>
      </c>
      <c r="M2188" s="1" cm="1">
        <f t="array" ref="M2188">(SUMPRODUCT(("var_ncap"=[1]OUT_TransportEnergyCons!$B$4:$B$10000)*1,ISNUMBER(SEARCH("T_B_u*ICE*nga*s4",[1]OUT_TransportEnergyCons!$A$4:$A$10000))*1,[1]OUT_TransportEnergyCons!K$4:K$10000))*1000</f>
        <v>0</v>
      </c>
      <c r="N2188" s="1" cm="1">
        <f t="array" ref="N2188">(SUMPRODUCT(("var_ncap"=[1]OUT_TransportEnergyCons!$B$4:$B$10000)*1,ISNUMBER(SEARCH("T_B_u*ICE*nga*s4",[1]OUT_TransportEnergyCons!$A$4:$A$10000))*1,[1]OUT_TransportEnergyCons!L$4:L$10000))*1000</f>
        <v>0</v>
      </c>
      <c r="O2188" s="1" cm="1">
        <f t="array" ref="O2188">(SUMPRODUCT(("var_ncap"=[1]OUT_TransportEnergyCons!$B$4:$B$10000)*1,ISNUMBER(SEARCH("T_B_u*ICE*nga*s4",[1]OUT_TransportEnergyCons!$A$4:$A$10000))*1,[1]OUT_TransportEnergyCons!M$4:M$10000))*1000</f>
        <v>0</v>
      </c>
      <c r="P2188" s="1" cm="1">
        <f t="array" ref="P2188">(SUMPRODUCT(("var_ncap"=[1]OUT_TransportEnergyCons!$B$4:$B$10000)*1,ISNUMBER(SEARCH("T_B_u*ICE*nga*s4",[1]OUT_TransportEnergyCons!$A$4:$A$10000))*1,[1]OUT_TransportEnergyCons!N$4:N$10000))*1000</f>
        <v>0</v>
      </c>
      <c r="Q2188" s="1" cm="1">
        <f t="array" ref="Q2188">(SUMPRODUCT(("var_ncap"=[1]OUT_TransportEnergyCons!$B$4:$B$10000)*1,ISNUMBER(SEARCH("T_B_u*ICE*nga*s4",[1]OUT_TransportEnergyCons!$A$4:$A$10000))*1,[1]OUT_TransportEnergyCons!O$4:O$10000))*1000</f>
        <v>0</v>
      </c>
      <c r="S2188" s="3"/>
    </row>
    <row r="2189" spans="2:19" x14ac:dyDescent="0.5">
      <c r="B2189" s="5" t="str">
        <f t="shared" si="2247"/>
        <v>SPS1</v>
      </c>
      <c r="C2189" s="5" t="str">
        <f t="shared" si="2248"/>
        <v>CH</v>
      </c>
      <c r="D2189" s="2" t="s">
        <v>2318</v>
      </c>
      <c r="E2189" s="2" t="s">
        <v>1999</v>
      </c>
      <c r="F2189" s="3">
        <f t="shared" ref="F2189:K2189" si="2249">SUM(F2190:F2212)</f>
        <v>0</v>
      </c>
      <c r="G2189" s="3">
        <f t="shared" si="2249"/>
        <v>0.50199000146173434</v>
      </c>
      <c r="H2189" s="3">
        <f t="shared" si="2249"/>
        <v>0.20871762625261994</v>
      </c>
      <c r="I2189" s="3">
        <f t="shared" si="2249"/>
        <v>2.9264383191988994</v>
      </c>
      <c r="J2189" s="3">
        <f t="shared" si="2249"/>
        <v>1.5695909494410187</v>
      </c>
      <c r="K2189" s="3">
        <f t="shared" si="2249"/>
        <v>1.1202277833930907</v>
      </c>
      <c r="L2189" s="3">
        <f t="shared" ref="L2189:O2189" si="2250">SUM(L2190:L2212)</f>
        <v>1.0547545432519312</v>
      </c>
      <c r="M2189" s="3">
        <f t="shared" si="2250"/>
        <v>1.5744776061432639</v>
      </c>
      <c r="N2189" s="3">
        <f t="shared" si="2250"/>
        <v>1.0152773341784405</v>
      </c>
      <c r="O2189" s="3">
        <f t="shared" si="2250"/>
        <v>1.4175011573770289</v>
      </c>
      <c r="P2189" s="3">
        <f>SUM(P2190:P2212)</f>
        <v>1.6290458229472315</v>
      </c>
      <c r="Q2189" s="3">
        <f>SUM(Q2190:Q2212)</f>
        <v>0.86153150421931202</v>
      </c>
      <c r="S2189" s="3"/>
    </row>
    <row r="2190" spans="2:19" x14ac:dyDescent="0.5">
      <c r="B2190" s="5" t="str">
        <f t="shared" si="2247"/>
        <v>SPS1</v>
      </c>
      <c r="C2190" s="5" t="str">
        <f t="shared" si="2248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M2190" s="1" cm="1">
        <f t="array" ref="M2190">(SUMPRODUCT(("var_ncap"=[1]OUT_TransportEnergyCons!$B$4:$B$10000)*1,ISNUMBER(SEARCH("T_b_c*bev*ext",[1]OUT_TransportEnergyCons!$A$4:$A$10000))*1,[1]OUT_TransportEnergyCons!K$4:K$10000))*1000</f>
        <v>0</v>
      </c>
      <c r="N2190" s="1" cm="1">
        <f t="array" ref="N2190">(SUMPRODUCT(("var_ncap"=[1]OUT_TransportEnergyCons!$B$4:$B$10000)*1,ISNUMBER(SEARCH("T_b_c*bev*ext",[1]OUT_TransportEnergyCons!$A$4:$A$10000))*1,[1]OUT_TransportEnergyCons!L$4:L$10000))*1000</f>
        <v>0</v>
      </c>
      <c r="O2190" s="1" cm="1">
        <f t="array" ref="O2190">(SUMPRODUCT(("var_ncap"=[1]OUT_TransportEnergyCons!$B$4:$B$10000)*1,ISNUMBER(SEARCH("T_b_c*bev*ext",[1]OUT_TransportEnergyCons!$A$4:$A$10000))*1,[1]OUT_TransportEnergyCons!M$4:M$10000))*1000</f>
        <v>0</v>
      </c>
      <c r="P2190" s="1" cm="1">
        <f t="array" ref="P2190">(SUMPRODUCT(("var_ncap"=[1]OUT_TransportEnergyCons!$B$4:$B$10000)*1,ISNUMBER(SEARCH("T_b_c*bev*ext",[1]OUT_TransportEnergyCons!$A$4:$A$10000))*1,[1]OUT_TransportEnergyCons!N$4:N$10000))*1000</f>
        <v>0</v>
      </c>
      <c r="Q2190" s="1" cm="1">
        <f t="array" ref="Q2190">(SUMPRODUCT(("var_ncap"=[1]OUT_TransportEnergyCons!$B$4:$B$10000)*1,ISNUMBER(SEARCH("T_b_c*bev*ext",[1]OUT_TransportEnergyCons!$A$4:$A$10000))*1,[1]OUT_TransportEnergyCons!O$4:O$10000))*1000</f>
        <v>0</v>
      </c>
      <c r="S2190" s="3"/>
    </row>
    <row r="2191" spans="2:19" x14ac:dyDescent="0.5">
      <c r="B2191" s="5" t="str">
        <f t="shared" si="2247"/>
        <v>SPS1</v>
      </c>
      <c r="C2191" s="5" t="str">
        <f t="shared" si="2248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3.36883841205286E-3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4.9204727405465602E-3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1.4087396652441899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1.3845731173309701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2.3858749412919499E-2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0.66407495569774899</v>
      </c>
      <c r="M2191" s="1" cm="1">
        <f t="array" ref="M2191">(SUMPRODUCT(("var_ncap"=[1]OUT_TransportEnergyCons!$B$4:$B$10000)*1,ISNUMBER(SEARCH("T_b_c*bev*s1",[1]OUT_TransportEnergyCons!$A$4:$A$10000))*1,[1]OUT_TransportEnergyCons!K$4:K$10000))*1000</f>
        <v>0.73696197476759895</v>
      </c>
      <c r="N2191" s="1" cm="1">
        <f t="array" ref="N2191">(SUMPRODUCT(("var_ncap"=[1]OUT_TransportEnergyCons!$B$4:$B$10000)*1,ISNUMBER(SEARCH("T_b_c*bev*s1",[1]OUT_TransportEnergyCons!$A$4:$A$10000))*1,[1]OUT_TransportEnergyCons!L$4:L$10000))*1000</f>
        <v>0.42547139720731397</v>
      </c>
      <c r="O2191" s="1" cm="1">
        <f t="array" ref="O2191">(SUMPRODUCT(("var_ncap"=[1]OUT_TransportEnergyCons!$B$4:$B$10000)*1,ISNUMBER(SEARCH("T_b_c*bev*s1",[1]OUT_TransportEnergyCons!$A$4:$A$10000))*1,[1]OUT_TransportEnergyCons!M$4:M$10000))*1000</f>
        <v>0.70140530060346995</v>
      </c>
      <c r="P2191" s="1" cm="1">
        <f t="array" ref="P2191">(SUMPRODUCT(("var_ncap"=[1]OUT_TransportEnergyCons!$B$4:$B$10000)*1,ISNUMBER(SEARCH("T_b_c*bev*s1",[1]OUT_TransportEnergyCons!$A$4:$A$10000))*1,[1]OUT_TransportEnergyCons!N$4:N$10000))*1000</f>
        <v>0.7690125214586141</v>
      </c>
      <c r="Q2191" s="1" cm="1">
        <f t="array" ref="Q2191">(SUMPRODUCT(("var_ncap"=[1]OUT_TransportEnergyCons!$B$4:$B$10000)*1,ISNUMBER(SEARCH("T_b_c*bev*s1",[1]OUT_TransportEnergyCons!$A$4:$A$10000))*1,[1]OUT_TransportEnergyCons!O$4:O$10000))*1000</f>
        <v>0.34328869229882597</v>
      </c>
      <c r="S2191" s="3"/>
    </row>
    <row r="2192" spans="2:19" x14ac:dyDescent="0.5">
      <c r="B2192" s="5" t="str">
        <f t="shared" si="2247"/>
        <v>SPS1</v>
      </c>
      <c r="C2192" s="5" t="str">
        <f t="shared" si="2248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4.7683254245444996E-4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8.9992697810349306E-4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1.24634475723713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0.12103877222365099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0.892418026152346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0.29822056529861701</v>
      </c>
      <c r="M2192" s="1" cm="1">
        <f t="array" ref="M2192">(SUMPRODUCT(("var_ncap"=[1]OUT_TransportEnergyCons!$B$4:$B$10000)*1,ISNUMBER(SEARCH("T_b_c*bev*s2",[1]OUT_TransportEnergyCons!$A$4:$A$10000))*1,[1]OUT_TransportEnergyCons!K$4:K$10000))*1000</f>
        <v>0.65340078063501594</v>
      </c>
      <c r="N2192" s="1" cm="1">
        <f t="array" ref="N2192">(SUMPRODUCT(("var_ncap"=[1]OUT_TransportEnergyCons!$B$4:$B$10000)*1,ISNUMBER(SEARCH("T_b_c*bev*s2",[1]OUT_TransportEnergyCons!$A$4:$A$10000))*1,[1]OUT_TransportEnergyCons!L$4:L$10000))*1000</f>
        <v>0.50884050511575307</v>
      </c>
      <c r="O2192" s="1" cm="1">
        <f t="array" ref="O2192">(SUMPRODUCT(("var_ncap"=[1]OUT_TransportEnergyCons!$B$4:$B$10000)*1,ISNUMBER(SEARCH("T_b_c*bev*s2",[1]OUT_TransportEnergyCons!$A$4:$A$10000))*1,[1]OUT_TransportEnergyCons!M$4:M$10000))*1000</f>
        <v>0.49117530242124902</v>
      </c>
      <c r="P2192" s="1" cm="1">
        <f t="array" ref="P2192">(SUMPRODUCT(("var_ncap"=[1]OUT_TransportEnergyCons!$B$4:$B$10000)*1,ISNUMBER(SEARCH("T_b_c*bev*s2",[1]OUT_TransportEnergyCons!$A$4:$A$10000))*1,[1]OUT_TransportEnergyCons!N$4:N$10000))*1000</f>
        <v>0.79040104858274607</v>
      </c>
      <c r="Q2192" s="1" cm="1">
        <f t="array" ref="Q2192">(SUMPRODUCT(("var_ncap"=[1]OUT_TransportEnergyCons!$B$4:$B$10000)*1,ISNUMBER(SEARCH("T_b_c*bev*s2",[1]OUT_TransportEnergyCons!$A$4:$A$10000))*1,[1]OUT_TransportEnergyCons!O$4:O$10000))*1000</f>
        <v>0.28539139778653799</v>
      </c>
      <c r="S2192" s="3"/>
    </row>
    <row r="2193" spans="2:19" x14ac:dyDescent="0.5">
      <c r="B2193" s="5" t="str">
        <f t="shared" si="2247"/>
        <v>SPS1</v>
      </c>
      <c r="C2193" s="5" t="str">
        <f t="shared" si="2248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2.0767034841446898E-4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3.3255415415920503E-4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0.26950234181370103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6.3824830877101293E-2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0.20361291555421401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8.5066324939722299E-2</v>
      </c>
      <c r="M2193" s="1" cm="1">
        <f t="array" ref="M2193">(SUMPRODUCT(("var_ncap"=[1]OUT_TransportEnergyCons!$B$4:$B$10000)*1,ISNUMBER(SEARCH("T_b_c*bev*s3",[1]OUT_TransportEnergyCons!$A$4:$A$10000))*1,[1]OUT_TransportEnergyCons!K$4:K$10000))*1000</f>
        <v>0.18368963529465998</v>
      </c>
      <c r="N2193" s="1" cm="1">
        <f t="array" ref="N2193">(SUMPRODUCT(("var_ncap"=[1]OUT_TransportEnergyCons!$B$4:$B$10000)*1,ISNUMBER(SEARCH("T_b_c*bev*s3",[1]OUT_TransportEnergyCons!$A$4:$A$10000))*1,[1]OUT_TransportEnergyCons!L$4:L$10000))*1000</f>
        <v>8.0519026248924902E-2</v>
      </c>
      <c r="O2193" s="1" cm="1">
        <f t="array" ref="O2193">(SUMPRODUCT(("var_ncap"=[1]OUT_TransportEnergyCons!$B$4:$B$10000)*1,ISNUMBER(SEARCH("T_b_c*bev*s3",[1]OUT_TransportEnergyCons!$A$4:$A$10000))*1,[1]OUT_TransportEnergyCons!M$4:M$10000))*1000</f>
        <v>0.22436094646433299</v>
      </c>
      <c r="P2193" s="1" cm="1">
        <f t="array" ref="P2193">(SUMPRODUCT(("var_ncap"=[1]OUT_TransportEnergyCons!$B$4:$B$10000)*1,ISNUMBER(SEARCH("T_b_c*bev*s3",[1]OUT_TransportEnergyCons!$A$4:$A$10000))*1,[1]OUT_TransportEnergyCons!N$4:N$10000))*1000</f>
        <v>6.9028495020268407E-2</v>
      </c>
      <c r="Q2193" s="1" cm="1">
        <f t="array" ref="Q2193">(SUMPRODUCT(("var_ncap"=[1]OUT_TransportEnergyCons!$B$4:$B$10000)*1,ISNUMBER(SEARCH("T_b_c*bev*s3",[1]OUT_TransportEnergyCons!$A$4:$A$10000))*1,[1]OUT_TransportEnergyCons!O$4:O$10000))*1000</f>
        <v>0.231968245741593</v>
      </c>
      <c r="S2193" s="3"/>
    </row>
    <row r="2194" spans="2:19" x14ac:dyDescent="0.5">
      <c r="B2194" s="5" t="str">
        <f t="shared" si="2247"/>
        <v>SPS1</v>
      </c>
      <c r="C2194" s="5" t="str">
        <f t="shared" si="2248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1.2136068979026401E-4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1.0721934119870399E-4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8.4169390266856998E-5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1.433471877781E-4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2.7961256164814498E-4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3.2315578888018301E-4</v>
      </c>
      <c r="M2194" s="1" cm="1">
        <f t="array" ref="M2194">(SUMPRODUCT(("var_ncap"=[1]OUT_TransportEnergyCons!$B$4:$B$10000)*1,ISNUMBER(SEARCH("T_b_c*bev*s4",[1]OUT_TransportEnergyCons!$A$4:$A$10000))*1,[1]OUT_TransportEnergyCons!K$4:K$10000))*1000</f>
        <v>4.2521544598909402E-4</v>
      </c>
      <c r="N2194" s="1" cm="1">
        <f t="array" ref="N2194">(SUMPRODUCT(("var_ncap"=[1]OUT_TransportEnergyCons!$B$4:$B$10000)*1,ISNUMBER(SEARCH("T_b_c*bev*s4",[1]OUT_TransportEnergyCons!$A$4:$A$10000))*1,[1]OUT_TransportEnergyCons!L$4:L$10000))*1000</f>
        <v>4.4640560644867901E-4</v>
      </c>
      <c r="O2194" s="1" cm="1">
        <f t="array" ref="O2194">(SUMPRODUCT(("var_ncap"=[1]OUT_TransportEnergyCons!$B$4:$B$10000)*1,ISNUMBER(SEARCH("T_b_c*bev*s4",[1]OUT_TransportEnergyCons!$A$4:$A$10000))*1,[1]OUT_TransportEnergyCons!M$4:M$10000))*1000</f>
        <v>5.5960788797682591E-4</v>
      </c>
      <c r="P2194" s="1" cm="1">
        <f t="array" ref="P2194">(SUMPRODUCT(("var_ncap"=[1]OUT_TransportEnergyCons!$B$4:$B$10000)*1,ISNUMBER(SEARCH("T_b_c*bev*s4",[1]OUT_TransportEnergyCons!$A$4:$A$10000))*1,[1]OUT_TransportEnergyCons!N$4:N$10000))*1000</f>
        <v>6.037578856030719E-4</v>
      </c>
      <c r="Q2194" s="1" cm="1">
        <f t="array" ref="Q2194">(SUMPRODUCT(("var_ncap"=[1]OUT_TransportEnergyCons!$B$4:$B$10000)*1,ISNUMBER(SEARCH("T_b_c*bev*s4",[1]OUT_TransportEnergyCons!$A$4:$A$10000))*1,[1]OUT_TransportEnergyCons!O$4:O$10000))*1000</f>
        <v>8.8316839235498708E-4</v>
      </c>
      <c r="S2194" s="3"/>
    </row>
    <row r="2195" spans="2:19" x14ac:dyDescent="0.5">
      <c r="B2195" s="5" t="str">
        <f t="shared" si="2247"/>
        <v>SPS1</v>
      </c>
      <c r="C2195" s="5" t="str">
        <f t="shared" si="2248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0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0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0</v>
      </c>
      <c r="M2195" s="1" cm="1">
        <f t="array" ref="M2195">(SUMPRODUCT(("var_ncap"=[1]OUT_TransportEnergyCons!$B$4:$B$10000)*1,ISNUMBER(SEARCH("T_b_c*h2o*s1",[1]OUT_TransportEnergyCons!$A$4:$A$10000))*1,[1]OUT_TransportEnergyCons!K$4:K$10000))*1000</f>
        <v>0</v>
      </c>
      <c r="N2195" s="1" cm="1">
        <f t="array" ref="N2195">(SUMPRODUCT(("var_ncap"=[1]OUT_TransportEnergyCons!$B$4:$B$10000)*1,ISNUMBER(SEARCH("T_b_c*h2o*s1",[1]OUT_TransportEnergyCons!$A$4:$A$10000))*1,[1]OUT_TransportEnergyCons!L$4:L$10000))*1000</f>
        <v>0</v>
      </c>
      <c r="O2195" s="1" cm="1">
        <f t="array" ref="O2195">(SUMPRODUCT(("var_ncap"=[1]OUT_TransportEnergyCons!$B$4:$B$10000)*1,ISNUMBER(SEARCH("T_b_c*h2o*s1",[1]OUT_TransportEnergyCons!$A$4:$A$10000))*1,[1]OUT_TransportEnergyCons!M$4:M$10000))*1000</f>
        <v>0</v>
      </c>
      <c r="P2195" s="1" cm="1">
        <f t="array" ref="P2195">(SUMPRODUCT(("var_ncap"=[1]OUT_TransportEnergyCons!$B$4:$B$10000)*1,ISNUMBER(SEARCH("T_b_c*h2o*s1",[1]OUT_TransportEnergyCons!$A$4:$A$10000))*1,[1]OUT_TransportEnergyCons!N$4:N$10000))*1000</f>
        <v>0</v>
      </c>
      <c r="Q2195" s="1" cm="1">
        <f t="array" ref="Q2195">(SUMPRODUCT(("var_ncap"=[1]OUT_TransportEnergyCons!$B$4:$B$10000)*1,ISNUMBER(SEARCH("T_b_c*h2o*s1",[1]OUT_TransportEnergyCons!$A$4:$A$10000))*1,[1]OUT_TransportEnergyCons!O$4:O$10000))*1000</f>
        <v>0</v>
      </c>
      <c r="S2195" s="3"/>
    </row>
    <row r="2196" spans="2:19" x14ac:dyDescent="0.5">
      <c r="B2196" s="5" t="str">
        <f t="shared" si="2247"/>
        <v>SPS1</v>
      </c>
      <c r="C2196" s="5" t="str">
        <f t="shared" si="2248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0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0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0</v>
      </c>
      <c r="M2196" s="1" cm="1">
        <f t="array" ref="M2196">(SUMPRODUCT(("var_ncap"=[1]OUT_TransportEnergyCons!$B$4:$B$10000)*1,ISNUMBER(SEARCH("T_b_c*h2o*s2",[1]OUT_TransportEnergyCons!$A$4:$A$10000))*1,[1]OUT_TransportEnergyCons!K$4:K$10000))*1000</f>
        <v>0</v>
      </c>
      <c r="N2196" s="1" cm="1">
        <f t="array" ref="N2196">(SUMPRODUCT(("var_ncap"=[1]OUT_TransportEnergyCons!$B$4:$B$10000)*1,ISNUMBER(SEARCH("T_b_c*h2o*s2",[1]OUT_TransportEnergyCons!$A$4:$A$10000))*1,[1]OUT_TransportEnergyCons!L$4:L$10000))*1000</f>
        <v>0</v>
      </c>
      <c r="O2196" s="1" cm="1">
        <f t="array" ref="O2196">(SUMPRODUCT(("var_ncap"=[1]OUT_TransportEnergyCons!$B$4:$B$10000)*1,ISNUMBER(SEARCH("T_b_c*h2o*s2",[1]OUT_TransportEnergyCons!$A$4:$A$10000))*1,[1]OUT_TransportEnergyCons!M$4:M$10000))*1000</f>
        <v>0</v>
      </c>
      <c r="P2196" s="1" cm="1">
        <f t="array" ref="P2196">(SUMPRODUCT(("var_ncap"=[1]OUT_TransportEnergyCons!$B$4:$B$10000)*1,ISNUMBER(SEARCH("T_b_c*h2o*s2",[1]OUT_TransportEnergyCons!$A$4:$A$10000))*1,[1]OUT_TransportEnergyCons!N$4:N$10000))*1000</f>
        <v>0</v>
      </c>
      <c r="Q2196" s="1" cm="1">
        <f t="array" ref="Q2196">(SUMPRODUCT(("var_ncap"=[1]OUT_TransportEnergyCons!$B$4:$B$10000)*1,ISNUMBER(SEARCH("T_b_c*h2o*s2",[1]OUT_TransportEnergyCons!$A$4:$A$10000))*1,[1]OUT_TransportEnergyCons!O$4:O$10000))*1000</f>
        <v>0</v>
      </c>
      <c r="S2196" s="3"/>
    </row>
    <row r="2197" spans="2:19" x14ac:dyDescent="0.5">
      <c r="B2197" s="5" t="str">
        <f t="shared" si="2247"/>
        <v>SPS1</v>
      </c>
      <c r="C2197" s="5" t="str">
        <f t="shared" si="2248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0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0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0</v>
      </c>
      <c r="M2197" s="1" cm="1">
        <f t="array" ref="M2197">(SUMPRODUCT(("var_ncap"=[1]OUT_TransportEnergyCons!$B$4:$B$10000)*1,ISNUMBER(SEARCH("T_b_c*h2o*s3",[1]OUT_TransportEnergyCons!$A$4:$A$10000))*1,[1]OUT_TransportEnergyCons!K$4:K$10000))*1000</f>
        <v>0</v>
      </c>
      <c r="N2197" s="1" cm="1">
        <f t="array" ref="N2197">(SUMPRODUCT(("var_ncap"=[1]OUT_TransportEnergyCons!$B$4:$B$10000)*1,ISNUMBER(SEARCH("T_b_c*h2o*s3",[1]OUT_TransportEnergyCons!$A$4:$A$10000))*1,[1]OUT_TransportEnergyCons!L$4:L$10000))*1000</f>
        <v>0</v>
      </c>
      <c r="O2197" s="1" cm="1">
        <f t="array" ref="O2197">(SUMPRODUCT(("var_ncap"=[1]OUT_TransportEnergyCons!$B$4:$B$10000)*1,ISNUMBER(SEARCH("T_b_c*h2o*s3",[1]OUT_TransportEnergyCons!$A$4:$A$10000))*1,[1]OUT_TransportEnergyCons!M$4:M$10000))*1000</f>
        <v>0</v>
      </c>
      <c r="P2197" s="1" cm="1">
        <f t="array" ref="P2197">(SUMPRODUCT(("var_ncap"=[1]OUT_TransportEnergyCons!$B$4:$B$10000)*1,ISNUMBER(SEARCH("T_b_c*h2o*s3",[1]OUT_TransportEnergyCons!$A$4:$A$10000))*1,[1]OUT_TransportEnergyCons!N$4:N$10000))*1000</f>
        <v>0</v>
      </c>
      <c r="Q2197" s="1" cm="1">
        <f t="array" ref="Q2197">(SUMPRODUCT(("var_ncap"=[1]OUT_TransportEnergyCons!$B$4:$B$10000)*1,ISNUMBER(SEARCH("T_b_c*h2o*s3",[1]OUT_TransportEnergyCons!$A$4:$A$10000))*1,[1]OUT_TransportEnergyCons!O$4:O$10000))*1000</f>
        <v>0</v>
      </c>
      <c r="S2197" s="3"/>
    </row>
    <row r="2198" spans="2:19" x14ac:dyDescent="0.5">
      <c r="B2198" s="5" t="str">
        <f t="shared" ref="B2198:B2232" si="2251">B2197</f>
        <v>SPS1</v>
      </c>
      <c r="C2198" s="5" t="str">
        <f t="shared" ref="C2198:C2232" si="2252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M2198" s="1" cm="1">
        <f t="array" ref="M2198">(SUMPRODUCT(("var_ncap"=[1]OUT_TransportEnergyCons!$B$4:$B$10000)*1,ISNUMBER(SEARCH("T_b_c*h2o*s4",[1]OUT_TransportEnergyCons!$A$4:$A$10000))*1,[1]OUT_TransportEnergyCons!K$4:K$10000))*1000</f>
        <v>0</v>
      </c>
      <c r="N2198" s="1" cm="1">
        <f t="array" ref="N2198">(SUMPRODUCT(("var_ncap"=[1]OUT_TransportEnergyCons!$B$4:$B$10000)*1,ISNUMBER(SEARCH("T_b_c*h2o*s4",[1]OUT_TransportEnergyCons!$A$4:$A$10000))*1,[1]OUT_TransportEnergyCons!L$4:L$10000))*1000</f>
        <v>0</v>
      </c>
      <c r="O2198" s="1" cm="1">
        <f t="array" ref="O2198">(SUMPRODUCT(("var_ncap"=[1]OUT_TransportEnergyCons!$B$4:$B$10000)*1,ISNUMBER(SEARCH("T_b_c*h2o*s4",[1]OUT_TransportEnergyCons!$A$4:$A$10000))*1,[1]OUT_TransportEnergyCons!M$4:M$10000))*1000</f>
        <v>0</v>
      </c>
      <c r="P2198" s="1" cm="1">
        <f t="array" ref="P2198">(SUMPRODUCT(("var_ncap"=[1]OUT_TransportEnergyCons!$B$4:$B$10000)*1,ISNUMBER(SEARCH("T_b_c*h2o*s4",[1]OUT_TransportEnergyCons!$A$4:$A$10000))*1,[1]OUT_TransportEnergyCons!N$4:N$10000))*1000</f>
        <v>0</v>
      </c>
      <c r="Q2198" s="1" cm="1">
        <f t="array" ref="Q2198">(SUMPRODUCT(("var_ncap"=[1]OUT_TransportEnergyCons!$B$4:$B$10000)*1,ISNUMBER(SEARCH("T_b_c*h2o*s4",[1]OUT_TransportEnergyCons!$A$4:$A$10000))*1,[1]OUT_TransportEnergyCons!O$4:O$10000))*1000</f>
        <v>0</v>
      </c>
      <c r="S2198" s="3"/>
    </row>
    <row r="2199" spans="2:19" x14ac:dyDescent="0.5">
      <c r="B2199" s="5" t="str">
        <f t="shared" si="2251"/>
        <v>SPS1</v>
      </c>
      <c r="C2199" s="5" t="str">
        <f t="shared" si="2252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6.4329550910380007E-3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1.1580840923686899E-3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1.34366137517351E-5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0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2.06953617372637E-5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1.8518412562751499E-3</v>
      </c>
      <c r="M2199" s="1" cm="1">
        <f t="array" ref="M2199">(SUMPRODUCT(("var_ncap"=[1]OUT_TransportEnergyCons!$B$4:$B$10000)*1,ISNUMBER(SEARCH("T_b_c*hyb*DSL*s1",[1]OUT_TransportEnergyCons!$A$4:$A$10000))*1,[1]OUT_TransportEnergyCons!K$4:K$10000))*1000</f>
        <v>0</v>
      </c>
      <c r="N2199" s="1" cm="1">
        <f t="array" ref="N2199">(SUMPRODUCT(("var_ncap"=[1]OUT_TransportEnergyCons!$B$4:$B$10000)*1,ISNUMBER(SEARCH("T_b_c*hyb*DSL*s1",[1]OUT_TransportEnergyCons!$A$4:$A$10000))*1,[1]OUT_TransportEnergyCons!L$4:L$10000))*1000</f>
        <v>0</v>
      </c>
      <c r="O2199" s="1" cm="1">
        <f t="array" ref="O2199">(SUMPRODUCT(("var_ncap"=[1]OUT_TransportEnergyCons!$B$4:$B$10000)*1,ISNUMBER(SEARCH("T_b_c*hyb*DSL*s1",[1]OUT_TransportEnergyCons!$A$4:$A$10000))*1,[1]OUT_TransportEnergyCons!M$4:M$10000))*1000</f>
        <v>0</v>
      </c>
      <c r="P2199" s="1" cm="1">
        <f t="array" ref="P2199">(SUMPRODUCT(("var_ncap"=[1]OUT_TransportEnergyCons!$B$4:$B$10000)*1,ISNUMBER(SEARCH("T_b_c*hyb*DSL*s1",[1]OUT_TransportEnergyCons!$A$4:$A$10000))*1,[1]OUT_TransportEnergyCons!N$4:N$10000))*1000</f>
        <v>0</v>
      </c>
      <c r="Q2199" s="1" cm="1">
        <f t="array" ref="Q2199">(SUMPRODUCT(("var_ncap"=[1]OUT_TransportEnergyCons!$B$4:$B$10000)*1,ISNUMBER(SEARCH("T_b_c*hyb*DSL*s1",[1]OUT_TransportEnergyCons!$A$4:$A$10000))*1,[1]OUT_TransportEnergyCons!O$4:O$10000))*1000</f>
        <v>0</v>
      </c>
      <c r="S2199" s="3"/>
    </row>
    <row r="2200" spans="2:19" x14ac:dyDescent="0.5">
      <c r="B2200" s="5" t="str">
        <f t="shared" si="2251"/>
        <v>SPS1</v>
      </c>
      <c r="C2200" s="5" t="str">
        <f t="shared" si="2252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4.4107855077650299E-4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4.1894449987379598E-4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0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0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0</v>
      </c>
      <c r="M2200" s="1" cm="1">
        <f t="array" ref="M2200">(SUMPRODUCT(("var_ncap"=[1]OUT_TransportEnergyCons!$B$4:$B$10000)*1,ISNUMBER(SEARCH("T_b_c*hyb*DSL*s2",[1]OUT_TransportEnergyCons!$A$4:$A$10000))*1,[1]OUT_TransportEnergyCons!K$4:K$10000))*1000</f>
        <v>0</v>
      </c>
      <c r="N2200" s="1" cm="1">
        <f t="array" ref="N2200">(SUMPRODUCT(("var_ncap"=[1]OUT_TransportEnergyCons!$B$4:$B$10000)*1,ISNUMBER(SEARCH("T_b_c*hyb*DSL*s2",[1]OUT_TransportEnergyCons!$A$4:$A$10000))*1,[1]OUT_TransportEnergyCons!L$4:L$10000))*1000</f>
        <v>0</v>
      </c>
      <c r="O2200" s="1" cm="1">
        <f t="array" ref="O2200">(SUMPRODUCT(("var_ncap"=[1]OUT_TransportEnergyCons!$B$4:$B$10000)*1,ISNUMBER(SEARCH("T_b_c*hyb*DSL*s2",[1]OUT_TransportEnergyCons!$A$4:$A$10000))*1,[1]OUT_TransportEnergyCons!M$4:M$10000))*1000</f>
        <v>0</v>
      </c>
      <c r="P2200" s="1" cm="1">
        <f t="array" ref="P2200">(SUMPRODUCT(("var_ncap"=[1]OUT_TransportEnergyCons!$B$4:$B$10000)*1,ISNUMBER(SEARCH("T_b_c*hyb*DSL*s2",[1]OUT_TransportEnergyCons!$A$4:$A$10000))*1,[1]OUT_TransportEnergyCons!N$4:N$10000))*1000</f>
        <v>0</v>
      </c>
      <c r="Q2200" s="1" cm="1">
        <f t="array" ref="Q2200">(SUMPRODUCT(("var_ncap"=[1]OUT_TransportEnergyCons!$B$4:$B$10000)*1,ISNUMBER(SEARCH("T_b_c*hyb*DSL*s2",[1]OUT_TransportEnergyCons!$A$4:$A$10000))*1,[1]OUT_TransportEnergyCons!O$4:O$10000))*1000</f>
        <v>0</v>
      </c>
      <c r="S2200" s="3"/>
    </row>
    <row r="2201" spans="2:19" x14ac:dyDescent="0.5">
      <c r="B2201" s="5" t="str">
        <f t="shared" si="2251"/>
        <v>SPS1</v>
      </c>
      <c r="C2201" s="5" t="str">
        <f t="shared" si="2252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2.06829898095484E-4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1.71994268307418E-4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0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0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0</v>
      </c>
      <c r="M2201" s="1" cm="1">
        <f t="array" ref="M2201">(SUMPRODUCT(("var_ncap"=[1]OUT_TransportEnergyCons!$B$4:$B$10000)*1,ISNUMBER(SEARCH("T_b_c*hyb*DSL*s3",[1]OUT_TransportEnergyCons!$A$4:$A$10000))*1,[1]OUT_TransportEnergyCons!K$4:K$10000))*1000</f>
        <v>0</v>
      </c>
      <c r="N2201" s="1" cm="1">
        <f t="array" ref="N2201">(SUMPRODUCT(("var_ncap"=[1]OUT_TransportEnergyCons!$B$4:$B$10000)*1,ISNUMBER(SEARCH("T_b_c*hyb*DSL*s3",[1]OUT_TransportEnergyCons!$A$4:$A$10000))*1,[1]OUT_TransportEnergyCons!L$4:L$10000))*1000</f>
        <v>0</v>
      </c>
      <c r="O2201" s="1" cm="1">
        <f t="array" ref="O2201">(SUMPRODUCT(("var_ncap"=[1]OUT_TransportEnergyCons!$B$4:$B$10000)*1,ISNUMBER(SEARCH("T_b_c*hyb*DSL*s3",[1]OUT_TransportEnergyCons!$A$4:$A$10000))*1,[1]OUT_TransportEnergyCons!M$4:M$10000))*1000</f>
        <v>0</v>
      </c>
      <c r="P2201" s="1" cm="1">
        <f t="array" ref="P2201">(SUMPRODUCT(("var_ncap"=[1]OUT_TransportEnergyCons!$B$4:$B$10000)*1,ISNUMBER(SEARCH("T_b_c*hyb*DSL*s3",[1]OUT_TransportEnergyCons!$A$4:$A$10000))*1,[1]OUT_TransportEnergyCons!N$4:N$10000))*1000</f>
        <v>0</v>
      </c>
      <c r="Q2201" s="1" cm="1">
        <f t="array" ref="Q2201">(SUMPRODUCT(("var_ncap"=[1]OUT_TransportEnergyCons!$B$4:$B$10000)*1,ISNUMBER(SEARCH("T_b_c*hyb*DSL*s3",[1]OUT_TransportEnergyCons!$A$4:$A$10000))*1,[1]OUT_TransportEnergyCons!O$4:O$10000))*1000</f>
        <v>0</v>
      </c>
      <c r="S2201" s="3"/>
    </row>
    <row r="2202" spans="2:19" x14ac:dyDescent="0.5">
      <c r="B2202" s="5" t="str">
        <f t="shared" si="2251"/>
        <v>SPS1</v>
      </c>
      <c r="C2202" s="5" t="str">
        <f t="shared" si="2252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5.4621987312224799E-5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4.5492358472761197E-5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0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0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0</v>
      </c>
      <c r="M2202" s="1" cm="1">
        <f t="array" ref="M2202">(SUMPRODUCT(("var_ncap"=[1]OUT_TransportEnergyCons!$B$4:$B$10000)*1,ISNUMBER(SEARCH("T_b_c*hyb*DSL*s4",[1]OUT_TransportEnergyCons!$A$4:$A$10000))*1,[1]OUT_TransportEnergyCons!K$4:K$10000))*1000</f>
        <v>0</v>
      </c>
      <c r="N2202" s="1" cm="1">
        <f t="array" ref="N2202">(SUMPRODUCT(("var_ncap"=[1]OUT_TransportEnergyCons!$B$4:$B$10000)*1,ISNUMBER(SEARCH("T_b_c*hyb*DSL*s4",[1]OUT_TransportEnergyCons!$A$4:$A$10000))*1,[1]OUT_TransportEnergyCons!L$4:L$10000))*1000</f>
        <v>0</v>
      </c>
      <c r="O2202" s="1" cm="1">
        <f t="array" ref="O2202">(SUMPRODUCT(("var_ncap"=[1]OUT_TransportEnergyCons!$B$4:$B$10000)*1,ISNUMBER(SEARCH("T_b_c*hyb*DSL*s4",[1]OUT_TransportEnergyCons!$A$4:$A$10000))*1,[1]OUT_TransportEnergyCons!M$4:M$10000))*1000</f>
        <v>0</v>
      </c>
      <c r="P2202" s="1" cm="1">
        <f t="array" ref="P2202">(SUMPRODUCT(("var_ncap"=[1]OUT_TransportEnergyCons!$B$4:$B$10000)*1,ISNUMBER(SEARCH("T_b_c*hyb*DSL*s4",[1]OUT_TransportEnergyCons!$A$4:$A$10000))*1,[1]OUT_TransportEnergyCons!N$4:N$10000))*1000</f>
        <v>0</v>
      </c>
      <c r="Q2202" s="1" cm="1">
        <f t="array" ref="Q2202">(SUMPRODUCT(("var_ncap"=[1]OUT_TransportEnergyCons!$B$4:$B$10000)*1,ISNUMBER(SEARCH("T_b_c*hyb*DSL*s4",[1]OUT_TransportEnergyCons!$A$4:$A$10000))*1,[1]OUT_TransportEnergyCons!O$4:O$10000))*1000</f>
        <v>0</v>
      </c>
      <c r="S2202" s="3"/>
    </row>
    <row r="2203" spans="2:19" x14ac:dyDescent="0.5">
      <c r="B2203" s="5" t="str">
        <f t="shared" si="2251"/>
        <v>SPS1</v>
      </c>
      <c r="C2203" s="5" t="str">
        <f t="shared" si="2252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M2203" s="1" cm="1">
        <f t="array" ref="M2203">(SUMPRODUCT(("var_ncap"=[1]OUT_TransportEnergyCons!$B$4:$B$10000)*1,ISNUMBER(SEARCH("T_b_c*ICE*DSL*ext",[1]OUT_TransportEnergyCons!$A$4:$A$10000))*1,[1]OUT_TransportEnergyCons!K$4:K$10000))*1000</f>
        <v>0</v>
      </c>
      <c r="N2203" s="1" cm="1">
        <f t="array" ref="N2203">(SUMPRODUCT(("var_ncap"=[1]OUT_TransportEnergyCons!$B$4:$B$10000)*1,ISNUMBER(SEARCH("T_b_c*ICE*DSL*ext",[1]OUT_TransportEnergyCons!$A$4:$A$10000))*1,[1]OUT_TransportEnergyCons!L$4:L$10000))*1000</f>
        <v>0</v>
      </c>
      <c r="O2203" s="1" cm="1">
        <f t="array" ref="O2203">(SUMPRODUCT(("var_ncap"=[1]OUT_TransportEnergyCons!$B$4:$B$10000)*1,ISNUMBER(SEARCH("T_b_c*ICE*DSL*ext",[1]OUT_TransportEnergyCons!$A$4:$A$10000))*1,[1]OUT_TransportEnergyCons!M$4:M$10000))*1000</f>
        <v>0</v>
      </c>
      <c r="P2203" s="1" cm="1">
        <f t="array" ref="P2203">(SUMPRODUCT(("var_ncap"=[1]OUT_TransportEnergyCons!$B$4:$B$10000)*1,ISNUMBER(SEARCH("T_b_c*ICE*DSL*ext",[1]OUT_TransportEnergyCons!$A$4:$A$10000))*1,[1]OUT_TransportEnergyCons!N$4:N$10000))*1000</f>
        <v>0</v>
      </c>
      <c r="Q2203" s="1" cm="1">
        <f t="array" ref="Q2203">(SUMPRODUCT(("var_ncap"=[1]OUT_TransportEnergyCons!$B$4:$B$10000)*1,ISNUMBER(SEARCH("T_b_c*ICE*DSL*ext",[1]OUT_TransportEnergyCons!$A$4:$A$10000))*1,[1]OUT_TransportEnergyCons!O$4:O$10000))*1000</f>
        <v>0</v>
      </c>
      <c r="S2203" s="3"/>
    </row>
    <row r="2204" spans="2:19" x14ac:dyDescent="0.5">
      <c r="B2204" s="5" t="str">
        <f t="shared" si="2251"/>
        <v>SPS1</v>
      </c>
      <c r="C2204" s="5" t="str">
        <f t="shared" si="2252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0.48857091813404602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0.18904300343503502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3.2062321532552897E-4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0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1.0436584636562699E-5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3.7880261108666904E-5</v>
      </c>
      <c r="M2204" s="1" cm="1">
        <f t="array" ref="M2204">(SUMPRODUCT(("var_ncap"=[1]OUT_TransportEnergyCons!$B$4:$B$10000)*1,ISNUMBER(SEARCH("T_b_c*ICE*DSL*s1",[1]OUT_TransportEnergyCons!$A$4:$A$10000))*1,[1]OUT_TransportEnergyCons!K$4:K$10000))*1000</f>
        <v>0</v>
      </c>
      <c r="N2204" s="1" cm="1">
        <f t="array" ref="N2204">(SUMPRODUCT(("var_ncap"=[1]OUT_TransportEnergyCons!$B$4:$B$10000)*1,ISNUMBER(SEARCH("T_b_c*ICE*DSL*s1",[1]OUT_TransportEnergyCons!$A$4:$A$10000))*1,[1]OUT_TransportEnergyCons!L$4:L$10000))*1000</f>
        <v>0</v>
      </c>
      <c r="O2204" s="1" cm="1">
        <f t="array" ref="O2204">(SUMPRODUCT(("var_ncap"=[1]OUT_TransportEnergyCons!$B$4:$B$10000)*1,ISNUMBER(SEARCH("T_b_c*ICE*DSL*s1",[1]OUT_TransportEnergyCons!$A$4:$A$10000))*1,[1]OUT_TransportEnergyCons!M$4:M$10000))*1000</f>
        <v>0</v>
      </c>
      <c r="P2204" s="1" cm="1">
        <f t="array" ref="P2204">(SUMPRODUCT(("var_ncap"=[1]OUT_TransportEnergyCons!$B$4:$B$10000)*1,ISNUMBER(SEARCH("T_b_c*ICE*DSL*s1",[1]OUT_TransportEnergyCons!$A$4:$A$10000))*1,[1]OUT_TransportEnergyCons!N$4:N$10000))*1000</f>
        <v>0</v>
      </c>
      <c r="Q2204" s="1" cm="1">
        <f t="array" ref="Q2204">(SUMPRODUCT(("var_ncap"=[1]OUT_TransportEnergyCons!$B$4:$B$10000)*1,ISNUMBER(SEARCH("T_b_c*ICE*DSL*s1",[1]OUT_TransportEnergyCons!$A$4:$A$10000))*1,[1]OUT_TransportEnergyCons!O$4:O$10000))*1000</f>
        <v>0</v>
      </c>
      <c r="S2204" s="3"/>
    </row>
    <row r="2205" spans="2:19" x14ac:dyDescent="0.5">
      <c r="B2205" s="5" t="str">
        <f t="shared" si="2251"/>
        <v>SPS1</v>
      </c>
      <c r="C2205" s="5" t="str">
        <f t="shared" si="2252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6.2270677176998006E-4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1.2337470162676202E-3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1.3168507665800101E-5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0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0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1.33378142692385E-5</v>
      </c>
      <c r="M2205" s="1" cm="1">
        <f t="array" ref="M2205">(SUMPRODUCT(("var_ncap"=[1]OUT_TransportEnergyCons!$B$4:$B$10000)*1,ISNUMBER(SEARCH("T_b_c*ICE*DSL*s2",[1]OUT_TransportEnergyCons!$A$4:$A$10000))*1,[1]OUT_TransportEnergyCons!K$4:K$10000))*1000</f>
        <v>0</v>
      </c>
      <c r="N2205" s="1" cm="1">
        <f t="array" ref="N2205">(SUMPRODUCT(("var_ncap"=[1]OUT_TransportEnergyCons!$B$4:$B$10000)*1,ISNUMBER(SEARCH("T_b_c*ICE*DSL*s2",[1]OUT_TransportEnergyCons!$A$4:$A$10000))*1,[1]OUT_TransportEnergyCons!L$4:L$10000))*1000</f>
        <v>0</v>
      </c>
      <c r="O2205" s="1" cm="1">
        <f t="array" ref="O2205">(SUMPRODUCT(("var_ncap"=[1]OUT_TransportEnergyCons!$B$4:$B$10000)*1,ISNUMBER(SEARCH("T_b_c*ICE*DSL*s2",[1]OUT_TransportEnergyCons!$A$4:$A$10000))*1,[1]OUT_TransportEnergyCons!M$4:M$10000))*1000</f>
        <v>0</v>
      </c>
      <c r="P2205" s="1" cm="1">
        <f t="array" ref="P2205">(SUMPRODUCT(("var_ncap"=[1]OUT_TransportEnergyCons!$B$4:$B$10000)*1,ISNUMBER(SEARCH("T_b_c*ICE*DSL*s2",[1]OUT_TransportEnergyCons!$A$4:$A$10000))*1,[1]OUT_TransportEnergyCons!N$4:N$10000))*1000</f>
        <v>0</v>
      </c>
      <c r="Q2205" s="1" cm="1">
        <f t="array" ref="Q2205">(SUMPRODUCT(("var_ncap"=[1]OUT_TransportEnergyCons!$B$4:$B$10000)*1,ISNUMBER(SEARCH("T_b_c*ICE*DSL*s2",[1]OUT_TransportEnergyCons!$A$4:$A$10000))*1,[1]OUT_TransportEnergyCons!O$4:O$10000))*1000</f>
        <v>0</v>
      </c>
      <c r="S2205" s="3"/>
    </row>
    <row r="2206" spans="2:19" x14ac:dyDescent="0.5">
      <c r="B2206" s="5" t="str">
        <f t="shared" si="2251"/>
        <v>SPS1</v>
      </c>
      <c r="C2206" s="5" t="str">
        <f t="shared" si="2252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2.7567573504694401E-4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3.1694640965968099E-4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0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0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0</v>
      </c>
      <c r="M2206" s="1" cm="1">
        <f t="array" ref="M2206">(SUMPRODUCT(("var_ncap"=[1]OUT_TransportEnergyCons!$B$4:$B$10000)*1,ISNUMBER(SEARCH("T_b_c*ICE*DSL*s3",[1]OUT_TransportEnergyCons!$A$4:$A$10000))*1,[1]OUT_TransportEnergyCons!K$4:K$10000))*1000</f>
        <v>0</v>
      </c>
      <c r="N2206" s="1" cm="1">
        <f t="array" ref="N2206">(SUMPRODUCT(("var_ncap"=[1]OUT_TransportEnergyCons!$B$4:$B$10000)*1,ISNUMBER(SEARCH("T_b_c*ICE*DSL*s3",[1]OUT_TransportEnergyCons!$A$4:$A$10000))*1,[1]OUT_TransportEnergyCons!L$4:L$10000))*1000</f>
        <v>0</v>
      </c>
      <c r="O2206" s="1" cm="1">
        <f t="array" ref="O2206">(SUMPRODUCT(("var_ncap"=[1]OUT_TransportEnergyCons!$B$4:$B$10000)*1,ISNUMBER(SEARCH("T_b_c*ICE*DSL*s3",[1]OUT_TransportEnergyCons!$A$4:$A$10000))*1,[1]OUT_TransportEnergyCons!M$4:M$10000))*1000</f>
        <v>0</v>
      </c>
      <c r="P2206" s="1" cm="1">
        <f t="array" ref="P2206">(SUMPRODUCT(("var_ncap"=[1]OUT_TransportEnergyCons!$B$4:$B$10000)*1,ISNUMBER(SEARCH("T_b_c*ICE*DSL*s3",[1]OUT_TransportEnergyCons!$A$4:$A$10000))*1,[1]OUT_TransportEnergyCons!N$4:N$10000))*1000</f>
        <v>0</v>
      </c>
      <c r="Q2206" s="1" cm="1">
        <f t="array" ref="Q2206">(SUMPRODUCT(("var_ncap"=[1]OUT_TransportEnergyCons!$B$4:$B$10000)*1,ISNUMBER(SEARCH("T_b_c*ICE*DSL*s3",[1]OUT_TransportEnergyCons!$A$4:$A$10000))*1,[1]OUT_TransportEnergyCons!O$4:O$10000))*1000</f>
        <v>0</v>
      </c>
      <c r="S2206" s="3"/>
    </row>
    <row r="2207" spans="2:19" x14ac:dyDescent="0.5">
      <c r="B2207" s="5" t="str">
        <f t="shared" si="2251"/>
        <v>SPS1</v>
      </c>
      <c r="C2207" s="5" t="str">
        <f t="shared" si="2252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5.94016908075982E-5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5.4750226536343499E-5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0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0</v>
      </c>
      <c r="M2207" s="1" cm="1">
        <f t="array" ref="M2207">(SUMPRODUCT(("var_ncap"=[1]OUT_TransportEnergyCons!$B$4:$B$10000)*1,ISNUMBER(SEARCH("T_b_c*ICE*DSL*s4",[1]OUT_TransportEnergyCons!$A$4:$A$10000))*1,[1]OUT_TransportEnergyCons!K$4:K$10000))*1000</f>
        <v>0</v>
      </c>
      <c r="N2207" s="1" cm="1">
        <f t="array" ref="N2207">(SUMPRODUCT(("var_ncap"=[1]OUT_TransportEnergyCons!$B$4:$B$10000)*1,ISNUMBER(SEARCH("T_b_c*ICE*DSL*s4",[1]OUT_TransportEnergyCons!$A$4:$A$10000))*1,[1]OUT_TransportEnergyCons!L$4:L$10000))*1000</f>
        <v>0</v>
      </c>
      <c r="O2207" s="1" cm="1">
        <f t="array" ref="O2207">(SUMPRODUCT(("var_ncap"=[1]OUT_TransportEnergyCons!$B$4:$B$10000)*1,ISNUMBER(SEARCH("T_b_c*ICE*DSL*s4",[1]OUT_TransportEnergyCons!$A$4:$A$10000))*1,[1]OUT_TransportEnergyCons!M$4:M$10000))*1000</f>
        <v>0</v>
      </c>
      <c r="P2207" s="1" cm="1">
        <f t="array" ref="P2207">(SUMPRODUCT(("var_ncap"=[1]OUT_TransportEnergyCons!$B$4:$B$10000)*1,ISNUMBER(SEARCH("T_b_c*ICE*DSL*s4",[1]OUT_TransportEnergyCons!$A$4:$A$10000))*1,[1]OUT_TransportEnergyCons!N$4:N$10000))*1000</f>
        <v>0</v>
      </c>
      <c r="Q2207" s="1" cm="1">
        <f t="array" ref="Q2207">(SUMPRODUCT(("var_ncap"=[1]OUT_TransportEnergyCons!$B$4:$B$10000)*1,ISNUMBER(SEARCH("T_b_c*ICE*DSL*s4",[1]OUT_TransportEnergyCons!$A$4:$A$10000))*1,[1]OUT_TransportEnergyCons!O$4:O$10000))*1000</f>
        <v>0</v>
      </c>
      <c r="S2207" s="3"/>
    </row>
    <row r="2208" spans="2:19" x14ac:dyDescent="0.5">
      <c r="B2208" s="5" t="str">
        <f t="shared" si="2251"/>
        <v>SPS1</v>
      </c>
      <c r="C2208" s="5" t="str">
        <f t="shared" si="2252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M2208" s="1" cm="1">
        <f t="array" ref="M2208">(SUMPRODUCT(("var_ncap"=[1]OUT_TransportEnergyCons!$B$4:$B$10000)*1,ISNUMBER(SEARCH("T_b_c*ICE*nga*ext",[1]OUT_TransportEnergyCons!$A$4:$A$10000))*1,[1]OUT_TransportEnergyCons!K$4:K$10000))*1000</f>
        <v>0</v>
      </c>
      <c r="N2208" s="1" cm="1">
        <f t="array" ref="N2208">(SUMPRODUCT(("var_ncap"=[1]OUT_TransportEnergyCons!$B$4:$B$10000)*1,ISNUMBER(SEARCH("T_b_c*ICE*nga*ext",[1]OUT_TransportEnergyCons!$A$4:$A$10000))*1,[1]OUT_TransportEnergyCons!L$4:L$10000))*1000</f>
        <v>0</v>
      </c>
      <c r="O2208" s="1" cm="1">
        <f t="array" ref="O2208">(SUMPRODUCT(("var_ncap"=[1]OUT_TransportEnergyCons!$B$4:$B$10000)*1,ISNUMBER(SEARCH("T_b_c*ICE*nga*ext",[1]OUT_TransportEnergyCons!$A$4:$A$10000))*1,[1]OUT_TransportEnergyCons!M$4:M$10000))*1000</f>
        <v>0</v>
      </c>
      <c r="P2208" s="1" cm="1">
        <f t="array" ref="P2208">(SUMPRODUCT(("var_ncap"=[1]OUT_TransportEnergyCons!$B$4:$B$10000)*1,ISNUMBER(SEARCH("T_b_c*ICE*nga*ext",[1]OUT_TransportEnergyCons!$A$4:$A$10000))*1,[1]OUT_TransportEnergyCons!N$4:N$10000))*1000</f>
        <v>0</v>
      </c>
      <c r="Q2208" s="1" cm="1">
        <f t="array" ref="Q2208">(SUMPRODUCT(("var_ncap"=[1]OUT_TransportEnergyCons!$B$4:$B$10000)*1,ISNUMBER(SEARCH("T_b_c*ICE*nga*ext",[1]OUT_TransportEnergyCons!$A$4:$A$10000))*1,[1]OUT_TransportEnergyCons!O$4:O$10000))*1000</f>
        <v>0</v>
      </c>
      <c r="S2208" s="3"/>
    </row>
    <row r="2209" spans="2:19" x14ac:dyDescent="0.5">
      <c r="B2209" s="5" t="str">
        <f t="shared" si="2251"/>
        <v>SPS1</v>
      </c>
      <c r="C2209" s="5" t="str">
        <f t="shared" si="2252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7.7273638892111991E-4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9.0615772845925296E-3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1.42015717686862E-3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1.08818215183066E-5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2.73477655892455E-5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5.1303796042317497E-3</v>
      </c>
      <c r="M2209" s="1" cm="1">
        <f t="array" ref="M2209">(SUMPRODUCT(("var_ncap"=[1]OUT_TransportEnergyCons!$B$4:$B$10000)*1,ISNUMBER(SEARCH("T_b_c*ICE*nga*s1",[1]OUT_TransportEnergyCons!$A$4:$A$10000))*1,[1]OUT_TransportEnergyCons!K$4:K$10000))*1000</f>
        <v>0</v>
      </c>
      <c r="N2209" s="1" cm="1">
        <f t="array" ref="N2209">(SUMPRODUCT(("var_ncap"=[1]OUT_TransportEnergyCons!$B$4:$B$10000)*1,ISNUMBER(SEARCH("T_b_c*ICE*nga*s1",[1]OUT_TransportEnergyCons!$A$4:$A$10000))*1,[1]OUT_TransportEnergyCons!L$4:L$10000))*1000</f>
        <v>0</v>
      </c>
      <c r="O2209" s="1" cm="1">
        <f t="array" ref="O2209">(SUMPRODUCT(("var_ncap"=[1]OUT_TransportEnergyCons!$B$4:$B$10000)*1,ISNUMBER(SEARCH("T_b_c*ICE*nga*s1",[1]OUT_TransportEnergyCons!$A$4:$A$10000))*1,[1]OUT_TransportEnergyCons!M$4:M$10000))*1000</f>
        <v>0</v>
      </c>
      <c r="P2209" s="1" cm="1">
        <f t="array" ref="P2209">(SUMPRODUCT(("var_ncap"=[1]OUT_TransportEnergyCons!$B$4:$B$10000)*1,ISNUMBER(SEARCH("T_b_c*ICE*nga*s1",[1]OUT_TransportEnergyCons!$A$4:$A$10000))*1,[1]OUT_TransportEnergyCons!N$4:N$10000))*1000</f>
        <v>0</v>
      </c>
      <c r="Q2209" s="1" cm="1">
        <f t="array" ref="Q2209">(SUMPRODUCT(("var_ncap"=[1]OUT_TransportEnergyCons!$B$4:$B$10000)*1,ISNUMBER(SEARCH("T_b_c*ICE*nga*s1",[1]OUT_TransportEnergyCons!$A$4:$A$10000))*1,[1]OUT_TransportEnergyCons!O$4:O$10000))*1000</f>
        <v>0</v>
      </c>
      <c r="S2209" s="3"/>
    </row>
    <row r="2210" spans="2:19" x14ac:dyDescent="0.5">
      <c r="B2210" s="5" t="str">
        <f t="shared" si="2251"/>
        <v>SPS1</v>
      </c>
      <c r="C2210" s="5" t="str">
        <f t="shared" si="2252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2.15785440318471E-4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6.3780782644997898E-4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0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0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3.6102591078029899E-5</v>
      </c>
      <c r="M2210" s="1" cm="1">
        <f t="array" ref="M2210">(SUMPRODUCT(("var_ncap"=[1]OUT_TransportEnergyCons!$B$4:$B$10000)*1,ISNUMBER(SEARCH("T_b_c*ICE*nga*s2",[1]OUT_TransportEnergyCons!$A$4:$A$10000))*1,[1]OUT_TransportEnergyCons!K$4:K$10000))*1000</f>
        <v>0</v>
      </c>
      <c r="N2210" s="1" cm="1">
        <f t="array" ref="N2210">(SUMPRODUCT(("var_ncap"=[1]OUT_TransportEnergyCons!$B$4:$B$10000)*1,ISNUMBER(SEARCH("T_b_c*ICE*nga*s2",[1]OUT_TransportEnergyCons!$A$4:$A$10000))*1,[1]OUT_TransportEnergyCons!L$4:L$10000))*1000</f>
        <v>0</v>
      </c>
      <c r="O2210" s="1" cm="1">
        <f t="array" ref="O2210">(SUMPRODUCT(("var_ncap"=[1]OUT_TransportEnergyCons!$B$4:$B$10000)*1,ISNUMBER(SEARCH("T_b_c*ICE*nga*s2",[1]OUT_TransportEnergyCons!$A$4:$A$10000))*1,[1]OUT_TransportEnergyCons!M$4:M$10000))*1000</f>
        <v>0</v>
      </c>
      <c r="P2210" s="1" cm="1">
        <f t="array" ref="P2210">(SUMPRODUCT(("var_ncap"=[1]OUT_TransportEnergyCons!$B$4:$B$10000)*1,ISNUMBER(SEARCH("T_b_c*ICE*nga*s2",[1]OUT_TransportEnergyCons!$A$4:$A$10000))*1,[1]OUT_TransportEnergyCons!N$4:N$10000))*1000</f>
        <v>0</v>
      </c>
      <c r="Q2210" s="1" cm="1">
        <f t="array" ref="Q2210">(SUMPRODUCT(("var_ncap"=[1]OUT_TransportEnergyCons!$B$4:$B$10000)*1,ISNUMBER(SEARCH("T_b_c*ICE*nga*s2",[1]OUT_TransportEnergyCons!$A$4:$A$10000))*1,[1]OUT_TransportEnergyCons!O$4:O$10000))*1000</f>
        <v>0</v>
      </c>
      <c r="S2210" s="3"/>
    </row>
    <row r="2211" spans="2:19" x14ac:dyDescent="0.5">
      <c r="B2211" s="5" t="str">
        <f t="shared" si="2251"/>
        <v>SPS1</v>
      </c>
      <c r="C2211" s="5" t="str">
        <f t="shared" si="2252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1.2365657405367898E-4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2.6500370064545798E-4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0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0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0</v>
      </c>
      <c r="M2211" s="1" cm="1">
        <f t="array" ref="M2211">(SUMPRODUCT(("var_ncap"=[1]OUT_TransportEnergyCons!$B$4:$B$10000)*1,ISNUMBER(SEARCH("T_b_c*ICE*nga*s3",[1]OUT_TransportEnergyCons!$A$4:$A$10000))*1,[1]OUT_TransportEnergyCons!K$4:K$10000))*1000</f>
        <v>0</v>
      </c>
      <c r="N2211" s="1" cm="1">
        <f t="array" ref="N2211">(SUMPRODUCT(("var_ncap"=[1]OUT_TransportEnergyCons!$B$4:$B$10000)*1,ISNUMBER(SEARCH("T_b_c*ICE*nga*s3",[1]OUT_TransportEnergyCons!$A$4:$A$10000))*1,[1]OUT_TransportEnergyCons!L$4:L$10000))*1000</f>
        <v>0</v>
      </c>
      <c r="O2211" s="1" cm="1">
        <f t="array" ref="O2211">(SUMPRODUCT(("var_ncap"=[1]OUT_TransportEnergyCons!$B$4:$B$10000)*1,ISNUMBER(SEARCH("T_b_c*ICE*nga*s3",[1]OUT_TransportEnergyCons!$A$4:$A$10000))*1,[1]OUT_TransportEnergyCons!M$4:M$10000))*1000</f>
        <v>0</v>
      </c>
      <c r="P2211" s="1" cm="1">
        <f t="array" ref="P2211">(SUMPRODUCT(("var_ncap"=[1]OUT_TransportEnergyCons!$B$4:$B$10000)*1,ISNUMBER(SEARCH("T_b_c*ICE*nga*s3",[1]OUT_TransportEnergyCons!$A$4:$A$10000))*1,[1]OUT_TransportEnergyCons!N$4:N$10000))*1000</f>
        <v>0</v>
      </c>
      <c r="Q2211" s="1" cm="1">
        <f t="array" ref="Q2211">(SUMPRODUCT(("var_ncap"=[1]OUT_TransportEnergyCons!$B$4:$B$10000)*1,ISNUMBER(SEARCH("T_b_c*ICE*nga*s3",[1]OUT_TransportEnergyCons!$A$4:$A$10000))*1,[1]OUT_TransportEnergyCons!O$4:O$10000))*1000</f>
        <v>0</v>
      </c>
      <c r="S2211" s="3"/>
    </row>
    <row r="2212" spans="2:19" x14ac:dyDescent="0.5">
      <c r="B2212" s="5" t="str">
        <f t="shared" si="2251"/>
        <v>SPS1</v>
      </c>
      <c r="C2212" s="5" t="str">
        <f t="shared" si="2252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3.8933206836186302E-5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5.0101920402693399E-5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0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0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0</v>
      </c>
      <c r="M2212" s="1" cm="1">
        <f t="array" ref="M2212">(SUMPRODUCT(("var_ncap"=[1]OUT_TransportEnergyCons!$B$4:$B$10000)*1,ISNUMBER(SEARCH("T_b_c*ICE*nga*s4",[1]OUT_TransportEnergyCons!$A$4:$A$10000))*1,[1]OUT_TransportEnergyCons!K$4:K$10000))*1000</f>
        <v>0</v>
      </c>
      <c r="N2212" s="1" cm="1">
        <f t="array" ref="N2212">(SUMPRODUCT(("var_ncap"=[1]OUT_TransportEnergyCons!$B$4:$B$10000)*1,ISNUMBER(SEARCH("T_b_c*ICE*nga*s4",[1]OUT_TransportEnergyCons!$A$4:$A$10000))*1,[1]OUT_TransportEnergyCons!L$4:L$10000))*1000</f>
        <v>0</v>
      </c>
      <c r="O2212" s="1" cm="1">
        <f t="array" ref="O2212">(SUMPRODUCT(("var_ncap"=[1]OUT_TransportEnergyCons!$B$4:$B$10000)*1,ISNUMBER(SEARCH("T_b_c*ICE*nga*s4",[1]OUT_TransportEnergyCons!$A$4:$A$10000))*1,[1]OUT_TransportEnergyCons!M$4:M$10000))*1000</f>
        <v>0</v>
      </c>
      <c r="P2212" s="1" cm="1">
        <f t="array" ref="P2212">(SUMPRODUCT(("var_ncap"=[1]OUT_TransportEnergyCons!$B$4:$B$10000)*1,ISNUMBER(SEARCH("T_b_c*ICE*nga*s4",[1]OUT_TransportEnergyCons!$A$4:$A$10000))*1,[1]OUT_TransportEnergyCons!N$4:N$10000))*1000</f>
        <v>0</v>
      </c>
      <c r="Q2212" s="1" cm="1">
        <f t="array" ref="Q2212">(SUMPRODUCT(("var_ncap"=[1]OUT_TransportEnergyCons!$B$4:$B$10000)*1,ISNUMBER(SEARCH("T_b_c*ICE*nga*s4",[1]OUT_TransportEnergyCons!$A$4:$A$10000))*1,[1]OUT_TransportEnergyCons!O$4:O$10000))*1000</f>
        <v>0</v>
      </c>
      <c r="S2212" s="3"/>
    </row>
    <row r="2213" spans="2:19" x14ac:dyDescent="0.5">
      <c r="B2213" s="5" t="str">
        <f t="shared" si="2251"/>
        <v>SPS1</v>
      </c>
      <c r="C2213" s="5" t="str">
        <f t="shared" si="2252"/>
        <v>CH</v>
      </c>
      <c r="D2213" s="2" t="s">
        <v>2342</v>
      </c>
      <c r="E2213" s="2" t="s">
        <v>1999</v>
      </c>
      <c r="F2213" s="3">
        <f t="shared" ref="F2213:K2213" si="2253">SUM(F2214:F2222)</f>
        <v>1.0153010322589901E-5</v>
      </c>
      <c r="G2213" s="3">
        <f t="shared" si="2253"/>
        <v>15.040415926885737</v>
      </c>
      <c r="H2213" s="3">
        <f t="shared" si="2253"/>
        <v>63.473793117825004</v>
      </c>
      <c r="I2213" s="3">
        <f t="shared" si="2253"/>
        <v>170.73634027559621</v>
      </c>
      <c r="J2213" s="3">
        <f t="shared" si="2253"/>
        <v>240.65827717291114</v>
      </c>
      <c r="K2213" s="3">
        <f t="shared" si="2253"/>
        <v>214.03535917932075</v>
      </c>
      <c r="L2213" s="3">
        <f t="shared" ref="L2213:O2213" si="2254">SUM(L2214:L2222)</f>
        <v>163.376110667066</v>
      </c>
      <c r="M2213" s="3">
        <f t="shared" si="2254"/>
        <v>301.74543514989006</v>
      </c>
      <c r="N2213" s="3">
        <f t="shared" si="2254"/>
        <v>181.44311301302272</v>
      </c>
      <c r="O2213" s="3">
        <f t="shared" si="2254"/>
        <v>237.0902712303826</v>
      </c>
      <c r="P2213" s="3">
        <f>SUM(P2214:P2222)</f>
        <v>319.77106596413586</v>
      </c>
      <c r="Q2213" s="3">
        <f>SUM(Q2214:Q2222)</f>
        <v>124.46220320064553</v>
      </c>
      <c r="S2213" s="3"/>
    </row>
    <row r="2214" spans="2:19" x14ac:dyDescent="0.5">
      <c r="B2214" s="5" t="str">
        <f t="shared" si="2251"/>
        <v>SPS1</v>
      </c>
      <c r="C2214" s="5" t="str">
        <f t="shared" si="2252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M2214" s="1" cm="1">
        <f t="array" ref="M2214">(SUMPRODUCT(("var_ncap"=[1]OUT_TransportEnergyCons!$B$4:$B$10000)*1,("-"=[1]OUT_TransportEnergyCons!$C$4:$C$10000)*1,ISNUMBER(SEARCH("tfl*bev*ext",[1]OUT_TransportEnergyCons!$A$4:$A$10000))*1,[1]OUT_TransportEnergyCons!K$4:K$10000))*1000</f>
        <v>0</v>
      </c>
      <c r="N2214" s="1" cm="1">
        <f t="array" ref="N2214">(SUMPRODUCT(("var_ncap"=[1]OUT_TransportEnergyCons!$B$4:$B$10000)*1,("-"=[1]OUT_TransportEnergyCons!$C$4:$C$10000)*1,ISNUMBER(SEARCH("tfl*bev*ext",[1]OUT_TransportEnergyCons!$A$4:$A$10000))*1,[1]OUT_TransportEnergyCons!L$4:L$10000))*1000</f>
        <v>0</v>
      </c>
      <c r="O2214" s="1" cm="1">
        <f t="array" ref="O2214">(SUMPRODUCT(("var_ncap"=[1]OUT_TransportEnergyCons!$B$4:$B$10000)*1,("-"=[1]OUT_TransportEnergyCons!$C$4:$C$10000)*1,ISNUMBER(SEARCH("tfl*bev*ext",[1]OUT_TransportEnergyCons!$A$4:$A$10000))*1,[1]OUT_TransportEnergyCons!M$4:M$10000))*1000</f>
        <v>0</v>
      </c>
      <c r="P2214" s="1" cm="1">
        <f t="array" ref="P2214">(SUMPRODUCT(("var_ncap"=[1]OUT_TransportEnergyCons!$B$4:$B$10000)*1,("-"=[1]OUT_TransportEnergyCons!$C$4:$C$10000)*1,ISNUMBER(SEARCH("tfl*bev*ext",[1]OUT_TransportEnergyCons!$A$4:$A$10000))*1,[1]OUT_TransportEnergyCons!N$4:N$10000))*1000</f>
        <v>0</v>
      </c>
      <c r="Q2214" s="1" cm="1">
        <f t="array" ref="Q2214">(SUMPRODUCT(("var_ncap"=[1]OUT_TransportEnergyCons!$B$4:$B$10000)*1,("-"=[1]OUT_TransportEnergyCons!$C$4:$C$10000)*1,ISNUMBER(SEARCH("tfl*bev*ext",[1]OUT_TransportEnergyCons!$A$4:$A$10000))*1,[1]OUT_TransportEnergyCons!O$4:O$10000))*1000</f>
        <v>0</v>
      </c>
      <c r="S2214" s="3"/>
    </row>
    <row r="2215" spans="2:19" x14ac:dyDescent="0.5">
      <c r="B2215" s="5" t="str">
        <f t="shared" si="2251"/>
        <v>SPS1</v>
      </c>
      <c r="C2215" s="5" t="str">
        <f t="shared" si="2252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1.1493619501272099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1.8191816037683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76.201031495234801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240.65822914819802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214.03530642279699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163.376066641292</v>
      </c>
      <c r="M2215" s="1" cm="1">
        <f t="array" ref="M2215">(SUMPRODUCT(("var_ncap"=[1]OUT_TransportEnergyCons!$B$4:$B$10000)*1,("-"=[1]OUT_TransportEnergyCons!$C$4:$C$10000)*1,ISNUMBER(SEARCH("tfl*bev*",[1]OUT_TransportEnergyCons!$A$4:$A$10000))*1,[1]OUT_TransportEnergyCons!K$4:K$10000))*1000-M2214</f>
        <v>301.74538568598103</v>
      </c>
      <c r="N2215" s="1" cm="1">
        <f t="array" ref="N2215">(SUMPRODUCT(("var_ncap"=[1]OUT_TransportEnergyCons!$B$4:$B$10000)*1,("-"=[1]OUT_TransportEnergyCons!$C$4:$C$10000)*1,ISNUMBER(SEARCH("tfl*bev*",[1]OUT_TransportEnergyCons!$A$4:$A$10000))*1,[1]OUT_TransportEnergyCons!L$4:L$10000))*1000-N2214</f>
        <v>181.44307177876101</v>
      </c>
      <c r="O2215" s="1" cm="1">
        <f t="array" ref="O2215">(SUMPRODUCT(("var_ncap"=[1]OUT_TransportEnergyCons!$B$4:$B$10000)*1,("-"=[1]OUT_TransportEnergyCons!$C$4:$C$10000)*1,ISNUMBER(SEARCH("tfl*bev*",[1]OUT_TransportEnergyCons!$A$4:$A$10000))*1,[1]OUT_TransportEnergyCons!M$4:M$10000))*1000-O2214</f>
        <v>237.090231498468</v>
      </c>
      <c r="P2215" s="1" cm="1">
        <f t="array" ref="P2215">(SUMPRODUCT(("var_ncap"=[1]OUT_TransportEnergyCons!$B$4:$B$10000)*1,("-"=[1]OUT_TransportEnergyCons!$C$4:$C$10000)*1,ISNUMBER(SEARCH("tfl*bev*",[1]OUT_TransportEnergyCons!$A$4:$A$10000))*1,[1]OUT_TransportEnergyCons!N$4:N$10000))*1000-P2214</f>
        <v>319.77101821699398</v>
      </c>
      <c r="Q2215" s="1" cm="1">
        <f t="array" ref="Q2215">(SUMPRODUCT(("var_ncap"=[1]OUT_TransportEnergyCons!$B$4:$B$10000)*1,("-"=[1]OUT_TransportEnergyCons!$C$4:$C$10000)*1,ISNUMBER(SEARCH("tfl*bev*",[1]OUT_TransportEnergyCons!$A$4:$A$10000))*1,[1]OUT_TransportEnergyCons!O$4:O$10000))*1000-Q2214</f>
        <v>124.46209957856701</v>
      </c>
      <c r="S2215" s="3"/>
    </row>
    <row r="2216" spans="2:19" x14ac:dyDescent="0.5">
      <c r="B2216" s="5" t="str">
        <f t="shared" si="2251"/>
        <v>SPS1</v>
      </c>
      <c r="C2216" s="5" t="str">
        <f t="shared" si="2252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1.78275432786176E-3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8.1124612003314093E-4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4.6493154809681896E-5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4.8024713123120403E-5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5.2756523766793304E-5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4.4025774000539597E-5</v>
      </c>
      <c r="M2216" s="1" cm="1">
        <f t="array" ref="M2216">(SUMPRODUCT(("var_ncap"=[1]OUT_TransportEnergyCons!$B$4:$B$10000)*1,("-"=[1]OUT_TransportEnergyCons!$C$4:$C$10000)*1,ISNUMBER(SEARCH("tfl*h2o*",[1]OUT_TransportEnergyCons!$A$4:$A$10000))*1,[1]OUT_TransportEnergyCons!K$4:K$10000))*1000</f>
        <v>4.9463908998509104E-5</v>
      </c>
      <c r="N2216" s="1" cm="1">
        <f t="array" ref="N2216">(SUMPRODUCT(("var_ncap"=[1]OUT_TransportEnergyCons!$B$4:$B$10000)*1,("-"=[1]OUT_TransportEnergyCons!$C$4:$C$10000)*1,ISNUMBER(SEARCH("tfl*h2o*",[1]OUT_TransportEnergyCons!$A$4:$A$10000))*1,[1]OUT_TransportEnergyCons!L$4:L$10000))*1000</f>
        <v>4.1234261703761904E-5</v>
      </c>
      <c r="O2216" s="1" cm="1">
        <f t="array" ref="O2216">(SUMPRODUCT(("var_ncap"=[1]OUT_TransportEnergyCons!$B$4:$B$10000)*1,("-"=[1]OUT_TransportEnergyCons!$C$4:$C$10000)*1,ISNUMBER(SEARCH("tfl*h2o*",[1]OUT_TransportEnergyCons!$A$4:$A$10000))*1,[1]OUT_TransportEnergyCons!M$4:M$10000))*1000</f>
        <v>3.9731914599431105E-5</v>
      </c>
      <c r="P2216" s="1" cm="1">
        <f t="array" ref="P2216">(SUMPRODUCT(("var_ncap"=[1]OUT_TransportEnergyCons!$B$4:$B$10000)*1,("-"=[1]OUT_TransportEnergyCons!$C$4:$C$10000)*1,ISNUMBER(SEARCH("tfl*h2o*",[1]OUT_TransportEnergyCons!$A$4:$A$10000))*1,[1]OUT_TransportEnergyCons!N$4:N$10000))*1000</f>
        <v>4.7747141864730997E-5</v>
      </c>
      <c r="Q2216" s="1" cm="1">
        <f t="array" ref="Q2216">(SUMPRODUCT(("var_ncap"=[1]OUT_TransportEnergyCons!$B$4:$B$10000)*1,("-"=[1]OUT_TransportEnergyCons!$C$4:$C$10000)*1,ISNUMBER(SEARCH("tfl*h2o*",[1]OUT_TransportEnergyCons!$A$4:$A$10000))*1,[1]OUT_TransportEnergyCons!O$4:O$10000))*1000</f>
        <v>1.03622078524657E-4</v>
      </c>
      <c r="S2216" s="3"/>
    </row>
    <row r="2217" spans="2:19" x14ac:dyDescent="0.5">
      <c r="B2217" s="5" t="str">
        <f t="shared" si="2251"/>
        <v>SPS1</v>
      </c>
      <c r="C2217" s="5" t="str">
        <f t="shared" si="2252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M2217" s="1" cm="1">
        <f t="array" ref="M2217">(SUMPRODUCT(("var_ncap"=[1]OUT_TransportEnergyCons!$B$4:$B$10000)*1,("-"=[1]OUT_TransportEnergyCons!$C$4:$C$10000)*1,ISNUMBER(SEARCH("TfL*ICE*GSL*ext",[1]OUT_TransportEnergyCons!$A$4:$A$10000))*1,[1]OUT_TransportEnergyCons!K$4:K$10000))*1000</f>
        <v>0</v>
      </c>
      <c r="N2217" s="1" cm="1">
        <f t="array" ref="N2217">(SUMPRODUCT(("var_ncap"=[1]OUT_TransportEnergyCons!$B$4:$B$10000)*1,("-"=[1]OUT_TransportEnergyCons!$C$4:$C$10000)*1,ISNUMBER(SEARCH("TfL*ICE*GSL*ext",[1]OUT_TransportEnergyCons!$A$4:$A$10000))*1,[1]OUT_TransportEnergyCons!L$4:L$10000))*1000</f>
        <v>0</v>
      </c>
      <c r="O2217" s="1" cm="1">
        <f t="array" ref="O2217">(SUMPRODUCT(("var_ncap"=[1]OUT_TransportEnergyCons!$B$4:$B$10000)*1,("-"=[1]OUT_TransportEnergyCons!$C$4:$C$10000)*1,ISNUMBER(SEARCH("TfL*ICE*GSL*ext",[1]OUT_TransportEnergyCons!$A$4:$A$10000))*1,[1]OUT_TransportEnergyCons!M$4:M$10000))*1000</f>
        <v>0</v>
      </c>
      <c r="P2217" s="1" cm="1">
        <f t="array" ref="P2217">(SUMPRODUCT(("var_ncap"=[1]OUT_TransportEnergyCons!$B$4:$B$10000)*1,("-"=[1]OUT_TransportEnergyCons!$C$4:$C$10000)*1,ISNUMBER(SEARCH("TfL*ICE*GSL*ext",[1]OUT_TransportEnergyCons!$A$4:$A$10000))*1,[1]OUT_TransportEnergyCons!N$4:N$10000))*1000</f>
        <v>0</v>
      </c>
      <c r="Q2217" s="1" cm="1">
        <f t="array" ref="Q2217">(SUMPRODUCT(("var_ncap"=[1]OUT_TransportEnergyCons!$B$4:$B$10000)*1,("-"=[1]OUT_TransportEnergyCons!$C$4:$C$10000)*1,ISNUMBER(SEARCH("TfL*ICE*GSL*ext",[1]OUT_TransportEnergyCons!$A$4:$A$10000))*1,[1]OUT_TransportEnergyCons!O$4:O$10000))*1000</f>
        <v>0</v>
      </c>
      <c r="S2217" s="3"/>
    </row>
    <row r="2218" spans="2:19" x14ac:dyDescent="0.5">
      <c r="B2218" s="5" t="str">
        <f t="shared" si="2251"/>
        <v>SPS1</v>
      </c>
      <c r="C2218" s="5" t="str">
        <f t="shared" si="2252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2.1010108387072901E-2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12.3801236855734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27.4829684097562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0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0</v>
      </c>
      <c r="M2218" s="1" cm="1">
        <f t="array" ref="M2218">(SUMPRODUCT(("var_ncap"=[1]OUT_TransportEnergyCons!$B$4:$B$10000)*1,("-"=[1]OUT_TransportEnergyCons!$C$4:$C$10000)*1,ISNUMBER(SEARCH("TfL*ICE*GSL*",[1]OUT_TransportEnergyCons!$A$4:$A$10000))*1,[1]OUT_TransportEnergyCons!K$4:K$10000))*1000-M2217</f>
        <v>0</v>
      </c>
      <c r="N2218" s="1" cm="1">
        <f t="array" ref="N2218">(SUMPRODUCT(("var_ncap"=[1]OUT_TransportEnergyCons!$B$4:$B$10000)*1,("-"=[1]OUT_TransportEnergyCons!$C$4:$C$10000)*1,ISNUMBER(SEARCH("TfL*ICE*GSL*",[1]OUT_TransportEnergyCons!$A$4:$A$10000))*1,[1]OUT_TransportEnergyCons!L$4:L$10000))*1000-N2217</f>
        <v>0</v>
      </c>
      <c r="O2218" s="1" cm="1">
        <f t="array" ref="O2218">(SUMPRODUCT(("var_ncap"=[1]OUT_TransportEnergyCons!$B$4:$B$10000)*1,("-"=[1]OUT_TransportEnergyCons!$C$4:$C$10000)*1,ISNUMBER(SEARCH("TfL*ICE*GSL*",[1]OUT_TransportEnergyCons!$A$4:$A$10000))*1,[1]OUT_TransportEnergyCons!M$4:M$10000))*1000-O2217</f>
        <v>0</v>
      </c>
      <c r="P2218" s="1" cm="1">
        <f t="array" ref="P2218">(SUMPRODUCT(("var_ncap"=[1]OUT_TransportEnergyCons!$B$4:$B$10000)*1,("-"=[1]OUT_TransportEnergyCons!$C$4:$C$10000)*1,ISNUMBER(SEARCH("TfL*ICE*GSL*",[1]OUT_TransportEnergyCons!$A$4:$A$10000))*1,[1]OUT_TransportEnergyCons!N$4:N$10000))*1000-P2217</f>
        <v>0</v>
      </c>
      <c r="Q2218" s="1" cm="1">
        <f t="array" ref="Q2218">(SUMPRODUCT(("var_ncap"=[1]OUT_TransportEnergyCons!$B$4:$B$10000)*1,("-"=[1]OUT_TransportEnergyCons!$C$4:$C$10000)*1,ISNUMBER(SEARCH("TfL*ICE*GSL*",[1]OUT_TransportEnergyCons!$A$4:$A$10000))*1,[1]OUT_TransportEnergyCons!O$4:O$10000))*1000-Q2217</f>
        <v>0</v>
      </c>
      <c r="S2218" s="3"/>
    </row>
    <row r="2219" spans="2:19" x14ac:dyDescent="0.5">
      <c r="B2219" s="5" t="str">
        <f t="shared" si="2251"/>
        <v>SPS1</v>
      </c>
      <c r="C2219" s="5" t="str">
        <f t="shared" si="2252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M2219" s="1" cm="1">
        <f t="array" ref="M2219">(SUMPRODUCT(("var_ncap"=[1]OUT_TransportEnergyCons!$B$4:$B$10000)*1,("-"=[1]OUT_TransportEnergyCons!$C$4:$C$10000)*1,ISNUMBER(SEARCH("tfl*ICE*DSL*ext",[1]OUT_TransportEnergyCons!$A$4:$A$10000))*1,[1]OUT_TransportEnergyCons!K$4:K$10000))*1000</f>
        <v>0</v>
      </c>
      <c r="N2219" s="1" cm="1">
        <f t="array" ref="N2219">(SUMPRODUCT(("var_ncap"=[1]OUT_TransportEnergyCons!$B$4:$B$10000)*1,("-"=[1]OUT_TransportEnergyCons!$C$4:$C$10000)*1,ISNUMBER(SEARCH("tfl*ICE*DSL*ext",[1]OUT_TransportEnergyCons!$A$4:$A$10000))*1,[1]OUT_TransportEnergyCons!L$4:L$10000))*1000</f>
        <v>0</v>
      </c>
      <c r="O2219" s="1" cm="1">
        <f t="array" ref="O2219">(SUMPRODUCT(("var_ncap"=[1]OUT_TransportEnergyCons!$B$4:$B$10000)*1,("-"=[1]OUT_TransportEnergyCons!$C$4:$C$10000)*1,ISNUMBER(SEARCH("tfl*ICE*DSL*ext",[1]OUT_TransportEnergyCons!$A$4:$A$10000))*1,[1]OUT_TransportEnergyCons!M$4:M$10000))*1000</f>
        <v>0</v>
      </c>
      <c r="P2219" s="1" cm="1">
        <f t="array" ref="P2219">(SUMPRODUCT(("var_ncap"=[1]OUT_TransportEnergyCons!$B$4:$B$10000)*1,("-"=[1]OUT_TransportEnergyCons!$C$4:$C$10000)*1,ISNUMBER(SEARCH("tfl*ICE*DSL*ext",[1]OUT_TransportEnergyCons!$A$4:$A$10000))*1,[1]OUT_TransportEnergyCons!N$4:N$10000))*1000</f>
        <v>0</v>
      </c>
      <c r="Q2219" s="1" cm="1">
        <f t="array" ref="Q2219">(SUMPRODUCT(("var_ncap"=[1]OUT_TransportEnergyCons!$B$4:$B$10000)*1,("-"=[1]OUT_TransportEnergyCons!$C$4:$C$10000)*1,ISNUMBER(SEARCH("tfl*ICE*DSL*ext",[1]OUT_TransportEnergyCons!$A$4:$A$10000))*1,[1]OUT_TransportEnergyCons!O$4:O$10000))*1000</f>
        <v>0</v>
      </c>
      <c r="S2219" s="3"/>
    </row>
    <row r="2220" spans="2:19" x14ac:dyDescent="0.5">
      <c r="B2220" s="5" t="str">
        <f t="shared" si="2251"/>
        <v>SPS1</v>
      </c>
      <c r="C2220" s="5" t="str">
        <f t="shared" si="2252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1.2118033777257E-2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8.1516144792267098E-2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3.6555563396402001E-2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0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0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</v>
      </c>
      <c r="M2220" s="1" cm="1">
        <f t="array" ref="M2220">(SUMPRODUCT(("var_ncap"=[1]OUT_TransportEnergyCons!$B$4:$B$10000)*1,("-"=[1]OUT_TransportEnergyCons!$C$4:$C$10000)*1,ISNUMBER(SEARCH("tfl*ICE*DSL*",[1]OUT_TransportEnergyCons!$A$4:$A$10000))*1,[1]OUT_TransportEnergyCons!K$4:K$10000))*1000-M2219</f>
        <v>0</v>
      </c>
      <c r="N2220" s="1" cm="1">
        <f t="array" ref="N2220">(SUMPRODUCT(("var_ncap"=[1]OUT_TransportEnergyCons!$B$4:$B$10000)*1,("-"=[1]OUT_TransportEnergyCons!$C$4:$C$10000)*1,ISNUMBER(SEARCH("tfl*ICE*DSL*",[1]OUT_TransportEnergyCons!$A$4:$A$10000))*1,[1]OUT_TransportEnergyCons!L$4:L$10000))*1000-N2219</f>
        <v>0</v>
      </c>
      <c r="O2220" s="1" cm="1">
        <f t="array" ref="O2220">(SUMPRODUCT(("var_ncap"=[1]OUT_TransportEnergyCons!$B$4:$B$10000)*1,("-"=[1]OUT_TransportEnergyCons!$C$4:$C$10000)*1,ISNUMBER(SEARCH("tfl*ICE*DSL*",[1]OUT_TransportEnergyCons!$A$4:$A$10000))*1,[1]OUT_TransportEnergyCons!M$4:M$10000))*1000-O2219</f>
        <v>0</v>
      </c>
      <c r="P2220" s="1" cm="1">
        <f t="array" ref="P2220">(SUMPRODUCT(("var_ncap"=[1]OUT_TransportEnergyCons!$B$4:$B$10000)*1,("-"=[1]OUT_TransportEnergyCons!$C$4:$C$10000)*1,ISNUMBER(SEARCH("tfl*ICE*DSL*",[1]OUT_TransportEnergyCons!$A$4:$A$10000))*1,[1]OUT_TransportEnergyCons!N$4:N$10000))*1000-P2219</f>
        <v>0</v>
      </c>
      <c r="Q2220" s="1" cm="1">
        <f t="array" ref="Q2220">(SUMPRODUCT(("var_ncap"=[1]OUT_TransportEnergyCons!$B$4:$B$10000)*1,("-"=[1]OUT_TransportEnergyCons!$C$4:$C$10000)*1,ISNUMBER(SEARCH("tfl*ICE*DSL*",[1]OUT_TransportEnergyCons!$A$4:$A$10000))*1,[1]OUT_TransportEnergyCons!O$4:O$10000))*1000-Q2219</f>
        <v>0</v>
      </c>
      <c r="S2220" s="3"/>
    </row>
    <row r="2221" spans="2:19" x14ac:dyDescent="0.5">
      <c r="B2221" s="5" t="str">
        <f t="shared" si="2251"/>
        <v>SPS1</v>
      </c>
      <c r="C2221" s="5" t="str">
        <f t="shared" si="2252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13.854514109351399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49.191054080553997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67.015738314053991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0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0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0</v>
      </c>
      <c r="M2221" s="1" cm="1">
        <f t="array" ref="M2221">(SUMPRODUCT(("var_ncap"=[1]OUT_TransportEnergyCons!$B$4:$B$10000)*1,("-"=[1]OUT_TransportEnergyCons!$C$4:$C$10000)*1,ISNUMBER(SEARCH("tfl*hyb*DSL*",[1]OUT_TransportEnergyCons!$A$4:$A$10000))*1,[1]OUT_TransportEnergyCons!K$4:K$10000))*1000</f>
        <v>0</v>
      </c>
      <c r="N2221" s="1" cm="1">
        <f t="array" ref="N2221">(SUMPRODUCT(("var_ncap"=[1]OUT_TransportEnergyCons!$B$4:$B$10000)*1,("-"=[1]OUT_TransportEnergyCons!$C$4:$C$10000)*1,ISNUMBER(SEARCH("tfl*hyb*DSL*",[1]OUT_TransportEnergyCons!$A$4:$A$10000))*1,[1]OUT_TransportEnergyCons!L$4:L$10000))*1000</f>
        <v>0</v>
      </c>
      <c r="O2221" s="1" cm="1">
        <f t="array" ref="O2221">(SUMPRODUCT(("var_ncap"=[1]OUT_TransportEnergyCons!$B$4:$B$10000)*1,("-"=[1]OUT_TransportEnergyCons!$C$4:$C$10000)*1,ISNUMBER(SEARCH("tfl*hyb*DSL*",[1]OUT_TransportEnergyCons!$A$4:$A$10000))*1,[1]OUT_TransportEnergyCons!M$4:M$10000))*1000</f>
        <v>0</v>
      </c>
      <c r="P2221" s="1" cm="1">
        <f t="array" ref="P2221">(SUMPRODUCT(("var_ncap"=[1]OUT_TransportEnergyCons!$B$4:$B$10000)*1,("-"=[1]OUT_TransportEnergyCons!$C$4:$C$10000)*1,ISNUMBER(SEARCH("tfl*hyb*DSL*",[1]OUT_TransportEnergyCons!$A$4:$A$10000))*1,[1]OUT_TransportEnergyCons!N$4:N$10000))*1000</f>
        <v>0</v>
      </c>
      <c r="Q2221" s="1" cm="1">
        <f t="array" ref="Q2221">(SUMPRODUCT(("var_ncap"=[1]OUT_TransportEnergyCons!$B$4:$B$10000)*1,("-"=[1]OUT_TransportEnergyCons!$C$4:$C$10000)*1,ISNUMBER(SEARCH("tfl*hyb*DSL*",[1]OUT_TransportEnergyCons!$A$4:$A$10000))*1,[1]OUT_TransportEnergyCons!O$4:O$10000))*1000</f>
        <v>0</v>
      </c>
      <c r="S2221" s="3"/>
    </row>
    <row r="2222" spans="2:19" x14ac:dyDescent="0.5">
      <c r="B2222" s="5" t="str">
        <f t="shared" si="2251"/>
        <v>SPS1</v>
      </c>
      <c r="C2222" s="5" t="str">
        <f t="shared" si="2252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1.0153010322589901E-5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1.6289709149360499E-3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1.1063570170068498E-3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0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0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0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0</v>
      </c>
      <c r="M2222" s="1" cm="1">
        <f t="array" ref="M2222">(SUMPRODUCT(("var_ncap"=[1]OUT_TransportEnergyCons!$B$4:$B$10000)*1,("-"=[1]OUT_TransportEnergyCons!$C$4:$C$10000)*1,ISNUMBER(SEARCH("tfl*ice*nga*",[1]OUT_TransportEnergyCons!$A$4:$A$10000))*1,[1]OUT_TransportEnergyCons!K$4:K$10000))*1000</f>
        <v>0</v>
      </c>
      <c r="N2222" s="1" cm="1">
        <f t="array" ref="N2222">(SUMPRODUCT(("var_ncap"=[1]OUT_TransportEnergyCons!$B$4:$B$10000)*1,("-"=[1]OUT_TransportEnergyCons!$C$4:$C$10000)*1,ISNUMBER(SEARCH("tfl*ice*nga*",[1]OUT_TransportEnergyCons!$A$4:$A$10000))*1,[1]OUT_TransportEnergyCons!L$4:L$10000))*1000</f>
        <v>0</v>
      </c>
      <c r="O2222" s="1" cm="1">
        <f t="array" ref="O2222">(SUMPRODUCT(("var_ncap"=[1]OUT_TransportEnergyCons!$B$4:$B$10000)*1,("-"=[1]OUT_TransportEnergyCons!$C$4:$C$10000)*1,ISNUMBER(SEARCH("tfl*ice*nga*",[1]OUT_TransportEnergyCons!$A$4:$A$10000))*1,[1]OUT_TransportEnergyCons!M$4:M$10000))*1000</f>
        <v>0</v>
      </c>
      <c r="P2222" s="1" cm="1">
        <f t="array" ref="P2222">(SUMPRODUCT(("var_ncap"=[1]OUT_TransportEnergyCons!$B$4:$B$10000)*1,("-"=[1]OUT_TransportEnergyCons!$C$4:$C$10000)*1,ISNUMBER(SEARCH("tfl*ice*nga*",[1]OUT_TransportEnergyCons!$A$4:$A$10000))*1,[1]OUT_TransportEnergyCons!N$4:N$10000))*1000</f>
        <v>0</v>
      </c>
      <c r="Q2222" s="1" cm="1">
        <f t="array" ref="Q2222">(SUMPRODUCT(("var_ncap"=[1]OUT_TransportEnergyCons!$B$4:$B$10000)*1,("-"=[1]OUT_TransportEnergyCons!$C$4:$C$10000)*1,ISNUMBER(SEARCH("tfl*ice*nga*",[1]OUT_TransportEnergyCons!$A$4:$A$10000))*1,[1]OUT_TransportEnergyCons!O$4:O$10000))*1000</f>
        <v>0</v>
      </c>
      <c r="S2222" s="3"/>
    </row>
    <row r="2223" spans="2:19" x14ac:dyDescent="0.5">
      <c r="B2223" s="5" t="str">
        <f t="shared" si="2251"/>
        <v>SPS1</v>
      </c>
      <c r="C2223" s="5" t="str">
        <f t="shared" si="2252"/>
        <v>CH</v>
      </c>
      <c r="D2223" s="2" t="s">
        <v>2352</v>
      </c>
      <c r="E2223" s="2" t="s">
        <v>1999</v>
      </c>
      <c r="F2223" s="3">
        <f t="shared" ref="F2223:K2223" si="2255">SUM(F2224:F2232)</f>
        <v>0</v>
      </c>
      <c r="G2223" s="3">
        <f t="shared" si="2255"/>
        <v>9.4342022896789111</v>
      </c>
      <c r="H2223" s="3">
        <f t="shared" si="2255"/>
        <v>3.4949100977131571</v>
      </c>
      <c r="I2223" s="3">
        <f t="shared" si="2255"/>
        <v>29.089604307823535</v>
      </c>
      <c r="J2223" s="3">
        <f t="shared" si="2255"/>
        <v>39.833838611734599</v>
      </c>
      <c r="K2223" s="3">
        <f t="shared" si="2255"/>
        <v>17.102303798123014</v>
      </c>
      <c r="L2223" s="3">
        <f t="shared" ref="L2223:O2223" si="2256">SUM(L2224:L2232)</f>
        <v>42.495471362664496</v>
      </c>
      <c r="M2223" s="3">
        <f t="shared" si="2256"/>
        <v>24.689823320507887</v>
      </c>
      <c r="N2223" s="3">
        <f t="shared" si="2256"/>
        <v>37.20323149364804</v>
      </c>
      <c r="O2223" s="3">
        <f t="shared" si="2256"/>
        <v>47.54613750861764</v>
      </c>
      <c r="P2223" s="3">
        <f>SUM(P2224:P2232)</f>
        <v>26.757798813152004</v>
      </c>
      <c r="Q2223" s="3">
        <f>SUM(Q2224:Q2232)</f>
        <v>43.492024252302386</v>
      </c>
      <c r="S2223" s="3"/>
    </row>
    <row r="2224" spans="2:19" x14ac:dyDescent="0.5">
      <c r="B2224" s="5" t="str">
        <f t="shared" si="2251"/>
        <v>SPS1</v>
      </c>
      <c r="C2224" s="5" t="str">
        <f t="shared" si="2252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M2224" s="1" cm="1">
        <f t="array" ref="M2224">(SUMPRODUCT(("var_ncap"=[1]OUT_TransportEnergyCons!$B$4:$B$10000)*1,("-"=[1]OUT_TransportEnergyCons!$C$4:$C$10000)*1,ISNUMBER(SEARCH("tfh*bev*ext",[1]OUT_TransportEnergyCons!$A$4:$A$10000))*1,[1]OUT_TransportEnergyCons!K$4:K$10000))*1000</f>
        <v>0</v>
      </c>
      <c r="N2224" s="1" cm="1">
        <f t="array" ref="N2224">(SUMPRODUCT(("var_ncap"=[1]OUT_TransportEnergyCons!$B$4:$B$10000)*1,("-"=[1]OUT_TransportEnergyCons!$C$4:$C$10000)*1,ISNUMBER(SEARCH("tfh*bev*ext",[1]OUT_TransportEnergyCons!$A$4:$A$10000))*1,[1]OUT_TransportEnergyCons!L$4:L$10000))*1000</f>
        <v>0</v>
      </c>
      <c r="O2224" s="1" cm="1">
        <f t="array" ref="O2224">(SUMPRODUCT(("var_ncap"=[1]OUT_TransportEnergyCons!$B$4:$B$10000)*1,("-"=[1]OUT_TransportEnergyCons!$C$4:$C$10000)*1,ISNUMBER(SEARCH("tfh*bev*ext",[1]OUT_TransportEnergyCons!$A$4:$A$10000))*1,[1]OUT_TransportEnergyCons!M$4:M$10000))*1000</f>
        <v>0</v>
      </c>
      <c r="P2224" s="1" cm="1">
        <f t="array" ref="P2224">(SUMPRODUCT(("var_ncap"=[1]OUT_TransportEnergyCons!$B$4:$B$10000)*1,("-"=[1]OUT_TransportEnergyCons!$C$4:$C$10000)*1,ISNUMBER(SEARCH("tfh*bev*ext",[1]OUT_TransportEnergyCons!$A$4:$A$10000))*1,[1]OUT_TransportEnergyCons!N$4:N$10000))*1000</f>
        <v>0</v>
      </c>
      <c r="Q2224" s="1" cm="1">
        <f t="array" ref="Q2224">(SUMPRODUCT(("var_ncap"=[1]OUT_TransportEnergyCons!$B$4:$B$10000)*1,("-"=[1]OUT_TransportEnergyCons!$C$4:$C$10000)*1,ISNUMBER(SEARCH("tfh*bev*ext",[1]OUT_TransportEnergyCons!$A$4:$A$10000))*1,[1]OUT_TransportEnergyCons!O$4:O$10000))*1000</f>
        <v>0</v>
      </c>
      <c r="S2224" s="3"/>
    </row>
    <row r="2225" spans="2:19" x14ac:dyDescent="0.5">
      <c r="B2225" s="5" t="str">
        <f t="shared" si="2251"/>
        <v>SPS1</v>
      </c>
      <c r="C2225" s="5" t="str">
        <f t="shared" si="2252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1.55628059064493E-3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4.6704369100541302E-3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2.7682876144336801E-3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8.23324415795242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7.5224023319087605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30.286594205838199</v>
      </c>
      <c r="M2225" s="1" cm="1">
        <f t="array" ref="M2225">(SUMPRODUCT(("var_ncap"=[1]OUT_TransportEnergyCons!$B$4:$B$10000)*1,("-"=[1]OUT_TransportEnergyCons!$C$4:$C$10000)*1,ISNUMBER(SEARCH("tfh*bev*",[1]OUT_TransportEnergyCons!$A$4:$A$10000))*1,[1]OUT_TransportEnergyCons!K$4:K$10000))*1000-M2224</f>
        <v>24.6897534419798</v>
      </c>
      <c r="N2225" s="1" cm="1">
        <f t="array" ref="N2225">(SUMPRODUCT(("var_ncap"=[1]OUT_TransportEnergyCons!$B$4:$B$10000)*1,("-"=[1]OUT_TransportEnergyCons!$C$4:$C$10000)*1,ISNUMBER(SEARCH("tfh*bev*",[1]OUT_TransportEnergyCons!$A$4:$A$10000))*1,[1]OUT_TransportEnergyCons!L$4:L$10000))*1000-N2224</f>
        <v>37.203152153116498</v>
      </c>
      <c r="O2225" s="1" cm="1">
        <f t="array" ref="O2225">(SUMPRODUCT(("var_ncap"=[1]OUT_TransportEnergyCons!$B$4:$B$10000)*1,("-"=[1]OUT_TransportEnergyCons!$C$4:$C$10000)*1,ISNUMBER(SEARCH("tfh*bev*",[1]OUT_TransportEnergyCons!$A$4:$A$10000))*1,[1]OUT_TransportEnergyCons!M$4:M$10000))*1000-O2224</f>
        <v>47.546034517922102</v>
      </c>
      <c r="P2225" s="1" cm="1">
        <f t="array" ref="P2225">(SUMPRODUCT(("var_ncap"=[1]OUT_TransportEnergyCons!$B$4:$B$10000)*1,("-"=[1]OUT_TransportEnergyCons!$C$4:$C$10000)*1,ISNUMBER(SEARCH("tfh*bev*",[1]OUT_TransportEnergyCons!$A$4:$A$10000))*1,[1]OUT_TransportEnergyCons!N$4:N$10000))*1000-P2224</f>
        <v>26.757724901601403</v>
      </c>
      <c r="Q2225" s="1" cm="1">
        <f t="array" ref="Q2225">(SUMPRODUCT(("var_ncap"=[1]OUT_TransportEnergyCons!$B$4:$B$10000)*1,("-"=[1]OUT_TransportEnergyCons!$C$4:$C$10000)*1,ISNUMBER(SEARCH("tfh*bev*",[1]OUT_TransportEnergyCons!$A$4:$A$10000))*1,[1]OUT_TransportEnergyCons!O$4:O$10000))*1000-Q2224</f>
        <v>43.491905984189103</v>
      </c>
      <c r="S2225" s="3"/>
    </row>
    <row r="2226" spans="2:19" x14ac:dyDescent="0.5">
      <c r="B2226" s="5" t="str">
        <f t="shared" si="2251"/>
        <v>SPS1</v>
      </c>
      <c r="C2226" s="5" t="str">
        <f t="shared" si="2252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1.1153803209432999E-4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7.9552576943877506E-5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4.57720071963597E-5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1.4149383671043401E-4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8.7125107030355299E-5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9.8542210180645193E-5</v>
      </c>
      <c r="M2226" s="1" cm="1">
        <f t="array" ref="M2226">(SUMPRODUCT(("var_ncap"=[1]OUT_TransportEnergyCons!$B$4:$B$10000)*1,("-"=[1]OUT_TransportEnergyCons!$C$4:$C$10000)*1,ISNUMBER(SEARCH("tfh*h2o*",[1]OUT_TransportEnergyCons!$A$4:$A$10000))*1,[1]OUT_TransportEnergyCons!K$4:K$10000))*1000</f>
        <v>6.9878528087300394E-5</v>
      </c>
      <c r="N2226" s="1" cm="1">
        <f t="array" ref="N2226">(SUMPRODUCT(("var_ncap"=[1]OUT_TransportEnergyCons!$B$4:$B$10000)*1,("-"=[1]OUT_TransportEnergyCons!$C$4:$C$10000)*1,ISNUMBER(SEARCH("tfh*h2o*",[1]OUT_TransportEnergyCons!$A$4:$A$10000))*1,[1]OUT_TransportEnergyCons!L$4:L$10000))*1000</f>
        <v>7.9340531544136E-5</v>
      </c>
      <c r="O2226" s="1" cm="1">
        <f t="array" ref="O2226">(SUMPRODUCT(("var_ncap"=[1]OUT_TransportEnergyCons!$B$4:$B$10000)*1,("-"=[1]OUT_TransportEnergyCons!$C$4:$C$10000)*1,ISNUMBER(SEARCH("tfh*h2o*",[1]OUT_TransportEnergyCons!$A$4:$A$10000))*1,[1]OUT_TransportEnergyCons!M$4:M$10000))*1000</f>
        <v>1.02990695537601E-4</v>
      </c>
      <c r="P2226" s="1" cm="1">
        <f t="array" ref="P2226">(SUMPRODUCT(("var_ncap"=[1]OUT_TransportEnergyCons!$B$4:$B$10000)*1,("-"=[1]OUT_TransportEnergyCons!$C$4:$C$10000)*1,ISNUMBER(SEARCH("tfh*h2o*",[1]OUT_TransportEnergyCons!$A$4:$A$10000))*1,[1]OUT_TransportEnergyCons!N$4:N$10000))*1000</f>
        <v>7.3911550600653495E-5</v>
      </c>
      <c r="Q2226" s="1" cm="1">
        <f t="array" ref="Q2226">(SUMPRODUCT(("var_ncap"=[1]OUT_TransportEnergyCons!$B$4:$B$10000)*1,("-"=[1]OUT_TransportEnergyCons!$C$4:$C$10000)*1,ISNUMBER(SEARCH("tfh*h2o*",[1]OUT_TransportEnergyCons!$A$4:$A$10000))*1,[1]OUT_TransportEnergyCons!O$4:O$10000))*1000</f>
        <v>1.1826811328106201E-4</v>
      </c>
      <c r="S2226" s="3"/>
    </row>
    <row r="2227" spans="2:19" x14ac:dyDescent="0.5">
      <c r="B2227" s="5" t="str">
        <f t="shared" si="2251"/>
        <v>SPS1</v>
      </c>
      <c r="C2227" s="5" t="str">
        <f t="shared" si="2252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M2227" s="1" cm="1">
        <f t="array" ref="M2227">(SUMPRODUCT(("var_ncap"=[1]OUT_TransportEnergyCons!$B$4:$B$10000)*1,("-"=[1]OUT_TransportEnergyCons!$C$4:$C$10000)*1,ISNUMBER(SEARCH("tfh*ICE*GSL*ext",[1]OUT_TransportEnergyCons!$A$4:$A$10000))*1,[1]OUT_TransportEnergyCons!K$4:K$10000))*1000</f>
        <v>0</v>
      </c>
      <c r="N2227" s="1" cm="1">
        <f t="array" ref="N2227">(SUMPRODUCT(("var_ncap"=[1]OUT_TransportEnergyCons!$B$4:$B$10000)*1,("-"=[1]OUT_TransportEnergyCons!$C$4:$C$10000)*1,ISNUMBER(SEARCH("tfh*ICE*GSL*ext",[1]OUT_TransportEnergyCons!$A$4:$A$10000))*1,[1]OUT_TransportEnergyCons!L$4:L$10000))*1000</f>
        <v>0</v>
      </c>
      <c r="O2227" s="1" cm="1">
        <f t="array" ref="O2227">(SUMPRODUCT(("var_ncap"=[1]OUT_TransportEnergyCons!$B$4:$B$10000)*1,("-"=[1]OUT_TransportEnergyCons!$C$4:$C$10000)*1,ISNUMBER(SEARCH("tfh*ICE*GSL*ext",[1]OUT_TransportEnergyCons!$A$4:$A$10000))*1,[1]OUT_TransportEnergyCons!M$4:M$10000))*1000</f>
        <v>0</v>
      </c>
      <c r="P2227" s="1" cm="1">
        <f t="array" ref="P2227">(SUMPRODUCT(("var_ncap"=[1]OUT_TransportEnergyCons!$B$4:$B$10000)*1,("-"=[1]OUT_TransportEnergyCons!$C$4:$C$10000)*1,ISNUMBER(SEARCH("tfh*ICE*GSL*ext",[1]OUT_TransportEnergyCons!$A$4:$A$10000))*1,[1]OUT_TransportEnergyCons!N$4:N$10000))*1000</f>
        <v>0</v>
      </c>
      <c r="Q2227" s="1" cm="1">
        <f t="array" ref="Q2227">(SUMPRODUCT(("var_ncap"=[1]OUT_TransportEnergyCons!$B$4:$B$10000)*1,("-"=[1]OUT_TransportEnergyCons!$C$4:$C$10000)*1,ISNUMBER(SEARCH("tfh*ICE*GSL*ext",[1]OUT_TransportEnergyCons!$A$4:$A$10000))*1,[1]OUT_TransportEnergyCons!O$4:O$10000))*1000</f>
        <v>0</v>
      </c>
      <c r="S2227" s="3"/>
    </row>
    <row r="2228" spans="2:19" x14ac:dyDescent="0.5">
      <c r="B2228" s="5" t="str">
        <f t="shared" si="2251"/>
        <v>SPS1</v>
      </c>
      <c r="C2228" s="5" t="str">
        <f t="shared" si="2252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M2228" s="1" cm="1">
        <f t="array" ref="M2228">(SUMPRODUCT(("var_ncap"=[1]OUT_TransportEnergyCons!$B$4:$B$10000)*1,("-"=[1]OUT_TransportEnergyCons!$C$4:$C$10000)*1,ISNUMBER(SEARCH("tfh*ICE*GSL*",[1]OUT_TransportEnergyCons!$A$4:$A$10000))*1,[1]OUT_TransportEnergyCons!K$4:K$10000))*1000-M2227</f>
        <v>0</v>
      </c>
      <c r="N2228" s="1" cm="1">
        <f t="array" ref="N2228">(SUMPRODUCT(("var_ncap"=[1]OUT_TransportEnergyCons!$B$4:$B$10000)*1,("-"=[1]OUT_TransportEnergyCons!$C$4:$C$10000)*1,ISNUMBER(SEARCH("tfh*ICE*GSL*",[1]OUT_TransportEnergyCons!$A$4:$A$10000))*1,[1]OUT_TransportEnergyCons!L$4:L$10000))*1000-N2227</f>
        <v>0</v>
      </c>
      <c r="O2228" s="1" cm="1">
        <f t="array" ref="O2228">(SUMPRODUCT(("var_ncap"=[1]OUT_TransportEnergyCons!$B$4:$B$10000)*1,("-"=[1]OUT_TransportEnergyCons!$C$4:$C$10000)*1,ISNUMBER(SEARCH("tfh*ICE*GSL*",[1]OUT_TransportEnergyCons!$A$4:$A$10000))*1,[1]OUT_TransportEnergyCons!M$4:M$10000))*1000-O2227</f>
        <v>0</v>
      </c>
      <c r="P2228" s="1" cm="1">
        <f t="array" ref="P2228">(SUMPRODUCT(("var_ncap"=[1]OUT_TransportEnergyCons!$B$4:$B$10000)*1,("-"=[1]OUT_TransportEnergyCons!$C$4:$C$10000)*1,ISNUMBER(SEARCH("tfh*ICE*GSL*",[1]OUT_TransportEnergyCons!$A$4:$A$10000))*1,[1]OUT_TransportEnergyCons!N$4:N$10000))*1000-P2227</f>
        <v>0</v>
      </c>
      <c r="Q2228" s="1" cm="1">
        <f t="array" ref="Q2228">(SUMPRODUCT(("var_ncap"=[1]OUT_TransportEnergyCons!$B$4:$B$10000)*1,("-"=[1]OUT_TransportEnergyCons!$C$4:$C$10000)*1,ISNUMBER(SEARCH("tfh*ICE*GSL*",[1]OUT_TransportEnergyCons!$A$4:$A$10000))*1,[1]OUT_TransportEnergyCons!O$4:O$10000))*1000-Q2227</f>
        <v>0</v>
      </c>
      <c r="S2228" s="3"/>
    </row>
    <row r="2229" spans="2:19" x14ac:dyDescent="0.5">
      <c r="B2229" s="5" t="str">
        <f t="shared" si="2251"/>
        <v>SPS1</v>
      </c>
      <c r="C2229" s="5" t="str">
        <f t="shared" si="2252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M2229" s="1" cm="1">
        <f t="array" ref="M2229">(SUMPRODUCT(("var_ncap"=[1]OUT_TransportEnergyCons!$B$4:$B$10000)*1,("-"=[1]OUT_TransportEnergyCons!$C$4:$C$10000)*1,ISNUMBER(SEARCH("tfh*ICE*DSL*ext",[1]OUT_TransportEnergyCons!$A$4:$A$10000))*1,[1]OUT_TransportEnergyCons!K$4:K$10000))*1000</f>
        <v>0</v>
      </c>
      <c r="N2229" s="1" cm="1">
        <f t="array" ref="N2229">(SUMPRODUCT(("var_ncap"=[1]OUT_TransportEnergyCons!$B$4:$B$10000)*1,("-"=[1]OUT_TransportEnergyCons!$C$4:$C$10000)*1,ISNUMBER(SEARCH("tfh*ICE*DSL*ext",[1]OUT_TransportEnergyCons!$A$4:$A$10000))*1,[1]OUT_TransportEnergyCons!L$4:L$10000))*1000</f>
        <v>0</v>
      </c>
      <c r="O2229" s="1" cm="1">
        <f t="array" ref="O2229">(SUMPRODUCT(("var_ncap"=[1]OUT_TransportEnergyCons!$B$4:$B$10000)*1,("-"=[1]OUT_TransportEnergyCons!$C$4:$C$10000)*1,ISNUMBER(SEARCH("tfh*ICE*DSL*ext",[1]OUT_TransportEnergyCons!$A$4:$A$10000))*1,[1]OUT_TransportEnergyCons!M$4:M$10000))*1000</f>
        <v>0</v>
      </c>
      <c r="P2229" s="1" cm="1">
        <f t="array" ref="P2229">(SUMPRODUCT(("var_ncap"=[1]OUT_TransportEnergyCons!$B$4:$B$10000)*1,("-"=[1]OUT_TransportEnergyCons!$C$4:$C$10000)*1,ISNUMBER(SEARCH("tfh*ICE*DSL*ext",[1]OUT_TransportEnergyCons!$A$4:$A$10000))*1,[1]OUT_TransportEnergyCons!N$4:N$10000))*1000</f>
        <v>0</v>
      </c>
      <c r="Q2229" s="1" cm="1">
        <f t="array" ref="Q2229">(SUMPRODUCT(("var_ncap"=[1]OUT_TransportEnergyCons!$B$4:$B$10000)*1,("-"=[1]OUT_TransportEnergyCons!$C$4:$C$10000)*1,ISNUMBER(SEARCH("tfh*ICE*DSL*ext",[1]OUT_TransportEnergyCons!$A$4:$A$10000))*1,[1]OUT_TransportEnergyCons!O$4:O$10000))*1000</f>
        <v>0</v>
      </c>
      <c r="S2229" s="3"/>
    </row>
    <row r="2230" spans="2:19" x14ac:dyDescent="0.5">
      <c r="B2230" s="5" t="str">
        <f t="shared" si="2251"/>
        <v>SPS1</v>
      </c>
      <c r="C2230" s="5" t="str">
        <f t="shared" si="2252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1.0534609029694501E-3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3.64467283183535E-3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3.53700751224392E-3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1.0341896946613101E-3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1.1075495890496799E-3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1.2527403088418399E-3</v>
      </c>
      <c r="M2230" s="1" cm="1">
        <f t="array" ref="M2230">(SUMPRODUCT(("var_ncap"=[1]OUT_TransportEnergyCons!$B$4:$B$10000)*1,("-"=[1]OUT_TransportEnergyCons!$C$4:$C$10000)*1,ISNUMBER(SEARCH("tfh*ICE*DSL*",[1]OUT_TransportEnergyCons!$A$4:$A$10000))*1,[1]OUT_TransportEnergyCons!K$4:K$10000))*1000-M2229</f>
        <v>0</v>
      </c>
      <c r="N2230" s="1" cm="1">
        <f t="array" ref="N2230">(SUMPRODUCT(("var_ncap"=[1]OUT_TransportEnergyCons!$B$4:$B$10000)*1,("-"=[1]OUT_TransportEnergyCons!$C$4:$C$10000)*1,ISNUMBER(SEARCH("tfh*ICE*DSL*",[1]OUT_TransportEnergyCons!$A$4:$A$10000))*1,[1]OUT_TransportEnergyCons!L$4:L$10000))*1000-N2229</f>
        <v>0</v>
      </c>
      <c r="O2230" s="1" cm="1">
        <f t="array" ref="O2230">(SUMPRODUCT(("var_ncap"=[1]OUT_TransportEnergyCons!$B$4:$B$10000)*1,("-"=[1]OUT_TransportEnergyCons!$C$4:$C$10000)*1,ISNUMBER(SEARCH("tfh*ICE*DSL*",[1]OUT_TransportEnergyCons!$A$4:$A$10000))*1,[1]OUT_TransportEnergyCons!M$4:M$10000))*1000-O2229</f>
        <v>0</v>
      </c>
      <c r="P2230" s="1" cm="1">
        <f t="array" ref="P2230">(SUMPRODUCT(("var_ncap"=[1]OUT_TransportEnergyCons!$B$4:$B$10000)*1,("-"=[1]OUT_TransportEnergyCons!$C$4:$C$10000)*1,ISNUMBER(SEARCH("tfh*ICE*DSL*",[1]OUT_TransportEnergyCons!$A$4:$A$10000))*1,[1]OUT_TransportEnergyCons!N$4:N$10000))*1000-P2229</f>
        <v>0</v>
      </c>
      <c r="Q2230" s="1" cm="1">
        <f t="array" ref="Q2230">(SUMPRODUCT(("var_ncap"=[1]OUT_TransportEnergyCons!$B$4:$B$10000)*1,("-"=[1]OUT_TransportEnergyCons!$C$4:$C$10000)*1,ISNUMBER(SEARCH("tfh*ICE*DSL*",[1]OUT_TransportEnergyCons!$A$4:$A$10000))*1,[1]OUT_TransportEnergyCons!O$4:O$10000))*1000-Q2229</f>
        <v>0</v>
      </c>
      <c r="S2230" s="3"/>
    </row>
    <row r="2231" spans="2:19" x14ac:dyDescent="0.5">
      <c r="B2231" s="5" t="str">
        <f t="shared" si="2251"/>
        <v>SPS1</v>
      </c>
      <c r="C2231" s="5" t="str">
        <f t="shared" si="2252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9.4311277480389499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3.4858220658641401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29.078626437240001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31.594433110613899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9.576551939058449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12.202453731517101</v>
      </c>
      <c r="M2231" s="1" cm="1">
        <f t="array" ref="M2231">(SUMPRODUCT(("var_ncap"=[1]OUT_TransportEnergyCons!$B$4:$B$10000)*1,("-"=[1]OUT_TransportEnergyCons!$C$4:$C$10000)*1,ISNUMBER(SEARCH("tfh*hyb*DSL*",[1]OUT_TransportEnergyCons!$A$4:$A$10000))*1,[1]OUT_TransportEnergyCons!K$4:K$10000))*1000</f>
        <v>0</v>
      </c>
      <c r="N2231" s="1" cm="1">
        <f t="array" ref="N2231">(SUMPRODUCT(("var_ncap"=[1]OUT_TransportEnergyCons!$B$4:$B$10000)*1,("-"=[1]OUT_TransportEnergyCons!$C$4:$C$10000)*1,ISNUMBER(SEARCH("tfh*hyb*DSL*",[1]OUT_TransportEnergyCons!$A$4:$A$10000))*1,[1]OUT_TransportEnergyCons!L$4:L$10000))*1000</f>
        <v>0</v>
      </c>
      <c r="O2231" s="1" cm="1">
        <f t="array" ref="O2231">(SUMPRODUCT(("var_ncap"=[1]OUT_TransportEnergyCons!$B$4:$B$10000)*1,("-"=[1]OUT_TransportEnergyCons!$C$4:$C$10000)*1,ISNUMBER(SEARCH("tfh*hyb*DSL*",[1]OUT_TransportEnergyCons!$A$4:$A$10000))*1,[1]OUT_TransportEnergyCons!M$4:M$10000))*1000</f>
        <v>0</v>
      </c>
      <c r="P2231" s="1" cm="1">
        <f t="array" ref="P2231">(SUMPRODUCT(("var_ncap"=[1]OUT_TransportEnergyCons!$B$4:$B$10000)*1,("-"=[1]OUT_TransportEnergyCons!$C$4:$C$10000)*1,ISNUMBER(SEARCH("tfh*hyb*DSL*",[1]OUT_TransportEnergyCons!$A$4:$A$10000))*1,[1]OUT_TransportEnergyCons!N$4:N$10000))*1000</f>
        <v>0</v>
      </c>
      <c r="Q2231" s="1" cm="1">
        <f t="array" ref="Q2231">(SUMPRODUCT(("var_ncap"=[1]OUT_TransportEnergyCons!$B$4:$B$10000)*1,("-"=[1]OUT_TransportEnergyCons!$C$4:$C$10000)*1,ISNUMBER(SEARCH("tfh*hyb*DSL*",[1]OUT_TransportEnergyCons!$A$4:$A$10000))*1,[1]OUT_TransportEnergyCons!O$4:O$10000))*1000</f>
        <v>0</v>
      </c>
      <c r="S2231" s="3"/>
    </row>
    <row r="2232" spans="2:19" x14ac:dyDescent="0.5">
      <c r="B2232" s="5" t="str">
        <f t="shared" si="2251"/>
        <v>SPS1</v>
      </c>
      <c r="C2232" s="5" t="str">
        <f t="shared" si="2252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3.5326211425295998E-4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6.9336953018331294E-4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4.6268034496602202E-3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4.9856596369093299E-3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2.1548524597265304E-3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5.0721427901670602E-3</v>
      </c>
      <c r="M2232" s="1" cm="1">
        <f t="array" ref="M2232">(SUMPRODUCT(("var_ncap"=[1]OUT_TransportEnergyCons!$B$4:$B$10000)*1,("-"=[1]OUT_TransportEnergyCons!$C$4:$C$10000)*1,ISNUMBER(SEARCH("tfh*ice*nga*",[1]OUT_TransportEnergyCons!$A$4:$A$10000))*1,[1]OUT_TransportEnergyCons!K$4:K$10000))*1000</f>
        <v>0</v>
      </c>
      <c r="N2232" s="1" cm="1">
        <f t="array" ref="N2232">(SUMPRODUCT(("var_ncap"=[1]OUT_TransportEnergyCons!$B$4:$B$10000)*1,("-"=[1]OUT_TransportEnergyCons!$C$4:$C$10000)*1,ISNUMBER(SEARCH("tfh*ice*nga*",[1]OUT_TransportEnergyCons!$A$4:$A$10000))*1,[1]OUT_TransportEnergyCons!L$4:L$10000))*1000</f>
        <v>0</v>
      </c>
      <c r="O2232" s="1" cm="1">
        <f t="array" ref="O2232">(SUMPRODUCT(("var_ncap"=[1]OUT_TransportEnergyCons!$B$4:$B$10000)*1,("-"=[1]OUT_TransportEnergyCons!$C$4:$C$10000)*1,ISNUMBER(SEARCH("tfh*ice*nga*",[1]OUT_TransportEnergyCons!$A$4:$A$10000))*1,[1]OUT_TransportEnergyCons!M$4:M$10000))*1000</f>
        <v>0</v>
      </c>
      <c r="P2232" s="1" cm="1">
        <f t="array" ref="P2232">(SUMPRODUCT(("var_ncap"=[1]OUT_TransportEnergyCons!$B$4:$B$10000)*1,("-"=[1]OUT_TransportEnergyCons!$C$4:$C$10000)*1,ISNUMBER(SEARCH("tfh*ice*nga*",[1]OUT_TransportEnergyCons!$A$4:$A$10000))*1,[1]OUT_TransportEnergyCons!N$4:N$10000))*1000</f>
        <v>0</v>
      </c>
      <c r="Q2232" s="1" cm="1">
        <f t="array" ref="Q2232">(SUMPRODUCT(("var_ncap"=[1]OUT_TransportEnergyCons!$B$4:$B$10000)*1,("-"=[1]OUT_TransportEnergyCons!$C$4:$C$10000)*1,ISNUMBER(SEARCH("tfh*ice*nga*",[1]OUT_TransportEnergyCons!$A$4:$A$10000))*1,[1]OUT_TransportEnergyCons!O$4:O$10000))*1000</f>
        <v>0</v>
      </c>
      <c r="S2232" s="3"/>
    </row>
    <row r="2233" spans="2:19" x14ac:dyDescent="0.5">
      <c r="B2233" s="5" t="str">
        <f>'SPS1'!B1822</f>
        <v>SPS1</v>
      </c>
      <c r="C2233" s="5" t="str">
        <f>'SPS1'!C1822</f>
        <v>CH</v>
      </c>
      <c r="D2233" s="2" t="s">
        <v>2367</v>
      </c>
      <c r="E2233" s="2" t="s">
        <v>1858</v>
      </c>
      <c r="F2233" s="3">
        <f t="shared" ref="F2233:K2233" si="2257">SUM(F2234,F2253)</f>
        <v>2.4387539150778887E-4</v>
      </c>
      <c r="G2233" s="3">
        <f t="shared" si="2257"/>
        <v>0.76053605295438831</v>
      </c>
      <c r="H2233" s="3">
        <f t="shared" si="2257"/>
        <v>0.26055876883543505</v>
      </c>
      <c r="I2233" s="3">
        <f t="shared" si="2257"/>
        <v>1.0896627462795436</v>
      </c>
      <c r="J2233" s="3">
        <f t="shared" si="2257"/>
        <v>6.7155385150458047</v>
      </c>
      <c r="K2233" s="3">
        <f t="shared" si="2257"/>
        <v>2.7149939960390763</v>
      </c>
      <c r="L2233" s="3">
        <f t="shared" ref="L2233:O2233" si="2258">SUM(L2234,L2253)</f>
        <v>1.7930055466804173</v>
      </c>
      <c r="M2233" s="3">
        <f t="shared" si="2258"/>
        <v>6.4249925398082413</v>
      </c>
      <c r="N2233" s="3">
        <f t="shared" si="2258"/>
        <v>2.0960746900650111</v>
      </c>
      <c r="O2233" s="3">
        <f t="shared" si="2258"/>
        <v>1.826247719805798</v>
      </c>
      <c r="P2233" s="3">
        <f>SUM(P2234,P2253)</f>
        <v>5.615602621238093</v>
      </c>
      <c r="Q2233" s="3">
        <f>SUM(Q2234,Q2253)</f>
        <v>2.0741119467603895</v>
      </c>
      <c r="S2233" s="3"/>
    </row>
    <row r="2234" spans="2:19" x14ac:dyDescent="0.5">
      <c r="B2234" s="5" t="str">
        <f>'SPS1'!B1822</f>
        <v>SPS1</v>
      </c>
      <c r="C2234" s="5" t="str">
        <f>'SPS1'!C1822</f>
        <v>CH</v>
      </c>
      <c r="D2234" t="s">
        <v>2368</v>
      </c>
      <c r="E2234" t="str">
        <f>E2233</f>
        <v>GWth/yr.</v>
      </c>
      <c r="F2234" s="1">
        <f t="shared" ref="F2234:K2234" si="2259">SUM(F2235,F2238,F2240,F2243,F2245,F2247,F2249,F2251)</f>
        <v>2.3803577402080876E-4</v>
      </c>
      <c r="G2234" s="1">
        <f t="shared" si="2259"/>
        <v>0.60290136182851461</v>
      </c>
      <c r="H2234" s="1">
        <f t="shared" si="2259"/>
        <v>0.16693755746042707</v>
      </c>
      <c r="I2234" s="1">
        <f t="shared" si="2259"/>
        <v>0.68649320306183981</v>
      </c>
      <c r="J2234" s="1">
        <f t="shared" si="2259"/>
        <v>5.7910413017411404</v>
      </c>
      <c r="K2234" s="1">
        <f t="shared" si="2259"/>
        <v>2.225321908137742</v>
      </c>
      <c r="L2234" s="1">
        <f t="shared" ref="L2234:O2234" si="2260">SUM(L2235,L2238,L2240,L2243,L2245,L2247,L2249,L2251)</f>
        <v>1.377550968186676</v>
      </c>
      <c r="M2234" s="1">
        <f t="shared" si="2260"/>
        <v>5.0889618418235756</v>
      </c>
      <c r="N2234" s="1">
        <f t="shared" si="2260"/>
        <v>1.7658565550211065</v>
      </c>
      <c r="O2234" s="1">
        <f t="shared" si="2260"/>
        <v>1.4559834742637254</v>
      </c>
      <c r="P2234" s="1">
        <f>SUM(P2235,P2238,P2240,P2243,P2245,P2247,P2249,P2251)</f>
        <v>4.5481430926562387</v>
      </c>
      <c r="Q2234" s="1">
        <f>SUM(Q2235,Q2238,Q2240,Q2243,Q2245,Q2247,Q2249,Q2251)</f>
        <v>1.6970870404975367</v>
      </c>
      <c r="S2234" s="3"/>
    </row>
    <row r="2235" spans="2:19" x14ac:dyDescent="0.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261">SUM(F2236:F2237)</f>
        <v>9.4844146738157444E-7</v>
      </c>
      <c r="G2235" s="1">
        <f t="shared" si="2261"/>
        <v>0.30312311506985601</v>
      </c>
      <c r="H2235" s="1">
        <f t="shared" si="2261"/>
        <v>0.1568706530666063</v>
      </c>
      <c r="I2235" s="1">
        <f t="shared" si="2261"/>
        <v>0.63431629166859815</v>
      </c>
      <c r="J2235" s="1">
        <f t="shared" si="2261"/>
        <v>2.2845361718989361</v>
      </c>
      <c r="K2235" s="1">
        <f t="shared" si="2261"/>
        <v>0.90361693934554133</v>
      </c>
      <c r="L2235" s="1">
        <f t="shared" ref="L2235:O2235" si="2262">SUM(L2236:L2237)</f>
        <v>1.3379447373691893</v>
      </c>
      <c r="M2235" s="1">
        <f t="shared" si="2262"/>
        <v>3.3408373003525518</v>
      </c>
      <c r="N2235" s="1">
        <f t="shared" si="2262"/>
        <v>1.5058286988813214</v>
      </c>
      <c r="O2235" s="1">
        <f t="shared" si="2262"/>
        <v>1.3973992194932552</v>
      </c>
      <c r="P2235" s="1">
        <f>SUM(P2236:P2237)</f>
        <v>3.2255531705229816</v>
      </c>
      <c r="Q2235" s="1">
        <f>SUM(Q2236:Q2237)</f>
        <v>1.4511755773239841</v>
      </c>
      <c r="S2235" s="3"/>
    </row>
    <row r="2236" spans="2:19" x14ac:dyDescent="0.5">
      <c r="B2236" s="5" t="str">
        <f t="shared" ref="B2236:B2267" si="2263">B2235</f>
        <v>SPS1</v>
      </c>
      <c r="C2236" s="5" t="str">
        <f t="shared" ref="C2236:C2267" si="2264">C2235</f>
        <v>CH</v>
      </c>
      <c r="D2236" t="s">
        <v>2370</v>
      </c>
      <c r="E2236" t="str">
        <f t="shared" ref="E2236:E2267" si="2265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5.2307804465098568E-7</v>
      </c>
      <c r="G2236" s="1" cm="1">
        <f t="array" ref="G2236">SUMPRODUCT(([1]OUT_FinalEnergyCons!$B$4:$B$10000="var_ncap")*1,(ISNUMBER(SEARCH("RH*-SHELCBR",[1]OUT_FinalEnergyCons!$A$4:$A$10000)))*1,[1]OUT_FinalEnergyCons!E$4:E$10000)</f>
        <v>3.0188391380809504E-2</v>
      </c>
      <c r="H2236" s="1" cm="1">
        <f t="array" ref="H2236">SUMPRODUCT(([1]OUT_FinalEnergyCons!$B$4:$B$10000="var_ncap")*1,(ISNUMBER(SEARCH("RH*-SHELCBR",[1]OUT_FinalEnergyCons!$A$4:$A$10000)))*1,[1]OUT_FinalEnergyCons!F$4:F$10000)</f>
        <v>1.7082871010718228E-6</v>
      </c>
      <c r="I2236" s="1" cm="1">
        <f t="array" ref="I2236">SUMPRODUCT(([1]OUT_FinalEnergyCons!$B$4:$B$10000="var_ncap")*1,(ISNUMBER(SEARCH("RH*-SHELCBR",[1]OUT_FinalEnergyCons!$A$4:$A$10000)))*1,[1]OUT_FinalEnergyCons!G$4:G$10000)</f>
        <v>1.571453173142663E-6</v>
      </c>
      <c r="J2236" s="1" cm="1">
        <f t="array" ref="J2236">SUMPRODUCT(([1]OUT_FinalEnergyCons!$B$4:$B$10000="var_ncap")*1,(ISNUMBER(SEARCH("RH*-SHELCBR",[1]OUT_FinalEnergyCons!$A$4:$A$10000)))*1,[1]OUT_FinalEnergyCons!H$4:H$10000)</f>
        <v>9.5904383422322451E-2</v>
      </c>
      <c r="K2236" s="1" cm="1">
        <f t="array" ref="K2236">SUMPRODUCT(([1]OUT_FinalEnergyCons!$B$4:$B$10000="var_ncap")*1,(ISNUMBER(SEARCH("RH*-SHELCBR",[1]OUT_FinalEnergyCons!$A$4:$A$10000)))*1,[1]OUT_FinalEnergyCons!I$4:I$10000)</f>
        <v>8.90221401503868E-2</v>
      </c>
      <c r="L2236" s="1" cm="1">
        <f t="array" ref="L2236">SUMPRODUCT(([1]OUT_FinalEnergyCons!$B$4:$B$10000="var_ncap")*1,(ISNUMBER(SEARCH("RH*-SHELCBR",[1]OUT_FinalEnergyCons!$A$4:$A$10000)))*1,[1]OUT_FinalEnergyCons!J$4:J$10000)</f>
        <v>1.9399214504214309E-3</v>
      </c>
      <c r="M2236" s="1" cm="1">
        <f t="array" ref="M2236">SUMPRODUCT(([1]OUT_FinalEnergyCons!$B$4:$B$10000="var_ncap")*1,(ISNUMBER(SEARCH("RH*-SHELCBR",[1]OUT_FinalEnergyCons!$A$4:$A$10000)))*1,[1]OUT_FinalEnergyCons!K$4:K$10000)</f>
        <v>9.8255647284366296E-2</v>
      </c>
      <c r="N2236" s="1" cm="1">
        <f t="array" ref="N2236">SUMPRODUCT(([1]OUT_FinalEnergyCons!$B$4:$B$10000="var_ncap")*1,(ISNUMBER(SEARCH("RH*-SHELCBR",[1]OUT_FinalEnergyCons!$A$4:$A$10000)))*1,[1]OUT_FinalEnergyCons!L$4:L$10000)</f>
        <v>0.20847459436716764</v>
      </c>
      <c r="O2236" s="1" cm="1">
        <f t="array" ref="O2236">SUMPRODUCT(([1]OUT_FinalEnergyCons!$B$4:$B$10000="var_ncap")*1,(ISNUMBER(SEARCH("RH*-SHELCBR",[1]OUT_FinalEnergyCons!$A$4:$A$10000)))*1,[1]OUT_FinalEnergyCons!M$4:M$10000)</f>
        <v>2.4716491740680066E-2</v>
      </c>
      <c r="P2236" s="1" cm="1">
        <f t="array" ref="P2236">SUMPRODUCT(([1]OUT_FinalEnergyCons!$B$4:$B$10000="var_ncap")*1,(ISNUMBER(SEARCH("RH*-SHELCBR",[1]OUT_FinalEnergyCons!$A$4:$A$10000)))*1,[1]OUT_FinalEnergyCons!N$4:N$10000)</f>
        <v>0.13740617000256936</v>
      </c>
      <c r="Q2236" s="1" cm="1">
        <f t="array" ref="Q2236">SUMPRODUCT(([1]OUT_FinalEnergyCons!$B$4:$B$10000="var_ncap")*1,(ISNUMBER(SEARCH("RH*-SHELCBR",[1]OUT_FinalEnergyCons!$A$4:$A$10000)))*1,[1]OUT_FinalEnergyCons!O$4:O$10000)</f>
        <v>2.4360874581899383E-4</v>
      </c>
      <c r="S2236" s="3"/>
    </row>
    <row r="2237" spans="2:19" x14ac:dyDescent="0.5">
      <c r="B2237" s="5" t="str">
        <f t="shared" si="2263"/>
        <v>SPS1</v>
      </c>
      <c r="C2237" s="5" t="str">
        <f t="shared" si="2264"/>
        <v>CH</v>
      </c>
      <c r="D2237" t="s">
        <v>2371</v>
      </c>
      <c r="E2237" t="str">
        <f t="shared" si="2265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4.253634227305888E-7</v>
      </c>
      <c r="G2237" s="1" cm="1">
        <f t="array" ref="G2237">SUMPRODUCT(([1]OUT_FinalEnergyCons!$B$4:$B$10000="var_ncap")*1,ISNUMBER(SEARCH("RH*-SHELCHP",[1]OUT_FinalEnergyCons!$A$4:$A$10000))*1,[1]OUT_FinalEnergyCons!E$4:E$10000)</f>
        <v>0.27293472368904648</v>
      </c>
      <c r="H2237" s="1" cm="1">
        <f t="array" ref="H2237">SUMPRODUCT(([1]OUT_FinalEnergyCons!$B$4:$B$10000="var_ncap")*1,ISNUMBER(SEARCH("RH*-SHELCHP",[1]OUT_FinalEnergyCons!$A$4:$A$10000))*1,[1]OUT_FinalEnergyCons!F$4:F$10000)</f>
        <v>0.15686894477950522</v>
      </c>
      <c r="I2237" s="1" cm="1">
        <f t="array" ref="I2237">SUMPRODUCT(([1]OUT_FinalEnergyCons!$B$4:$B$10000="var_ncap")*1,ISNUMBER(SEARCH("RH*-SHELCHP",[1]OUT_FinalEnergyCons!$A$4:$A$10000))*1,[1]OUT_FinalEnergyCons!G$4:G$10000)</f>
        <v>0.63431472021542501</v>
      </c>
      <c r="J2237" s="1" cm="1">
        <f t="array" ref="J2237">SUMPRODUCT(([1]OUT_FinalEnergyCons!$B$4:$B$10000="var_ncap")*1,ISNUMBER(SEARCH("RH*-SHELCHP",[1]OUT_FinalEnergyCons!$A$4:$A$10000))*1,[1]OUT_FinalEnergyCons!H$4:H$10000)</f>
        <v>2.1886317884766138</v>
      </c>
      <c r="K2237" s="1" cm="1">
        <f t="array" ref="K2237">SUMPRODUCT(([1]OUT_FinalEnergyCons!$B$4:$B$10000="var_ncap")*1,ISNUMBER(SEARCH("RH*-SHELCHP",[1]OUT_FinalEnergyCons!$A$4:$A$10000))*1,[1]OUT_FinalEnergyCons!I$4:I$10000)</f>
        <v>0.81459479919515454</v>
      </c>
      <c r="L2237" s="1" cm="1">
        <f t="array" ref="L2237">SUMPRODUCT(([1]OUT_FinalEnergyCons!$B$4:$B$10000="var_ncap")*1,ISNUMBER(SEARCH("RH*-SHELCHP",[1]OUT_FinalEnergyCons!$A$4:$A$10000))*1,[1]OUT_FinalEnergyCons!J$4:J$10000)</f>
        <v>1.3360048159187679</v>
      </c>
      <c r="M2237" s="1" cm="1">
        <f t="array" ref="M2237">SUMPRODUCT(([1]OUT_FinalEnergyCons!$B$4:$B$10000="var_ncap")*1,ISNUMBER(SEARCH("RH*-SHELCHP",[1]OUT_FinalEnergyCons!$A$4:$A$10000))*1,[1]OUT_FinalEnergyCons!K$4:K$10000)</f>
        <v>3.2425816530681857</v>
      </c>
      <c r="N2237" s="1" cm="1">
        <f t="array" ref="N2237">SUMPRODUCT(([1]OUT_FinalEnergyCons!$B$4:$B$10000="var_ncap")*1,ISNUMBER(SEARCH("RH*-SHELCHP",[1]OUT_FinalEnergyCons!$A$4:$A$10000))*1,[1]OUT_FinalEnergyCons!L$4:L$10000)</f>
        <v>1.2973541045141539</v>
      </c>
      <c r="O2237" s="1" cm="1">
        <f t="array" ref="O2237">SUMPRODUCT(([1]OUT_FinalEnergyCons!$B$4:$B$10000="var_ncap")*1,ISNUMBER(SEARCH("RH*-SHELCHP",[1]OUT_FinalEnergyCons!$A$4:$A$10000))*1,[1]OUT_FinalEnergyCons!M$4:M$10000)</f>
        <v>1.372682727752575</v>
      </c>
      <c r="P2237" s="1" cm="1">
        <f t="array" ref="P2237">SUMPRODUCT(([1]OUT_FinalEnergyCons!$B$4:$B$10000="var_ncap")*1,ISNUMBER(SEARCH("RH*-SHELCHP",[1]OUT_FinalEnergyCons!$A$4:$A$10000))*1,[1]OUT_FinalEnergyCons!N$4:N$10000)</f>
        <v>3.0881470005204124</v>
      </c>
      <c r="Q2237" s="1" cm="1">
        <f t="array" ref="Q2237">SUMPRODUCT(([1]OUT_FinalEnergyCons!$B$4:$B$10000="var_ncap")*1,ISNUMBER(SEARCH("RH*-SHELCHP",[1]OUT_FinalEnergyCons!$A$4:$A$10000))*1,[1]OUT_FinalEnergyCons!O$4:O$10000)</f>
        <v>1.450931968578165</v>
      </c>
      <c r="S2237" s="3"/>
    </row>
    <row r="2238" spans="2:19" x14ac:dyDescent="0.5">
      <c r="B2238" s="5" t="str">
        <f t="shared" si="2263"/>
        <v>SPS1</v>
      </c>
      <c r="C2238" s="5" t="str">
        <f t="shared" si="2264"/>
        <v>CH</v>
      </c>
      <c r="D2238" t="s">
        <v>2372</v>
      </c>
      <c r="E2238" t="str">
        <f t="shared" si="2265"/>
        <v>GWth/yr.</v>
      </c>
      <c r="F2238" s="1">
        <f t="shared" ref="F2238:O2238" si="2266">F2239</f>
        <v>0</v>
      </c>
      <c r="G2238" s="1">
        <f t="shared" si="2266"/>
        <v>2.3623936016489758E-7</v>
      </c>
      <c r="H2238" s="1">
        <f t="shared" si="2266"/>
        <v>2.2975578426636621E-7</v>
      </c>
      <c r="I2238" s="1">
        <f t="shared" si="2266"/>
        <v>5.4128917928728206E-7</v>
      </c>
      <c r="J2238" s="1">
        <f t="shared" si="2266"/>
        <v>0.49449896675483496</v>
      </c>
      <c r="K2238" s="1">
        <f t="shared" si="2266"/>
        <v>0.18682780850941549</v>
      </c>
      <c r="L2238" s="1">
        <f t="shared" si="2266"/>
        <v>5.4609562568840343E-6</v>
      </c>
      <c r="M2238" s="1">
        <f t="shared" si="2266"/>
        <v>0.2656815704355327</v>
      </c>
      <c r="N2238" s="1">
        <f t="shared" si="2266"/>
        <v>0.11118363988728967</v>
      </c>
      <c r="O2238" s="1">
        <f t="shared" si="2266"/>
        <v>2.594284182613466E-6</v>
      </c>
      <c r="P2238" s="1">
        <f>P2239</f>
        <v>0.10873669323921183</v>
      </c>
      <c r="Q2238" s="1">
        <f>Q2239</f>
        <v>2.256317286864396E-6</v>
      </c>
      <c r="S2238" s="3"/>
    </row>
    <row r="2239" spans="2:19" x14ac:dyDescent="0.5">
      <c r="B2239" s="5" t="str">
        <f t="shared" si="2263"/>
        <v>SPS1</v>
      </c>
      <c r="C2239" s="5" t="str">
        <f t="shared" si="2264"/>
        <v>CH</v>
      </c>
      <c r="D2239" t="s">
        <v>2373</v>
      </c>
      <c r="E2239" t="str">
        <f t="shared" si="2265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2.3623936016489758E-7</v>
      </c>
      <c r="H2239" s="1" cm="1">
        <f t="array" ref="H2239">SUMPRODUCT(([1]OUT_FinalEnergyCons!$B$4:$B$10000="var_ncap")*1, (ISNUMBER(SEARCH("RH*-SHLFOBR",[1]OUT_FinalEnergyCons!$A$4:$A$10000)))*1,[1]OUT_FinalEnergyCons!F$4:F$10000)</f>
        <v>2.2975578426636621E-7</v>
      </c>
      <c r="I2239" s="1" cm="1">
        <f t="array" ref="I2239">SUMPRODUCT(([1]OUT_FinalEnergyCons!$B$4:$B$10000="var_ncap")*1, (ISNUMBER(SEARCH("RH*-SHLFOBR",[1]OUT_FinalEnergyCons!$A$4:$A$10000)))*1,[1]OUT_FinalEnergyCons!G$4:G$10000)</f>
        <v>5.4128917928728206E-7</v>
      </c>
      <c r="J2239" s="1" cm="1">
        <f t="array" ref="J2239">SUMPRODUCT(([1]OUT_FinalEnergyCons!$B$4:$B$10000="var_ncap")*1, (ISNUMBER(SEARCH("RH*-SHLFOBR",[1]OUT_FinalEnergyCons!$A$4:$A$10000)))*1,[1]OUT_FinalEnergyCons!H$4:H$10000)</f>
        <v>0.49449896675483496</v>
      </c>
      <c r="K2239" s="1" cm="1">
        <f t="array" ref="K2239">SUMPRODUCT(([1]OUT_FinalEnergyCons!$B$4:$B$10000="var_ncap")*1, (ISNUMBER(SEARCH("RH*-SHLFOBR",[1]OUT_FinalEnergyCons!$A$4:$A$10000)))*1,[1]OUT_FinalEnergyCons!I$4:I$10000)</f>
        <v>0.18682780850941549</v>
      </c>
      <c r="L2239" s="1" cm="1">
        <f t="array" ref="L2239">SUMPRODUCT(([1]OUT_FinalEnergyCons!$B$4:$B$10000="var_ncap")*1, (ISNUMBER(SEARCH("RH*-SHLFOBR",[1]OUT_FinalEnergyCons!$A$4:$A$10000)))*1,[1]OUT_FinalEnergyCons!J$4:J$10000)</f>
        <v>5.4609562568840343E-6</v>
      </c>
      <c r="M2239" s="1" cm="1">
        <f t="array" ref="M2239">SUMPRODUCT(([1]OUT_FinalEnergyCons!$B$4:$B$10000="var_ncap")*1, (ISNUMBER(SEARCH("RH*-SHLFOBR",[1]OUT_FinalEnergyCons!$A$4:$A$10000)))*1,[1]OUT_FinalEnergyCons!K$4:K$10000)</f>
        <v>0.2656815704355327</v>
      </c>
      <c r="N2239" s="1" cm="1">
        <f t="array" ref="N2239">SUMPRODUCT(([1]OUT_FinalEnergyCons!$B$4:$B$10000="var_ncap")*1, (ISNUMBER(SEARCH("RH*-SHLFOBR",[1]OUT_FinalEnergyCons!$A$4:$A$10000)))*1,[1]OUT_FinalEnergyCons!L$4:L$10000)</f>
        <v>0.11118363988728967</v>
      </c>
      <c r="O2239" s="1" cm="1">
        <f t="array" ref="O2239">SUMPRODUCT(([1]OUT_FinalEnergyCons!$B$4:$B$10000="var_ncap")*1, (ISNUMBER(SEARCH("RH*-SHLFOBR",[1]OUT_FinalEnergyCons!$A$4:$A$10000)))*1,[1]OUT_FinalEnergyCons!M$4:M$10000)</f>
        <v>2.594284182613466E-6</v>
      </c>
      <c r="P2239" s="1" cm="1">
        <f t="array" ref="P2239">SUMPRODUCT(([1]OUT_FinalEnergyCons!$B$4:$B$10000="var_ncap")*1, (ISNUMBER(SEARCH("RH*-SHLFOBR",[1]OUT_FinalEnergyCons!$A$4:$A$10000)))*1,[1]OUT_FinalEnergyCons!N$4:N$10000)</f>
        <v>0.10873669323921183</v>
      </c>
      <c r="Q2239" s="1" cm="1">
        <f t="array" ref="Q2239">SUMPRODUCT(([1]OUT_FinalEnergyCons!$B$4:$B$10000="var_ncap")*1, (ISNUMBER(SEARCH("RH*-SHLFOBR",[1]OUT_FinalEnergyCons!$A$4:$A$10000)))*1,[1]OUT_FinalEnergyCons!O$4:O$10000)</f>
        <v>2.256317286864396E-6</v>
      </c>
      <c r="S2239" s="3"/>
    </row>
    <row r="2240" spans="2:19" x14ac:dyDescent="0.5">
      <c r="B2240" s="5" t="str">
        <f t="shared" si="2263"/>
        <v>SPS1</v>
      </c>
      <c r="C2240" s="5" t="str">
        <f t="shared" si="2264"/>
        <v>CH</v>
      </c>
      <c r="D2240" t="s">
        <v>2374</v>
      </c>
      <c r="E2240" t="str">
        <f t="shared" si="2265"/>
        <v>GWth/yr.</v>
      </c>
      <c r="F2240" s="1">
        <f t="shared" ref="F2240:K2240" si="2267">SUM(F2241:F2242)</f>
        <v>1.3577676305439399E-7</v>
      </c>
      <c r="G2240" s="1">
        <f t="shared" si="2267"/>
        <v>0.23219214942262348</v>
      </c>
      <c r="H2240" s="1">
        <f t="shared" si="2267"/>
        <v>3.6102213087500115E-3</v>
      </c>
      <c r="I2240" s="1">
        <f t="shared" si="2267"/>
        <v>1.340561110032909E-2</v>
      </c>
      <c r="J2240" s="1">
        <f t="shared" si="2267"/>
        <v>2.4774645639713695</v>
      </c>
      <c r="K2240" s="1">
        <f t="shared" si="2267"/>
        <v>0.94011839645275241</v>
      </c>
      <c r="L2240" s="1">
        <f t="shared" ref="L2240:O2240" si="2268">SUM(L2241:L2242)</f>
        <v>8.7436114081510881E-6</v>
      </c>
      <c r="M2240" s="1">
        <f t="shared" si="2268"/>
        <v>0.67729472824274162</v>
      </c>
      <c r="N2240" s="1">
        <f t="shared" si="2268"/>
        <v>3.78054327306632E-5</v>
      </c>
      <c r="O2240" s="1">
        <f t="shared" si="2268"/>
        <v>3.9337477105869005E-3</v>
      </c>
      <c r="P2240" s="1">
        <f>SUM(P2241:P2242)</f>
        <v>0.50255754696594535</v>
      </c>
      <c r="Q2240" s="1">
        <f>SUM(Q2241:Q2242)</f>
        <v>5.0775427637700585E-2</v>
      </c>
      <c r="S2240" s="3"/>
    </row>
    <row r="2241" spans="2:19" x14ac:dyDescent="0.5">
      <c r="B2241" s="5" t="str">
        <f t="shared" si="2263"/>
        <v>SPS1</v>
      </c>
      <c r="C2241" s="5" t="str">
        <f t="shared" si="2264"/>
        <v>CH</v>
      </c>
      <c r="D2241" t="s">
        <v>2375</v>
      </c>
      <c r="E2241" t="str">
        <f t="shared" si="2265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0.23219079749545096</v>
      </c>
      <c r="H2241" s="1" cm="1">
        <f t="array" ref="H2241">SUMPRODUCT(([1]OUT_FinalEnergyCons!$B$4:$B$10000="var_ncap")*1, (ISNUMBER(SEARCH("RH*-SHNGABR",[1]OUT_FinalEnergyCons!$A$4:$A$10000)))*1,[1]OUT_FinalEnergyCons!F$4:F$10000)</f>
        <v>2.7474616644997006E-3</v>
      </c>
      <c r="I2241" s="1" cm="1">
        <f t="array" ref="I2241">SUMPRODUCT(([1]OUT_FinalEnergyCons!$B$4:$B$10000="var_ncap")*1, (ISNUMBER(SEARCH("RH*-SHNGABR",[1]OUT_FinalEnergyCons!$A$4:$A$10000)))*1,[1]OUT_FinalEnergyCons!G$4:G$10000)</f>
        <v>1.3367237990006624E-2</v>
      </c>
      <c r="J2241" s="1" cm="1">
        <f t="array" ref="J2241">SUMPRODUCT(([1]OUT_FinalEnergyCons!$B$4:$B$10000="var_ncap")*1, (ISNUMBER(SEARCH("RH*-SHNGABR",[1]OUT_FinalEnergyCons!$A$4:$A$10000)))*1,[1]OUT_FinalEnergyCons!H$4:H$10000)</f>
        <v>1.912734187213651</v>
      </c>
      <c r="K2241" s="1" cm="1">
        <f t="array" ref="K2241">SUMPRODUCT(([1]OUT_FinalEnergyCons!$B$4:$B$10000="var_ncap")*1, (ISNUMBER(SEARCH("RH*-SHNGABR",[1]OUT_FinalEnergyCons!$A$4:$A$10000)))*1,[1]OUT_FinalEnergyCons!I$4:I$10000)</f>
        <v>0.529938355410838</v>
      </c>
      <c r="L2241" s="1" cm="1">
        <f t="array" ref="L2241">SUMPRODUCT(([1]OUT_FinalEnergyCons!$B$4:$B$10000="var_ncap")*1, (ISNUMBER(SEARCH("RH*-SHNGABR",[1]OUT_FinalEnergyCons!$A$4:$A$10000)))*1,[1]OUT_FinalEnergyCons!J$4:J$10000)</f>
        <v>1.441481461703808E-6</v>
      </c>
      <c r="M2241" s="1" cm="1">
        <f t="array" ref="M2241">SUMPRODUCT(([1]OUT_FinalEnergyCons!$B$4:$B$10000="var_ncap")*1, (ISNUMBER(SEARCH("RH*-SHNGABR",[1]OUT_FinalEnergyCons!$A$4:$A$10000)))*1,[1]OUT_FinalEnergyCons!K$4:K$10000)</f>
        <v>0.37791296841261701</v>
      </c>
      <c r="N2241" s="1" cm="1">
        <f t="array" ref="N2241">SUMPRODUCT(([1]OUT_FinalEnergyCons!$B$4:$B$10000="var_ncap")*1, (ISNUMBER(SEARCH("RH*-SHNGABR",[1]OUT_FinalEnergyCons!$A$4:$A$10000)))*1,[1]OUT_FinalEnergyCons!L$4:L$10000)</f>
        <v>2.3771469295178347E-5</v>
      </c>
      <c r="O2241" s="1" cm="1">
        <f t="array" ref="O2241">SUMPRODUCT(([1]OUT_FinalEnergyCons!$B$4:$B$10000="var_ncap")*1, (ISNUMBER(SEARCH("RH*-SHNGABR",[1]OUT_FinalEnergyCons!$A$4:$A$10000)))*1,[1]OUT_FinalEnergyCons!M$4:M$10000)</f>
        <v>1.1063526962544956E-3</v>
      </c>
      <c r="P2241" s="1" cm="1">
        <f t="array" ref="P2241">SUMPRODUCT(([1]OUT_FinalEnergyCons!$B$4:$B$10000="var_ncap")*1, (ISNUMBER(SEARCH("RH*-SHNGABR",[1]OUT_FinalEnergyCons!$A$4:$A$10000)))*1,[1]OUT_FinalEnergyCons!N$4:N$10000)</f>
        <v>0.2556531678187895</v>
      </c>
      <c r="Q2241" s="1" cm="1">
        <f t="array" ref="Q2241">SUMPRODUCT(([1]OUT_FinalEnergyCons!$B$4:$B$10000="var_ncap")*1, (ISNUMBER(SEARCH("RH*-SHNGABR",[1]OUT_FinalEnergyCons!$A$4:$A$10000)))*1,[1]OUT_FinalEnergyCons!O$4:O$10000)</f>
        <v>3.995072382720676E-6</v>
      </c>
      <c r="S2241" s="3"/>
    </row>
    <row r="2242" spans="2:19" x14ac:dyDescent="0.5">
      <c r="B2242" s="5" t="str">
        <f t="shared" si="2263"/>
        <v>SPS1</v>
      </c>
      <c r="C2242" s="5" t="str">
        <f t="shared" si="2264"/>
        <v>CH</v>
      </c>
      <c r="D2242" t="s">
        <v>2376</v>
      </c>
      <c r="E2242" t="str">
        <f t="shared" si="2265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1.3577676305439399E-7</v>
      </c>
      <c r="G2242" s="1" cm="1">
        <f t="array" ref="G2242">SUMPRODUCT(([1]OUT_FinalEnergyCons!$B$4:$B$10000="var_ncap")*1,ISNUMBER(SEARCH("RH*-SHngahp",[1]OUT_FinalEnergyCons!$A$4:$A$10000))*1,[1]OUT_FinalEnergyCons!E$4:E$10000)</f>
        <v>1.3519271725032409E-6</v>
      </c>
      <c r="H2242" s="1" cm="1">
        <f t="array" ref="H2242">SUMPRODUCT(([1]OUT_FinalEnergyCons!$B$4:$B$10000="var_ncap")*1,ISNUMBER(SEARCH("RH*-SHngahp",[1]OUT_FinalEnergyCons!$A$4:$A$10000))*1,[1]OUT_FinalEnergyCons!F$4:F$10000)</f>
        <v>8.6275964425031103E-4</v>
      </c>
      <c r="I2242" s="1" cm="1">
        <f t="array" ref="I2242">SUMPRODUCT(([1]OUT_FinalEnergyCons!$B$4:$B$10000="var_ncap")*1,ISNUMBER(SEARCH("RH*-SHngahp",[1]OUT_FinalEnergyCons!$A$4:$A$10000))*1,[1]OUT_FinalEnergyCons!G$4:G$10000)</f>
        <v>3.8373110322465803E-5</v>
      </c>
      <c r="J2242" s="1" cm="1">
        <f t="array" ref="J2242">SUMPRODUCT(([1]OUT_FinalEnergyCons!$B$4:$B$10000="var_ncap")*1,ISNUMBER(SEARCH("RH*-SHngahp",[1]OUT_FinalEnergyCons!$A$4:$A$10000))*1,[1]OUT_FinalEnergyCons!H$4:H$10000)</f>
        <v>0.56473037675771853</v>
      </c>
      <c r="K2242" s="1" cm="1">
        <f t="array" ref="K2242">SUMPRODUCT(([1]OUT_FinalEnergyCons!$B$4:$B$10000="var_ncap")*1,ISNUMBER(SEARCH("RH*-SHngahp",[1]OUT_FinalEnergyCons!$A$4:$A$10000))*1,[1]OUT_FinalEnergyCons!I$4:I$10000)</f>
        <v>0.41018004104191441</v>
      </c>
      <c r="L2242" s="1" cm="1">
        <f t="array" ref="L2242">SUMPRODUCT(([1]OUT_FinalEnergyCons!$B$4:$B$10000="var_ncap")*1,ISNUMBER(SEARCH("RH*-SHngahp",[1]OUT_FinalEnergyCons!$A$4:$A$10000))*1,[1]OUT_FinalEnergyCons!J$4:J$10000)</f>
        <v>7.3021299464472808E-6</v>
      </c>
      <c r="M2242" s="1" cm="1">
        <f t="array" ref="M2242">SUMPRODUCT(([1]OUT_FinalEnergyCons!$B$4:$B$10000="var_ncap")*1,ISNUMBER(SEARCH("RH*-SHngahp",[1]OUT_FinalEnergyCons!$A$4:$A$10000))*1,[1]OUT_FinalEnergyCons!K$4:K$10000)</f>
        <v>0.29938175983012461</v>
      </c>
      <c r="N2242" s="1" cm="1">
        <f t="array" ref="N2242">SUMPRODUCT(([1]OUT_FinalEnergyCons!$B$4:$B$10000="var_ncap")*1,ISNUMBER(SEARCH("RH*-SHngahp",[1]OUT_FinalEnergyCons!$A$4:$A$10000))*1,[1]OUT_FinalEnergyCons!L$4:L$10000)</f>
        <v>1.4033963435484851E-5</v>
      </c>
      <c r="O2242" s="1" cm="1">
        <f t="array" ref="O2242">SUMPRODUCT(([1]OUT_FinalEnergyCons!$B$4:$B$10000="var_ncap")*1,ISNUMBER(SEARCH("RH*-SHngahp",[1]OUT_FinalEnergyCons!$A$4:$A$10000))*1,[1]OUT_FinalEnergyCons!M$4:M$10000)</f>
        <v>2.827395014332405E-3</v>
      </c>
      <c r="P2242" s="1" cm="1">
        <f t="array" ref="P2242">SUMPRODUCT(([1]OUT_FinalEnergyCons!$B$4:$B$10000="var_ncap")*1,ISNUMBER(SEARCH("RH*-SHngahp",[1]OUT_FinalEnergyCons!$A$4:$A$10000))*1,[1]OUT_FinalEnergyCons!N$4:N$10000)</f>
        <v>0.24690437914715585</v>
      </c>
      <c r="Q2242" s="1" cm="1">
        <f t="array" ref="Q2242">SUMPRODUCT(([1]OUT_FinalEnergyCons!$B$4:$B$10000="var_ncap")*1,ISNUMBER(SEARCH("RH*-SHngahp",[1]OUT_FinalEnergyCons!$A$4:$A$10000))*1,[1]OUT_FinalEnergyCons!O$4:O$10000)</f>
        <v>5.0771432565317867E-2</v>
      </c>
      <c r="S2242" s="3"/>
    </row>
    <row r="2243" spans="2:19" x14ac:dyDescent="0.5">
      <c r="B2243" s="5" t="str">
        <f t="shared" si="2263"/>
        <v>SPS1</v>
      </c>
      <c r="C2243" s="5" t="str">
        <f t="shared" si="2264"/>
        <v>CH</v>
      </c>
      <c r="D2243" t="s">
        <v>2377</v>
      </c>
      <c r="E2243" t="str">
        <f t="shared" si="2265"/>
        <v>GWth/yr.</v>
      </c>
      <c r="F2243" s="1">
        <f t="shared" ref="F2243:O2243" si="2269">F2244</f>
        <v>0</v>
      </c>
      <c r="G2243" s="1">
        <f t="shared" si="2269"/>
        <v>0</v>
      </c>
      <c r="H2243" s="1">
        <f t="shared" si="2269"/>
        <v>0</v>
      </c>
      <c r="I2243" s="1">
        <f t="shared" si="2269"/>
        <v>0</v>
      </c>
      <c r="J2243" s="1">
        <f t="shared" si="2269"/>
        <v>0</v>
      </c>
      <c r="K2243" s="1">
        <f t="shared" si="2269"/>
        <v>0</v>
      </c>
      <c r="L2243" s="1">
        <f t="shared" si="2269"/>
        <v>0</v>
      </c>
      <c r="M2243" s="1">
        <f t="shared" si="2269"/>
        <v>0</v>
      </c>
      <c r="N2243" s="1">
        <f t="shared" si="2269"/>
        <v>0</v>
      </c>
      <c r="O2243" s="1">
        <f t="shared" si="2269"/>
        <v>0</v>
      </c>
      <c r="P2243" s="1">
        <f>P2244</f>
        <v>0</v>
      </c>
      <c r="Q2243" s="1">
        <f>Q2244</f>
        <v>0</v>
      </c>
      <c r="S2243" s="3"/>
    </row>
    <row r="2244" spans="2:19" x14ac:dyDescent="0.5">
      <c r="B2244" s="5" t="str">
        <f t="shared" si="2263"/>
        <v>SPS1</v>
      </c>
      <c r="C2244" s="5" t="str">
        <f t="shared" si="2264"/>
        <v>CH</v>
      </c>
      <c r="D2244" t="s">
        <v>2378</v>
      </c>
      <c r="E2244" t="str">
        <f t="shared" si="2265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M2244" s="1" cm="1">
        <f t="array" ref="M2244">SUMPRODUCT(([1]OUT_FinalEnergyCons!$B$4:$B$10000="var_ncap")*1, (ISNUMBER(SEARCH("RH*-SHCOABR",[1]OUT_FinalEnergyCons!$A$4:$A$10000)))*1,[1]OUT_FinalEnergyCons!K$4:K$10000)</f>
        <v>0</v>
      </c>
      <c r="N2244" s="1" cm="1">
        <f t="array" ref="N2244">SUMPRODUCT(([1]OUT_FinalEnergyCons!$B$4:$B$10000="var_ncap")*1, (ISNUMBER(SEARCH("RH*-SHCOABR",[1]OUT_FinalEnergyCons!$A$4:$A$10000)))*1,[1]OUT_FinalEnergyCons!L$4:L$10000)</f>
        <v>0</v>
      </c>
      <c r="O2244" s="1" cm="1">
        <f t="array" ref="O2244">SUMPRODUCT(([1]OUT_FinalEnergyCons!$B$4:$B$10000="var_ncap")*1, (ISNUMBER(SEARCH("RH*-SHCOABR",[1]OUT_FinalEnergyCons!$A$4:$A$10000)))*1,[1]OUT_FinalEnergyCons!M$4:M$10000)</f>
        <v>0</v>
      </c>
      <c r="P2244" s="1" cm="1">
        <f t="array" ref="P2244">SUMPRODUCT(([1]OUT_FinalEnergyCons!$B$4:$B$10000="var_ncap")*1, (ISNUMBER(SEARCH("RH*-SHCOABR",[1]OUT_FinalEnergyCons!$A$4:$A$10000)))*1,[1]OUT_FinalEnergyCons!N$4:N$10000)</f>
        <v>0</v>
      </c>
      <c r="Q2244" s="1" cm="1">
        <f t="array" ref="Q2244">SUMPRODUCT(([1]OUT_FinalEnergyCons!$B$4:$B$10000="var_ncap")*1, (ISNUMBER(SEARCH("RH*-SHCOABR",[1]OUT_FinalEnergyCons!$A$4:$A$10000)))*1,[1]OUT_FinalEnergyCons!O$4:O$10000)</f>
        <v>0</v>
      </c>
      <c r="S2244" s="3"/>
    </row>
    <row r="2245" spans="2:19" x14ac:dyDescent="0.5">
      <c r="B2245" s="5" t="str">
        <f t="shared" si="2263"/>
        <v>SPS1</v>
      </c>
      <c r="C2245" s="5" t="str">
        <f t="shared" si="2264"/>
        <v>CH</v>
      </c>
      <c r="D2245" t="s">
        <v>2379</v>
      </c>
      <c r="E2245" t="str">
        <f t="shared" si="2265"/>
        <v>GWth/yr.</v>
      </c>
      <c r="F2245" s="1">
        <f t="shared" ref="F2245:O2245" si="2270">F2246</f>
        <v>1.2791088353972E-4</v>
      </c>
      <c r="G2245" s="1">
        <f t="shared" si="2270"/>
        <v>8.2883638682530493E-3</v>
      </c>
      <c r="H2245" s="1">
        <f t="shared" si="2270"/>
        <v>6.1947359801170542E-3</v>
      </c>
      <c r="I2245" s="1">
        <f t="shared" si="2270"/>
        <v>2.7111373447392374E-2</v>
      </c>
      <c r="J2245" s="1">
        <f t="shared" si="2270"/>
        <v>0.26282507650617548</v>
      </c>
      <c r="K2245" s="1">
        <f t="shared" si="2270"/>
        <v>7.7920736032317403E-2</v>
      </c>
      <c r="L2245" s="1">
        <f t="shared" si="2270"/>
        <v>2.3918014888625265E-2</v>
      </c>
      <c r="M2245" s="1">
        <f t="shared" si="2270"/>
        <v>0.18559582585543433</v>
      </c>
      <c r="N2245" s="1">
        <f t="shared" si="2270"/>
        <v>4.1132809375526769E-2</v>
      </c>
      <c r="O2245" s="1">
        <f t="shared" si="2270"/>
        <v>2.1250487710091776E-2</v>
      </c>
      <c r="P2245" s="1">
        <f>P2246</f>
        <v>0.15882603015215133</v>
      </c>
      <c r="Q2245" s="1">
        <f>Q2246</f>
        <v>1.2784213206370361E-2</v>
      </c>
      <c r="S2245" s="3"/>
    </row>
    <row r="2246" spans="2:19" x14ac:dyDescent="0.5">
      <c r="B2246" s="5" t="str">
        <f t="shared" si="2263"/>
        <v>SPS1</v>
      </c>
      <c r="C2246" s="5" t="str">
        <f t="shared" si="2264"/>
        <v>CH</v>
      </c>
      <c r="D2246" t="s">
        <v>2380</v>
      </c>
      <c r="E2246" t="str">
        <f t="shared" si="2265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1.2791088353972E-4</v>
      </c>
      <c r="G2246" s="1" cm="1">
        <f t="array" ref="G2246">SUMPRODUCT(([1]OUT_FinalEnergyCons!$B$4:$B$10000="var_ncap")*1, (ISNUMBER(SEARCH("RH*-SHWODBR",[1]OUT_FinalEnergyCons!$A$4:$A$10000)))*1,[1]OUT_FinalEnergyCons!E$4:E$10000)</f>
        <v>8.2883638682530493E-3</v>
      </c>
      <c r="H2246" s="1" cm="1">
        <f t="array" ref="H2246">SUMPRODUCT(([1]OUT_FinalEnergyCons!$B$4:$B$10000="var_ncap")*1, (ISNUMBER(SEARCH("RH*-SHWODBR",[1]OUT_FinalEnergyCons!$A$4:$A$10000)))*1,[1]OUT_FinalEnergyCons!F$4:F$10000)</f>
        <v>6.1947359801170542E-3</v>
      </c>
      <c r="I2246" s="1" cm="1">
        <f t="array" ref="I2246">SUMPRODUCT(([1]OUT_FinalEnergyCons!$B$4:$B$10000="var_ncap")*1, (ISNUMBER(SEARCH("RH*-SHWODBR",[1]OUT_FinalEnergyCons!$A$4:$A$10000)))*1,[1]OUT_FinalEnergyCons!G$4:G$10000)</f>
        <v>2.7111373447392374E-2</v>
      </c>
      <c r="J2246" s="1" cm="1">
        <f t="array" ref="J2246">SUMPRODUCT(([1]OUT_FinalEnergyCons!$B$4:$B$10000="var_ncap")*1, (ISNUMBER(SEARCH("RH*-SHWODBR",[1]OUT_FinalEnergyCons!$A$4:$A$10000)))*1,[1]OUT_FinalEnergyCons!H$4:H$10000)</f>
        <v>0.26282507650617548</v>
      </c>
      <c r="K2246" s="1" cm="1">
        <f t="array" ref="K2246">SUMPRODUCT(([1]OUT_FinalEnergyCons!$B$4:$B$10000="var_ncap")*1, (ISNUMBER(SEARCH("RH*-SHWODBR",[1]OUT_FinalEnergyCons!$A$4:$A$10000)))*1,[1]OUT_FinalEnergyCons!I$4:I$10000)</f>
        <v>7.7920736032317403E-2</v>
      </c>
      <c r="L2246" s="1" cm="1">
        <f t="array" ref="L2246">SUMPRODUCT(([1]OUT_FinalEnergyCons!$B$4:$B$10000="var_ncap")*1, (ISNUMBER(SEARCH("RH*-SHWODBR",[1]OUT_FinalEnergyCons!$A$4:$A$10000)))*1,[1]OUT_FinalEnergyCons!J$4:J$10000)</f>
        <v>2.3918014888625265E-2</v>
      </c>
      <c r="M2246" s="1" cm="1">
        <f t="array" ref="M2246">SUMPRODUCT(([1]OUT_FinalEnergyCons!$B$4:$B$10000="var_ncap")*1, (ISNUMBER(SEARCH("RH*-SHWODBR",[1]OUT_FinalEnergyCons!$A$4:$A$10000)))*1,[1]OUT_FinalEnergyCons!K$4:K$10000)</f>
        <v>0.18559582585543433</v>
      </c>
      <c r="N2246" s="1" cm="1">
        <f t="array" ref="N2246">SUMPRODUCT(([1]OUT_FinalEnergyCons!$B$4:$B$10000="var_ncap")*1, (ISNUMBER(SEARCH("RH*-SHWODBR",[1]OUT_FinalEnergyCons!$A$4:$A$10000)))*1,[1]OUT_FinalEnergyCons!L$4:L$10000)</f>
        <v>4.1132809375526769E-2</v>
      </c>
      <c r="O2246" s="1" cm="1">
        <f t="array" ref="O2246">SUMPRODUCT(([1]OUT_FinalEnergyCons!$B$4:$B$10000="var_ncap")*1, (ISNUMBER(SEARCH("RH*-SHWODBR",[1]OUT_FinalEnergyCons!$A$4:$A$10000)))*1,[1]OUT_FinalEnergyCons!M$4:M$10000)</f>
        <v>2.1250487710091776E-2</v>
      </c>
      <c r="P2246" s="1" cm="1">
        <f t="array" ref="P2246">SUMPRODUCT(([1]OUT_FinalEnergyCons!$B$4:$B$10000="var_ncap")*1, (ISNUMBER(SEARCH("RH*-SHWODBR",[1]OUT_FinalEnergyCons!$A$4:$A$10000)))*1,[1]OUT_FinalEnergyCons!N$4:N$10000)</f>
        <v>0.15882603015215133</v>
      </c>
      <c r="Q2246" s="1" cm="1">
        <f t="array" ref="Q2246">SUMPRODUCT(([1]OUT_FinalEnergyCons!$B$4:$B$10000="var_ncap")*1, (ISNUMBER(SEARCH("RH*-SHWODBR",[1]OUT_FinalEnergyCons!$A$4:$A$10000)))*1,[1]OUT_FinalEnergyCons!O$4:O$10000)</f>
        <v>1.2784213206370361E-2</v>
      </c>
      <c r="S2246" s="3"/>
    </row>
    <row r="2247" spans="2:19" x14ac:dyDescent="0.5">
      <c r="B2247" s="5" t="str">
        <f t="shared" si="2263"/>
        <v>SPS1</v>
      </c>
      <c r="C2247" s="5" t="str">
        <f t="shared" si="2264"/>
        <v>CH</v>
      </c>
      <c r="D2247" t="s">
        <v>2381</v>
      </c>
      <c r="E2247" t="str">
        <f t="shared" si="2265"/>
        <v>GWth/yr.</v>
      </c>
      <c r="F2247" s="1">
        <f t="shared" ref="F2247:O2247" si="2271">F2248</f>
        <v>9.25049364600833E-5</v>
      </c>
      <c r="G2247" s="1">
        <f t="shared" si="2271"/>
        <v>3.6162976520141325E-2</v>
      </c>
      <c r="H2247" s="1">
        <f t="shared" si="2271"/>
        <v>1.7118561697178046E-4</v>
      </c>
      <c r="I2247" s="1">
        <f t="shared" si="2271"/>
        <v>1.0758359669930525E-2</v>
      </c>
      <c r="J2247" s="1">
        <f t="shared" si="2271"/>
        <v>0.17937515729503956</v>
      </c>
      <c r="K2247" s="1">
        <f t="shared" si="2271"/>
        <v>7.8932677823833286E-2</v>
      </c>
      <c r="L2247" s="1">
        <f t="shared" si="2271"/>
        <v>1.5328393697438904E-2</v>
      </c>
      <c r="M2247" s="1">
        <f t="shared" si="2271"/>
        <v>0.18690583025581717</v>
      </c>
      <c r="N2247" s="1">
        <f t="shared" si="2271"/>
        <v>7.1788235573349873E-2</v>
      </c>
      <c r="O2247" s="1">
        <f t="shared" si="2271"/>
        <v>2.9507449101693669E-2</v>
      </c>
      <c r="P2247" s="1">
        <f>P2248</f>
        <v>0.17697786714933741</v>
      </c>
      <c r="Q2247" s="1">
        <f>Q2248</f>
        <v>8.267533340893643E-2</v>
      </c>
      <c r="S2247" s="3"/>
    </row>
    <row r="2248" spans="2:19" x14ac:dyDescent="0.5">
      <c r="B2248" s="5" t="str">
        <f t="shared" si="2263"/>
        <v>SPS1</v>
      </c>
      <c r="C2248" s="5" t="str">
        <f t="shared" si="2264"/>
        <v>CH</v>
      </c>
      <c r="D2248" t="s">
        <v>2382</v>
      </c>
      <c r="E2248" t="str">
        <f t="shared" si="2265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9.25049364600833E-5</v>
      </c>
      <c r="G2248" s="1" cm="1">
        <f t="array" ref="G2248">SUMPRODUCT(([1]OUT_FinalEnergyCons!$B$4:$B$10000="var_ncap")*1, (ISNUMBER(SEARCH("RH*-SHPLTBR",[1]OUT_FinalEnergyCons!$A$4:$A$10000)))*1,[1]OUT_FinalEnergyCons!E$4:E$10000)</f>
        <v>3.6162976520141325E-2</v>
      </c>
      <c r="H2248" s="1" cm="1">
        <f t="array" ref="H2248">SUMPRODUCT(([1]OUT_FinalEnergyCons!$B$4:$B$10000="var_ncap")*1, (ISNUMBER(SEARCH("RH*-SHPLTBR",[1]OUT_FinalEnergyCons!$A$4:$A$10000)))*1,[1]OUT_FinalEnergyCons!F$4:F$10000)</f>
        <v>1.7118561697178046E-4</v>
      </c>
      <c r="I2248" s="1" cm="1">
        <f t="array" ref="I2248">SUMPRODUCT(([1]OUT_FinalEnergyCons!$B$4:$B$10000="var_ncap")*1, (ISNUMBER(SEARCH("RH*-SHPLTBR",[1]OUT_FinalEnergyCons!$A$4:$A$10000)))*1,[1]OUT_FinalEnergyCons!G$4:G$10000)</f>
        <v>1.0758359669930525E-2</v>
      </c>
      <c r="J2248" s="1" cm="1">
        <f t="array" ref="J2248">SUMPRODUCT(([1]OUT_FinalEnergyCons!$B$4:$B$10000="var_ncap")*1, (ISNUMBER(SEARCH("RH*-SHPLTBR",[1]OUT_FinalEnergyCons!$A$4:$A$10000)))*1,[1]OUT_FinalEnergyCons!H$4:H$10000)</f>
        <v>0.17937515729503956</v>
      </c>
      <c r="K2248" s="1" cm="1">
        <f t="array" ref="K2248">SUMPRODUCT(([1]OUT_FinalEnergyCons!$B$4:$B$10000="var_ncap")*1, (ISNUMBER(SEARCH("RH*-SHPLTBR",[1]OUT_FinalEnergyCons!$A$4:$A$10000)))*1,[1]OUT_FinalEnergyCons!I$4:I$10000)</f>
        <v>7.8932677823833286E-2</v>
      </c>
      <c r="L2248" s="1" cm="1">
        <f t="array" ref="L2248">SUMPRODUCT(([1]OUT_FinalEnergyCons!$B$4:$B$10000="var_ncap")*1, (ISNUMBER(SEARCH("RH*-SHPLTBR",[1]OUT_FinalEnergyCons!$A$4:$A$10000)))*1,[1]OUT_FinalEnergyCons!J$4:J$10000)</f>
        <v>1.5328393697438904E-2</v>
      </c>
      <c r="M2248" s="1" cm="1">
        <f t="array" ref="M2248">SUMPRODUCT(([1]OUT_FinalEnergyCons!$B$4:$B$10000="var_ncap")*1, (ISNUMBER(SEARCH("RH*-SHPLTBR",[1]OUT_FinalEnergyCons!$A$4:$A$10000)))*1,[1]OUT_FinalEnergyCons!K$4:K$10000)</f>
        <v>0.18690583025581717</v>
      </c>
      <c r="N2248" s="1" cm="1">
        <f t="array" ref="N2248">SUMPRODUCT(([1]OUT_FinalEnergyCons!$B$4:$B$10000="var_ncap")*1, (ISNUMBER(SEARCH("RH*-SHPLTBR",[1]OUT_FinalEnergyCons!$A$4:$A$10000)))*1,[1]OUT_FinalEnergyCons!L$4:L$10000)</f>
        <v>7.1788235573349873E-2</v>
      </c>
      <c r="O2248" s="1" cm="1">
        <f t="array" ref="O2248">SUMPRODUCT(([1]OUT_FinalEnergyCons!$B$4:$B$10000="var_ncap")*1, (ISNUMBER(SEARCH("RH*-SHPLTBR",[1]OUT_FinalEnergyCons!$A$4:$A$10000)))*1,[1]OUT_FinalEnergyCons!M$4:M$10000)</f>
        <v>2.9507449101693669E-2</v>
      </c>
      <c r="P2248" s="1" cm="1">
        <f t="array" ref="P2248">SUMPRODUCT(([1]OUT_FinalEnergyCons!$B$4:$B$10000="var_ncap")*1, (ISNUMBER(SEARCH("RH*-SHPLTBR",[1]OUT_FinalEnergyCons!$A$4:$A$10000)))*1,[1]OUT_FinalEnergyCons!N$4:N$10000)</f>
        <v>0.17697786714933741</v>
      </c>
      <c r="Q2248" s="1" cm="1">
        <f t="array" ref="Q2248">SUMPRODUCT(([1]OUT_FinalEnergyCons!$B$4:$B$10000="var_ncap")*1, (ISNUMBER(SEARCH("RH*-SHPLTBR",[1]OUT_FinalEnergyCons!$A$4:$A$10000)))*1,[1]OUT_FinalEnergyCons!O$4:O$10000)</f>
        <v>8.267533340893643E-2</v>
      </c>
      <c r="S2248" s="3"/>
    </row>
    <row r="2249" spans="2:19" x14ac:dyDescent="0.5">
      <c r="B2249" s="5" t="str">
        <f t="shared" si="2263"/>
        <v>SPS1</v>
      </c>
      <c r="C2249" s="5" t="str">
        <f t="shared" si="2264"/>
        <v>CH</v>
      </c>
      <c r="D2249" t="s">
        <v>2383</v>
      </c>
      <c r="E2249" t="str">
        <f t="shared" si="2265"/>
        <v>GWth/yr.</v>
      </c>
      <c r="F2249" s="1">
        <f t="shared" ref="F2249:O2249" si="2272">F2250</f>
        <v>1.6535735790569501E-5</v>
      </c>
      <c r="G2249" s="1">
        <f t="shared" si="2272"/>
        <v>2.3134520708280568E-2</v>
      </c>
      <c r="H2249" s="1">
        <f t="shared" si="2272"/>
        <v>9.0531732197672262E-5</v>
      </c>
      <c r="I2249" s="1">
        <f t="shared" si="2272"/>
        <v>9.0102588641036933E-4</v>
      </c>
      <c r="J2249" s="1">
        <f t="shared" si="2272"/>
        <v>9.2341365314786206E-2</v>
      </c>
      <c r="K2249" s="1">
        <f t="shared" si="2272"/>
        <v>3.7905349973882049E-2</v>
      </c>
      <c r="L2249" s="1">
        <f t="shared" si="2272"/>
        <v>3.4561766375722084E-4</v>
      </c>
      <c r="M2249" s="1">
        <f t="shared" si="2272"/>
        <v>0.43264658668149858</v>
      </c>
      <c r="N2249" s="1">
        <f t="shared" si="2272"/>
        <v>3.5885365870888163E-2</v>
      </c>
      <c r="O2249" s="1">
        <f t="shared" si="2272"/>
        <v>3.8899759639152778E-3</v>
      </c>
      <c r="P2249" s="1">
        <f>P2250</f>
        <v>0.37549178462661092</v>
      </c>
      <c r="Q2249" s="1">
        <f>Q2250</f>
        <v>9.9674232603258278E-2</v>
      </c>
      <c r="S2249" s="3"/>
    </row>
    <row r="2250" spans="2:19" x14ac:dyDescent="0.5">
      <c r="B2250" s="5" t="str">
        <f t="shared" si="2263"/>
        <v>SPS1</v>
      </c>
      <c r="C2250" s="5" t="str">
        <f t="shared" si="2264"/>
        <v>CH</v>
      </c>
      <c r="D2250" t="s">
        <v>2384</v>
      </c>
      <c r="E2250" t="str">
        <f t="shared" si="2265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1.6535735790569501E-5</v>
      </c>
      <c r="G2250" s="1" cm="1">
        <f t="array" ref="G2250">SUMPRODUCT(([1]OUT_FinalEnergyCons!$B$4:$B$10000="var_ncap")*1, (ISNUMBER(SEARCH("RH*-SHSOLBR",[1]OUT_FinalEnergyCons!$A$4:$A$10000)))*1,[1]OUT_FinalEnergyCons!E$4:E$10000)</f>
        <v>2.3134520708280568E-2</v>
      </c>
      <c r="H2250" s="1" cm="1">
        <f t="array" ref="H2250">SUMPRODUCT(([1]OUT_FinalEnergyCons!$B$4:$B$10000="var_ncap")*1, (ISNUMBER(SEARCH("RH*-SHSOLBR",[1]OUT_FinalEnergyCons!$A$4:$A$10000)))*1,[1]OUT_FinalEnergyCons!F$4:F$10000)</f>
        <v>9.0531732197672262E-5</v>
      </c>
      <c r="I2250" s="1" cm="1">
        <f t="array" ref="I2250">SUMPRODUCT(([1]OUT_FinalEnergyCons!$B$4:$B$10000="var_ncap")*1, (ISNUMBER(SEARCH("RH*-SHSOLBR",[1]OUT_FinalEnergyCons!$A$4:$A$10000)))*1,[1]OUT_FinalEnergyCons!G$4:G$10000)</f>
        <v>9.0102588641036933E-4</v>
      </c>
      <c r="J2250" s="1" cm="1">
        <f t="array" ref="J2250">SUMPRODUCT(([1]OUT_FinalEnergyCons!$B$4:$B$10000="var_ncap")*1, (ISNUMBER(SEARCH("RH*-SHSOLBR",[1]OUT_FinalEnergyCons!$A$4:$A$10000)))*1,[1]OUT_FinalEnergyCons!H$4:H$10000)</f>
        <v>9.2341365314786206E-2</v>
      </c>
      <c r="K2250" s="1" cm="1">
        <f t="array" ref="K2250">SUMPRODUCT(([1]OUT_FinalEnergyCons!$B$4:$B$10000="var_ncap")*1, (ISNUMBER(SEARCH("RH*-SHSOLBR",[1]OUT_FinalEnergyCons!$A$4:$A$10000)))*1,[1]OUT_FinalEnergyCons!I$4:I$10000)</f>
        <v>3.7905349973882049E-2</v>
      </c>
      <c r="L2250" s="1" cm="1">
        <f t="array" ref="L2250">SUMPRODUCT(([1]OUT_FinalEnergyCons!$B$4:$B$10000="var_ncap")*1, (ISNUMBER(SEARCH("RH*-SHSOLBR",[1]OUT_FinalEnergyCons!$A$4:$A$10000)))*1,[1]OUT_FinalEnergyCons!J$4:J$10000)</f>
        <v>3.4561766375722084E-4</v>
      </c>
      <c r="M2250" s="1" cm="1">
        <f t="array" ref="M2250">SUMPRODUCT(([1]OUT_FinalEnergyCons!$B$4:$B$10000="var_ncap")*1, (ISNUMBER(SEARCH("RH*-SHSOLBR",[1]OUT_FinalEnergyCons!$A$4:$A$10000)))*1,[1]OUT_FinalEnergyCons!K$4:K$10000)</f>
        <v>0.43264658668149858</v>
      </c>
      <c r="N2250" s="1" cm="1">
        <f t="array" ref="N2250">SUMPRODUCT(([1]OUT_FinalEnergyCons!$B$4:$B$10000="var_ncap")*1, (ISNUMBER(SEARCH("RH*-SHSOLBR",[1]OUT_FinalEnergyCons!$A$4:$A$10000)))*1,[1]OUT_FinalEnergyCons!L$4:L$10000)</f>
        <v>3.5885365870888163E-2</v>
      </c>
      <c r="O2250" s="1" cm="1">
        <f t="array" ref="O2250">SUMPRODUCT(([1]OUT_FinalEnergyCons!$B$4:$B$10000="var_ncap")*1, (ISNUMBER(SEARCH("RH*-SHSOLBR",[1]OUT_FinalEnergyCons!$A$4:$A$10000)))*1,[1]OUT_FinalEnergyCons!M$4:M$10000)</f>
        <v>3.8899759639152778E-3</v>
      </c>
      <c r="P2250" s="1" cm="1">
        <f t="array" ref="P2250">SUMPRODUCT(([1]OUT_FinalEnergyCons!$B$4:$B$10000="var_ncap")*1, (ISNUMBER(SEARCH("RH*-SHSOLBR",[1]OUT_FinalEnergyCons!$A$4:$A$10000)))*1,[1]OUT_FinalEnergyCons!N$4:N$10000)</f>
        <v>0.37549178462661092</v>
      </c>
      <c r="Q2250" s="1" cm="1">
        <f t="array" ref="Q2250">SUMPRODUCT(([1]OUT_FinalEnergyCons!$B$4:$B$10000="var_ncap")*1, (ISNUMBER(SEARCH("RH*-SHSOLBR",[1]OUT_FinalEnergyCons!$A$4:$A$10000)))*1,[1]OUT_FinalEnergyCons!O$4:O$10000)</f>
        <v>9.9674232603258278E-2</v>
      </c>
      <c r="S2250" s="3"/>
    </row>
    <row r="2251" spans="2:19" x14ac:dyDescent="0.5">
      <c r="B2251" s="5" t="str">
        <f t="shared" si="2263"/>
        <v>SPS1</v>
      </c>
      <c r="C2251" s="5" t="str">
        <f t="shared" si="2264"/>
        <v>CH</v>
      </c>
      <c r="D2251" t="s">
        <v>2385</v>
      </c>
      <c r="E2251" t="str">
        <f t="shared" si="2265"/>
        <v>GWth/yr.</v>
      </c>
      <c r="F2251" s="1">
        <f t="shared" ref="F2251:O2251" si="2273">F2252</f>
        <v>0</v>
      </c>
      <c r="G2251" s="1">
        <f t="shared" si="2273"/>
        <v>0</v>
      </c>
      <c r="H2251" s="1">
        <f t="shared" si="2273"/>
        <v>0</v>
      </c>
      <c r="I2251" s="1">
        <f t="shared" si="2273"/>
        <v>0</v>
      </c>
      <c r="J2251" s="1">
        <f t="shared" si="2273"/>
        <v>0</v>
      </c>
      <c r="K2251" s="1">
        <f t="shared" si="2273"/>
        <v>0</v>
      </c>
      <c r="L2251" s="1">
        <f t="shared" si="2273"/>
        <v>0</v>
      </c>
      <c r="M2251" s="1">
        <f t="shared" si="2273"/>
        <v>0</v>
      </c>
      <c r="N2251" s="1">
        <f t="shared" si="2273"/>
        <v>0</v>
      </c>
      <c r="O2251" s="1">
        <f t="shared" si="2273"/>
        <v>0</v>
      </c>
      <c r="P2251" s="1">
        <f>P2252</f>
        <v>0</v>
      </c>
      <c r="Q2251" s="1">
        <f>Q2252</f>
        <v>0</v>
      </c>
      <c r="S2251" s="3"/>
    </row>
    <row r="2252" spans="2:19" x14ac:dyDescent="0.5">
      <c r="B2252" s="5" t="str">
        <f t="shared" si="2263"/>
        <v>SPS1</v>
      </c>
      <c r="C2252" s="5" t="str">
        <f t="shared" si="2264"/>
        <v>CH</v>
      </c>
      <c r="D2252" t="s">
        <v>2386</v>
      </c>
      <c r="E2252" t="str">
        <f t="shared" si="2265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M2252" s="1" cm="1">
        <f t="array" ref="M2252">SUMPRODUCT(([1]OUT_FinalEnergyCons!$B$4:$B$10000="var_ncap")*1, (ISNUMBER(SEARCH("RH*-SHH2BR",[1]OUT_FinalEnergyCons!$A$4:$A$10000)))*1,[1]OUT_FinalEnergyCons!K$4:K$10000)</f>
        <v>0</v>
      </c>
      <c r="N2252" s="1" cm="1">
        <f t="array" ref="N2252">SUMPRODUCT(([1]OUT_FinalEnergyCons!$B$4:$B$10000="var_ncap")*1, (ISNUMBER(SEARCH("RH*-SHH2BR",[1]OUT_FinalEnergyCons!$A$4:$A$10000)))*1,[1]OUT_FinalEnergyCons!L$4:L$10000)</f>
        <v>0</v>
      </c>
      <c r="O2252" s="1" cm="1">
        <f t="array" ref="O2252">SUMPRODUCT(([1]OUT_FinalEnergyCons!$B$4:$B$10000="var_ncap")*1, (ISNUMBER(SEARCH("RH*-SHH2BR",[1]OUT_FinalEnergyCons!$A$4:$A$10000)))*1,[1]OUT_FinalEnergyCons!M$4:M$10000)</f>
        <v>0</v>
      </c>
      <c r="P2252" s="1" cm="1">
        <f t="array" ref="P2252">SUMPRODUCT(([1]OUT_FinalEnergyCons!$B$4:$B$10000="var_ncap")*1, (ISNUMBER(SEARCH("RH*-SHH2BR",[1]OUT_FinalEnergyCons!$A$4:$A$10000)))*1,[1]OUT_FinalEnergyCons!N$4:N$10000)</f>
        <v>0</v>
      </c>
      <c r="Q2252" s="1" cm="1">
        <f t="array" ref="Q2252">SUMPRODUCT(([1]OUT_FinalEnergyCons!$B$4:$B$10000="var_ncap")*1, (ISNUMBER(SEARCH("RH*-SHH2BR",[1]OUT_FinalEnergyCons!$A$4:$A$10000)))*1,[1]OUT_FinalEnergyCons!O$4:O$10000)</f>
        <v>0</v>
      </c>
      <c r="S2252" s="3"/>
    </row>
    <row r="2253" spans="2:19" x14ac:dyDescent="0.5">
      <c r="B2253" s="5" t="str">
        <f t="shared" si="2263"/>
        <v>SPS1</v>
      </c>
      <c r="C2253" s="5" t="str">
        <f t="shared" si="2264"/>
        <v>CH</v>
      </c>
      <c r="D2253" t="s">
        <v>2387</v>
      </c>
      <c r="E2253" t="str">
        <f t="shared" si="2265"/>
        <v>GWth/yr.</v>
      </c>
      <c r="F2253" s="1">
        <f t="shared" ref="F2253:K2253" si="2274">SUM(F2254,F2257,F2259,F2262,F2264,F2266,F2268,F2270)</f>
        <v>5.8396174869801002E-6</v>
      </c>
      <c r="G2253" s="1">
        <f t="shared" si="2274"/>
        <v>0.15763469112587369</v>
      </c>
      <c r="H2253" s="1">
        <f t="shared" si="2274"/>
        <v>9.3621211375007965E-2</v>
      </c>
      <c r="I2253" s="1">
        <f t="shared" si="2274"/>
        <v>0.40316954321770371</v>
      </c>
      <c r="J2253" s="1">
        <f t="shared" si="2274"/>
        <v>0.92449721330466417</v>
      </c>
      <c r="K2253" s="1">
        <f t="shared" si="2274"/>
        <v>0.48967208790133432</v>
      </c>
      <c r="L2253" s="1">
        <f t="shared" ref="L2253:O2253" si="2275">SUM(L2254,L2257,L2259,L2262,L2264,L2266,L2268,L2270)</f>
        <v>0.41545457849374129</v>
      </c>
      <c r="M2253" s="1">
        <f t="shared" si="2275"/>
        <v>1.3360306979846657</v>
      </c>
      <c r="N2253" s="1">
        <f t="shared" si="2275"/>
        <v>0.3302181350439044</v>
      </c>
      <c r="O2253" s="1">
        <f t="shared" si="2275"/>
        <v>0.3702642455420726</v>
      </c>
      <c r="P2253" s="1">
        <f>SUM(P2254,P2257,P2259,P2262,P2264,P2266,P2268,P2270)</f>
        <v>1.0674595285818538</v>
      </c>
      <c r="Q2253" s="1">
        <f>SUM(Q2254,Q2257,Q2259,Q2262,Q2264,Q2266,Q2268,Q2270)</f>
        <v>0.37702490626285273</v>
      </c>
      <c r="S2253" s="3"/>
    </row>
    <row r="2254" spans="2:19" x14ac:dyDescent="0.5">
      <c r="B2254" s="5" t="str">
        <f t="shared" si="2263"/>
        <v>SPS1</v>
      </c>
      <c r="C2254" s="5" t="str">
        <f t="shared" si="2264"/>
        <v>CH</v>
      </c>
      <c r="D2254" t="s">
        <v>2388</v>
      </c>
      <c r="E2254" t="str">
        <f t="shared" si="2265"/>
        <v>GWth/yr.</v>
      </c>
      <c r="F2254" s="1">
        <f t="shared" ref="F2254:K2254" si="2276">SUM(F2255:F2256)</f>
        <v>5.8396174869801002E-6</v>
      </c>
      <c r="G2254" s="1">
        <f t="shared" si="2276"/>
        <v>6.8016053364879009E-2</v>
      </c>
      <c r="H2254" s="1">
        <f t="shared" si="2276"/>
        <v>9.3449706529290105E-2</v>
      </c>
      <c r="I2254" s="1">
        <f t="shared" si="2276"/>
        <v>0.17010134574896191</v>
      </c>
      <c r="J2254" s="1">
        <f t="shared" si="2276"/>
        <v>0.50192038890917667</v>
      </c>
      <c r="K2254" s="1">
        <f t="shared" si="2276"/>
        <v>0.11364211831904</v>
      </c>
      <c r="L2254" s="1">
        <f t="shared" ref="L2254:O2254" si="2277">SUM(L2255:L2256)</f>
        <v>0.36461586197927176</v>
      </c>
      <c r="M2254" s="1">
        <f t="shared" si="2277"/>
        <v>0.76837437344952242</v>
      </c>
      <c r="N2254" s="1">
        <f t="shared" si="2277"/>
        <v>0.26921039692902099</v>
      </c>
      <c r="O2254" s="1">
        <f t="shared" si="2277"/>
        <v>0.32311502201481357</v>
      </c>
      <c r="P2254" s="1">
        <f>SUM(P2255:P2256)</f>
        <v>0.6937393972731678</v>
      </c>
      <c r="Q2254" s="1">
        <f>SUM(Q2255:Q2256)</f>
        <v>0.34726862562163308</v>
      </c>
      <c r="S2254" s="3"/>
    </row>
    <row r="2255" spans="2:19" x14ac:dyDescent="0.5">
      <c r="B2255" s="5" t="str">
        <f t="shared" si="2263"/>
        <v>SPS1</v>
      </c>
      <c r="C2255" s="5" t="str">
        <f t="shared" si="2264"/>
        <v>CH</v>
      </c>
      <c r="D2255" t="s">
        <v>2389</v>
      </c>
      <c r="E2255" t="str">
        <f t="shared" si="2265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4.0069721251041303E-6</v>
      </c>
      <c r="G2255" s="1" cm="1">
        <f t="array" ref="G2255">SUMPRODUCT(([1]OUT_FinalEnergyCons!$B$4:$B$10000="var_ncap")*1,(ISNUMBER(SEARCH("RH*-WHELCBR",[1]OUT_FinalEnergyCons!$A$4:$A$10000)))*1,[1]OUT_FinalEnergyCons!E$4:E$10000)</f>
        <v>3.5243988502018E-2</v>
      </c>
      <c r="H2255" s="1" cm="1">
        <f t="array" ref="H2255">SUMPRODUCT(([1]OUT_FinalEnergyCons!$B$4:$B$10000="var_ncap")*1,(ISNUMBER(SEARCH("RH*-WHELCBR",[1]OUT_FinalEnergyCons!$A$4:$A$10000)))*1,[1]OUT_FinalEnergyCons!F$4:F$10000)</f>
        <v>1.0022633463097099E-6</v>
      </c>
      <c r="I2255" s="1" cm="1">
        <f t="array" ref="I2255">SUMPRODUCT(([1]OUT_FinalEnergyCons!$B$4:$B$10000="var_ncap")*1,(ISNUMBER(SEARCH("RH*-WHELCBR",[1]OUT_FinalEnergyCons!$A$4:$A$10000)))*1,[1]OUT_FinalEnergyCons!G$4:G$10000)</f>
        <v>7.3038870089643605E-7</v>
      </c>
      <c r="J2255" s="1" cm="1">
        <f t="array" ref="J2255">SUMPRODUCT(([1]OUT_FinalEnergyCons!$B$4:$B$10000="var_ncap")*1,(ISNUMBER(SEARCH("RH*-WHELCBR",[1]OUT_FinalEnergyCons!$A$4:$A$10000)))*1,[1]OUT_FinalEnergyCons!H$4:H$10000)</f>
        <v>4.8748770287953699E-2</v>
      </c>
      <c r="K2255" s="1" cm="1">
        <f t="array" ref="K2255">SUMPRODUCT(([1]OUT_FinalEnergyCons!$B$4:$B$10000="var_ncap")*1,(ISNUMBER(SEARCH("RH*-WHELCBR",[1]OUT_FinalEnergyCons!$A$4:$A$10000)))*1,[1]OUT_FinalEnergyCons!I$4:I$10000)</f>
        <v>6.2034568583136003E-2</v>
      </c>
      <c r="L2255" s="1" cm="1">
        <f t="array" ref="L2255">SUMPRODUCT(([1]OUT_FinalEnergyCons!$B$4:$B$10000="var_ncap")*1,(ISNUMBER(SEARCH("RH*-WHELCBR",[1]OUT_FinalEnergyCons!$A$4:$A$10000)))*1,[1]OUT_FinalEnergyCons!J$4:J$10000)</f>
        <v>1.8609269617315399E-6</v>
      </c>
      <c r="M2255" s="1" cm="1">
        <f t="array" ref="M2255">SUMPRODUCT(([1]OUT_FinalEnergyCons!$B$4:$B$10000="var_ncap")*1,(ISNUMBER(SEARCH("RH*-WHELCBR",[1]OUT_FinalEnergyCons!$A$4:$A$10000)))*1,[1]OUT_FinalEnergyCons!K$4:K$10000)</f>
        <v>6.0849331790415399E-2</v>
      </c>
      <c r="N2255" s="1" cm="1">
        <f t="array" ref="N2255">SUMPRODUCT(([1]OUT_FinalEnergyCons!$B$4:$B$10000="var_ncap")*1,(ISNUMBER(SEARCH("RH*-WHELCBR",[1]OUT_FinalEnergyCons!$A$4:$A$10000)))*1,[1]OUT_FinalEnergyCons!L$4:L$10000)</f>
        <v>0.13862761840569299</v>
      </c>
      <c r="O2255" s="1" cm="1">
        <f t="array" ref="O2255">SUMPRODUCT(([1]OUT_FinalEnergyCons!$B$4:$B$10000="var_ncap")*1,(ISNUMBER(SEARCH("RH*-WHELCBR",[1]OUT_FinalEnergyCons!$A$4:$A$10000)))*1,[1]OUT_FinalEnergyCons!M$4:M$10000)</f>
        <v>1.7491923253560201E-5</v>
      </c>
      <c r="P2255" s="1" cm="1">
        <f t="array" ref="P2255">SUMPRODUCT(([1]OUT_FinalEnergyCons!$B$4:$B$10000="var_ncap")*1,(ISNUMBER(SEARCH("RH*-WHELCBR",[1]OUT_FinalEnergyCons!$A$4:$A$10000)))*1,[1]OUT_FinalEnergyCons!N$4:N$10000)</f>
        <v>7.7872517558937704E-2</v>
      </c>
      <c r="Q2255" s="1" cm="1">
        <f t="array" ref="Q2255">SUMPRODUCT(([1]OUT_FinalEnergyCons!$B$4:$B$10000="var_ncap")*1,(ISNUMBER(SEARCH("RH*-WHELCBR",[1]OUT_FinalEnergyCons!$A$4:$A$10000)))*1,[1]OUT_FinalEnergyCons!O$4:O$10000)</f>
        <v>1.1064292580077E-5</v>
      </c>
      <c r="S2255" s="3"/>
    </row>
    <row r="2256" spans="2:19" x14ac:dyDescent="0.5">
      <c r="B2256" s="5" t="str">
        <f t="shared" si="2263"/>
        <v>SPS1</v>
      </c>
      <c r="C2256" s="5" t="str">
        <f t="shared" si="2264"/>
        <v>CH</v>
      </c>
      <c r="D2256" t="s">
        <v>2390</v>
      </c>
      <c r="E2256" t="str">
        <f t="shared" si="2265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1.8326453618759701E-6</v>
      </c>
      <c r="G2256" s="1" cm="1">
        <f t="array" ref="G2256">SUMPRODUCT(([1]OUT_FinalEnergyCons!$B$4:$B$10000="var_ncap")*1,ISNUMBER(SEARCH("RH*-WHELCHP",[1]OUT_FinalEnergyCons!$A$4:$A$10000))*1,[1]OUT_FinalEnergyCons!E$4:E$10000)</f>
        <v>3.2772064862861001E-2</v>
      </c>
      <c r="H2256" s="1" cm="1">
        <f t="array" ref="H2256">SUMPRODUCT(([1]OUT_FinalEnergyCons!$B$4:$B$10000="var_ncap")*1,ISNUMBER(SEARCH("RH*-WHELCHP",[1]OUT_FinalEnergyCons!$A$4:$A$10000))*1,[1]OUT_FinalEnergyCons!F$4:F$10000)</f>
        <v>9.3448704265943802E-2</v>
      </c>
      <c r="I2256" s="1" cm="1">
        <f t="array" ref="I2256">SUMPRODUCT(([1]OUT_FinalEnergyCons!$B$4:$B$10000="var_ncap")*1,ISNUMBER(SEARCH("RH*-WHELCHP",[1]OUT_FinalEnergyCons!$A$4:$A$10000))*1,[1]OUT_FinalEnergyCons!G$4:G$10000)</f>
        <v>0.170100615360261</v>
      </c>
      <c r="J2256" s="1" cm="1">
        <f t="array" ref="J2256">SUMPRODUCT(([1]OUT_FinalEnergyCons!$B$4:$B$10000="var_ncap")*1,ISNUMBER(SEARCH("RH*-WHELCHP",[1]OUT_FinalEnergyCons!$A$4:$A$10000))*1,[1]OUT_FinalEnergyCons!H$4:H$10000)</f>
        <v>0.45317161862122302</v>
      </c>
      <c r="K2256" s="1" cm="1">
        <f t="array" ref="K2256">SUMPRODUCT(([1]OUT_FinalEnergyCons!$B$4:$B$10000="var_ncap")*1,ISNUMBER(SEARCH("RH*-WHELCHP",[1]OUT_FinalEnergyCons!$A$4:$A$10000))*1,[1]OUT_FinalEnergyCons!I$4:I$10000)</f>
        <v>5.1607549735904E-2</v>
      </c>
      <c r="L2256" s="1" cm="1">
        <f t="array" ref="L2256">SUMPRODUCT(([1]OUT_FinalEnergyCons!$B$4:$B$10000="var_ncap")*1,ISNUMBER(SEARCH("RH*-WHELCHP",[1]OUT_FinalEnergyCons!$A$4:$A$10000))*1,[1]OUT_FinalEnergyCons!J$4:J$10000)</f>
        <v>0.36461400105231001</v>
      </c>
      <c r="M2256" s="1" cm="1">
        <f t="array" ref="M2256">SUMPRODUCT(([1]OUT_FinalEnergyCons!$B$4:$B$10000="var_ncap")*1,ISNUMBER(SEARCH("RH*-WHELCHP",[1]OUT_FinalEnergyCons!$A$4:$A$10000))*1,[1]OUT_FinalEnergyCons!K$4:K$10000)</f>
        <v>0.70752504165910701</v>
      </c>
      <c r="N2256" s="1" cm="1">
        <f t="array" ref="N2256">SUMPRODUCT(([1]OUT_FinalEnergyCons!$B$4:$B$10000="var_ncap")*1,ISNUMBER(SEARCH("RH*-WHELCHP",[1]OUT_FinalEnergyCons!$A$4:$A$10000))*1,[1]OUT_FinalEnergyCons!L$4:L$10000)</f>
        <v>0.130582778523328</v>
      </c>
      <c r="O2256" s="1" cm="1">
        <f t="array" ref="O2256">SUMPRODUCT(([1]OUT_FinalEnergyCons!$B$4:$B$10000="var_ncap")*1,ISNUMBER(SEARCH("RH*-WHELCHP",[1]OUT_FinalEnergyCons!$A$4:$A$10000))*1,[1]OUT_FinalEnergyCons!M$4:M$10000)</f>
        <v>0.32309753009156</v>
      </c>
      <c r="P2256" s="1" cm="1">
        <f t="array" ref="P2256">SUMPRODUCT(([1]OUT_FinalEnergyCons!$B$4:$B$10000="var_ncap")*1,ISNUMBER(SEARCH("RH*-WHELCHP",[1]OUT_FinalEnergyCons!$A$4:$A$10000))*1,[1]OUT_FinalEnergyCons!N$4:N$10000)</f>
        <v>0.61586687971423004</v>
      </c>
      <c r="Q2256" s="1" cm="1">
        <f t="array" ref="Q2256">SUMPRODUCT(([1]OUT_FinalEnergyCons!$B$4:$B$10000="var_ncap")*1,ISNUMBER(SEARCH("RH*-WHELCHP",[1]OUT_FinalEnergyCons!$A$4:$A$10000))*1,[1]OUT_FinalEnergyCons!O$4:O$10000)</f>
        <v>0.347257561329053</v>
      </c>
      <c r="S2256" s="3"/>
    </row>
    <row r="2257" spans="2:19" x14ac:dyDescent="0.5">
      <c r="B2257" s="5" t="str">
        <f t="shared" si="2263"/>
        <v>SPS1</v>
      </c>
      <c r="C2257" s="5" t="str">
        <f t="shared" si="2264"/>
        <v>CH</v>
      </c>
      <c r="D2257" t="s">
        <v>2391</v>
      </c>
      <c r="E2257" t="str">
        <f t="shared" si="2265"/>
        <v>GWth/yr.</v>
      </c>
      <c r="F2257" s="1">
        <f t="shared" ref="F2257:O2257" si="2278">F2258</f>
        <v>0</v>
      </c>
      <c r="G2257" s="1">
        <f t="shared" si="2278"/>
        <v>1.42023135885806E-7</v>
      </c>
      <c r="H2257" s="1">
        <f t="shared" si="2278"/>
        <v>1.0119078527971E-7</v>
      </c>
      <c r="I2257" s="1">
        <f t="shared" si="2278"/>
        <v>1.97199018729141E-7</v>
      </c>
      <c r="J2257" s="1">
        <f t="shared" si="2278"/>
        <v>3.3976517256449601E-5</v>
      </c>
      <c r="K2257" s="1">
        <f t="shared" si="2278"/>
        <v>5.2023019611858598E-5</v>
      </c>
      <c r="L2257" s="1">
        <f t="shared" si="2278"/>
        <v>5.6278684744402798E-7</v>
      </c>
      <c r="M2257" s="1">
        <f t="shared" si="2278"/>
        <v>0</v>
      </c>
      <c r="N2257" s="1">
        <f t="shared" si="2278"/>
        <v>2.37374411571734E-5</v>
      </c>
      <c r="O2257" s="1">
        <f t="shared" si="2278"/>
        <v>2.84930720708562E-5</v>
      </c>
      <c r="P2257" s="1">
        <f>P2258</f>
        <v>1.9615950704107802E-6</v>
      </c>
      <c r="Q2257" s="1">
        <f>Q2258</f>
        <v>6.8765711321857302E-5</v>
      </c>
      <c r="S2257" s="3"/>
    </row>
    <row r="2258" spans="2:19" x14ac:dyDescent="0.5">
      <c r="B2258" s="5" t="str">
        <f t="shared" si="2263"/>
        <v>SPS1</v>
      </c>
      <c r="C2258" s="5" t="str">
        <f t="shared" si="2264"/>
        <v>CH</v>
      </c>
      <c r="D2258" t="s">
        <v>2392</v>
      </c>
      <c r="E2258" t="str">
        <f t="shared" si="2265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1.42023135885806E-7</v>
      </c>
      <c r="H2258" s="1" cm="1">
        <f t="array" ref="H2258">SUMPRODUCT(([1]OUT_FinalEnergyCons!$B$4:$B$10000="var_ncap")*1, (ISNUMBER(SEARCH("RH*-WHLFOBR",[1]OUT_FinalEnergyCons!$A$4:$A$10000)))*1,[1]OUT_FinalEnergyCons!F$4:F$10000)</f>
        <v>1.0119078527971E-7</v>
      </c>
      <c r="I2258" s="1" cm="1">
        <f t="array" ref="I2258">SUMPRODUCT(([1]OUT_FinalEnergyCons!$B$4:$B$10000="var_ncap")*1, (ISNUMBER(SEARCH("RH*-WHLFOBR",[1]OUT_FinalEnergyCons!$A$4:$A$10000)))*1,[1]OUT_FinalEnergyCons!G$4:G$10000)</f>
        <v>1.97199018729141E-7</v>
      </c>
      <c r="J2258" s="1" cm="1">
        <f t="array" ref="J2258">SUMPRODUCT(([1]OUT_FinalEnergyCons!$B$4:$B$10000="var_ncap")*1, (ISNUMBER(SEARCH("RH*-WHLFOBR",[1]OUT_FinalEnergyCons!$A$4:$A$10000)))*1,[1]OUT_FinalEnergyCons!H$4:H$10000)</f>
        <v>3.3976517256449601E-5</v>
      </c>
      <c r="K2258" s="1" cm="1">
        <f t="array" ref="K2258">SUMPRODUCT(([1]OUT_FinalEnergyCons!$B$4:$B$10000="var_ncap")*1, (ISNUMBER(SEARCH("RH*-WHLFOBR",[1]OUT_FinalEnergyCons!$A$4:$A$10000)))*1,[1]OUT_FinalEnergyCons!I$4:I$10000)</f>
        <v>5.2023019611858598E-5</v>
      </c>
      <c r="L2258" s="1" cm="1">
        <f t="array" ref="L2258">SUMPRODUCT(([1]OUT_FinalEnergyCons!$B$4:$B$10000="var_ncap")*1, (ISNUMBER(SEARCH("RH*-WHLFOBR",[1]OUT_FinalEnergyCons!$A$4:$A$10000)))*1,[1]OUT_FinalEnergyCons!J$4:J$10000)</f>
        <v>5.6278684744402798E-7</v>
      </c>
      <c r="M2258" s="1" cm="1">
        <f t="array" ref="M2258">SUMPRODUCT(([1]OUT_FinalEnergyCons!$B$4:$B$10000="var_ncap")*1, (ISNUMBER(SEARCH("RH*-WHLFOBR",[1]OUT_FinalEnergyCons!$A$4:$A$10000)))*1,[1]OUT_FinalEnergyCons!K$4:K$10000)</f>
        <v>0</v>
      </c>
      <c r="N2258" s="1" cm="1">
        <f t="array" ref="N2258">SUMPRODUCT(([1]OUT_FinalEnergyCons!$B$4:$B$10000="var_ncap")*1, (ISNUMBER(SEARCH("RH*-WHLFOBR",[1]OUT_FinalEnergyCons!$A$4:$A$10000)))*1,[1]OUT_FinalEnergyCons!L$4:L$10000)</f>
        <v>2.37374411571734E-5</v>
      </c>
      <c r="O2258" s="1" cm="1">
        <f t="array" ref="O2258">SUMPRODUCT(([1]OUT_FinalEnergyCons!$B$4:$B$10000="var_ncap")*1, (ISNUMBER(SEARCH("RH*-WHLFOBR",[1]OUT_FinalEnergyCons!$A$4:$A$10000)))*1,[1]OUT_FinalEnergyCons!M$4:M$10000)</f>
        <v>2.84930720708562E-5</v>
      </c>
      <c r="P2258" s="1" cm="1">
        <f t="array" ref="P2258">SUMPRODUCT(([1]OUT_FinalEnergyCons!$B$4:$B$10000="var_ncap")*1, (ISNUMBER(SEARCH("RH*-WHLFOBR",[1]OUT_FinalEnergyCons!$A$4:$A$10000)))*1,[1]OUT_FinalEnergyCons!N$4:N$10000)</f>
        <v>1.9615950704107802E-6</v>
      </c>
      <c r="Q2258" s="1" cm="1">
        <f t="array" ref="Q2258">SUMPRODUCT(([1]OUT_FinalEnergyCons!$B$4:$B$10000="var_ncap")*1, (ISNUMBER(SEARCH("RH*-WHLFOBR",[1]OUT_FinalEnergyCons!$A$4:$A$10000)))*1,[1]OUT_FinalEnergyCons!O$4:O$10000)</f>
        <v>6.8765711321857302E-5</v>
      </c>
      <c r="S2258" s="3"/>
    </row>
    <row r="2259" spans="2:19" x14ac:dyDescent="0.5">
      <c r="B2259" s="5" t="str">
        <f t="shared" si="2263"/>
        <v>SPS1</v>
      </c>
      <c r="C2259" s="5" t="str">
        <f t="shared" si="2264"/>
        <v>CH</v>
      </c>
      <c r="D2259" t="s">
        <v>2393</v>
      </c>
      <c r="E2259" t="str">
        <f t="shared" si="2265"/>
        <v>GWth/yr.</v>
      </c>
      <c r="F2259" s="1">
        <f t="shared" ref="F2259:K2259" si="2279">SUM(F2260:F2261)</f>
        <v>0</v>
      </c>
      <c r="G2259" s="1">
        <f t="shared" si="2279"/>
        <v>1.358452467916571E-6</v>
      </c>
      <c r="H2259" s="1">
        <f t="shared" si="2279"/>
        <v>1.704755545430748E-4</v>
      </c>
      <c r="I2259" s="1">
        <f t="shared" si="2279"/>
        <v>0.23306496407550373</v>
      </c>
      <c r="J2259" s="1">
        <f t="shared" si="2279"/>
        <v>0.35191788453907502</v>
      </c>
      <c r="K2259" s="1">
        <f t="shared" si="2279"/>
        <v>0.26400850486383798</v>
      </c>
      <c r="L2259" s="1">
        <f t="shared" ref="L2259:O2259" si="2280">SUM(L2260:L2261)</f>
        <v>2.6426047253867848E-2</v>
      </c>
      <c r="M2259" s="1">
        <f t="shared" si="2280"/>
        <v>3.2518240688687699E-6</v>
      </c>
      <c r="N2259" s="1">
        <f t="shared" si="2280"/>
        <v>5.2569244739635701E-2</v>
      </c>
      <c r="O2259" s="1">
        <f t="shared" si="2280"/>
        <v>4.5591883115508498E-2</v>
      </c>
      <c r="P2259" s="1">
        <f>SUM(P2260:P2261)</f>
        <v>1.6698750007025091E-2</v>
      </c>
      <c r="Q2259" s="1">
        <f>SUM(Q2260:Q2261)</f>
        <v>2.408902822356436E-2</v>
      </c>
      <c r="S2259" s="3"/>
    </row>
    <row r="2260" spans="2:19" x14ac:dyDescent="0.5">
      <c r="B2260" s="5" t="str">
        <f t="shared" si="2263"/>
        <v>SPS1</v>
      </c>
      <c r="C2260" s="5" t="str">
        <f t="shared" si="2264"/>
        <v>CH</v>
      </c>
      <c r="D2260" t="s">
        <v>2394</v>
      </c>
      <c r="E2260" t="str">
        <f t="shared" si="2265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5.5132855832322498E-7</v>
      </c>
      <c r="H2260" s="1" cm="1">
        <f t="array" ref="H2260">SUMPRODUCT(([1]OUT_FinalEnergyCons!$B$4:$B$10000="var_ncap")*1, (ISNUMBER(SEARCH("RH*-WHNGABR",[1]OUT_FinalEnergyCons!$A$4:$A$10000)))*1,[1]OUT_FinalEnergyCons!F$4:F$10000)</f>
        <v>1.34204342181781E-6</v>
      </c>
      <c r="I2260" s="1" cm="1">
        <f t="array" ref="I2260">SUMPRODUCT(([1]OUT_FinalEnergyCons!$B$4:$B$10000="var_ncap")*1, (ISNUMBER(SEARCH("RH*-WHNGABR",[1]OUT_FinalEnergyCons!$A$4:$A$10000)))*1,[1]OUT_FinalEnergyCons!G$4:G$10000)</f>
        <v>0.23305815575067701</v>
      </c>
      <c r="J2260" s="1" cm="1">
        <f t="array" ref="J2260">SUMPRODUCT(([1]OUT_FinalEnergyCons!$B$4:$B$10000="var_ncap")*1, (ISNUMBER(SEARCH("RH*-WHNGABR",[1]OUT_FinalEnergyCons!$A$4:$A$10000)))*1,[1]OUT_FinalEnergyCons!H$4:H$10000)</f>
        <v>0.229713478588638</v>
      </c>
      <c r="K2260" s="1" cm="1">
        <f t="array" ref="K2260">SUMPRODUCT(([1]OUT_FinalEnergyCons!$B$4:$B$10000="var_ncap")*1, (ISNUMBER(SEARCH("RH*-WHNGABR",[1]OUT_FinalEnergyCons!$A$4:$A$10000)))*1,[1]OUT_FinalEnergyCons!I$4:I$10000)</f>
        <v>0.15172720227313</v>
      </c>
      <c r="L2260" s="1" cm="1">
        <f t="array" ref="L2260">SUMPRODUCT(([1]OUT_FinalEnergyCons!$B$4:$B$10000="var_ncap")*1, (ISNUMBER(SEARCH("RH*-WHNGABR",[1]OUT_FinalEnergyCons!$A$4:$A$10000)))*1,[1]OUT_FinalEnergyCons!J$4:J$10000)</f>
        <v>6.1622275514876205E-7</v>
      </c>
      <c r="M2260" s="1" cm="1">
        <f t="array" ref="M2260">SUMPRODUCT(([1]OUT_FinalEnergyCons!$B$4:$B$10000="var_ncap")*1, (ISNUMBER(SEARCH("RH*-WHNGABR",[1]OUT_FinalEnergyCons!$A$4:$A$10000)))*1,[1]OUT_FinalEnergyCons!K$4:K$10000)</f>
        <v>1.8645577326043799E-6</v>
      </c>
      <c r="N2260" s="1" cm="1">
        <f t="array" ref="N2260">SUMPRODUCT(([1]OUT_FinalEnergyCons!$B$4:$B$10000="var_ncap")*1, (ISNUMBER(SEARCH("RH*-WHNGABR",[1]OUT_FinalEnergyCons!$A$4:$A$10000)))*1,[1]OUT_FinalEnergyCons!L$4:L$10000)</f>
        <v>2.8278266848538899E-2</v>
      </c>
      <c r="O2260" s="1" cm="1">
        <f t="array" ref="O2260">SUMPRODUCT(([1]OUT_FinalEnergyCons!$B$4:$B$10000="var_ncap")*1, (ISNUMBER(SEARCH("RH*-WHNGABR",[1]OUT_FinalEnergyCons!$A$4:$A$10000)))*1,[1]OUT_FinalEnergyCons!M$4:M$10000)</f>
        <v>1.1582415698962701E-2</v>
      </c>
      <c r="P2260" s="1" cm="1">
        <f t="array" ref="P2260">SUMPRODUCT(([1]OUT_FinalEnergyCons!$B$4:$B$10000="var_ncap")*1, (ISNUMBER(SEARCH("RH*-WHNGABR",[1]OUT_FinalEnergyCons!$A$4:$A$10000)))*1,[1]OUT_FinalEnergyCons!N$4:N$10000)</f>
        <v>9.0030839884487294E-3</v>
      </c>
      <c r="Q2260" s="1" cm="1">
        <f t="array" ref="Q2260">SUMPRODUCT(([1]OUT_FinalEnergyCons!$B$4:$B$10000="var_ncap")*1, (ISNUMBER(SEARCH("RH*-WHNGABR",[1]OUT_FinalEnergyCons!$A$4:$A$10000)))*1,[1]OUT_FinalEnergyCons!O$4:O$10000)</f>
        <v>7.4784972694622604E-3</v>
      </c>
      <c r="S2260" s="3"/>
    </row>
    <row r="2261" spans="2:19" x14ac:dyDescent="0.5">
      <c r="B2261" s="5" t="str">
        <f t="shared" si="2263"/>
        <v>SPS1</v>
      </c>
      <c r="C2261" s="5" t="str">
        <f t="shared" si="2264"/>
        <v>CH</v>
      </c>
      <c r="D2261" t="s">
        <v>2395</v>
      </c>
      <c r="E2261" t="str">
        <f t="shared" si="2265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8.0712390959334603E-7</v>
      </c>
      <c r="H2261" s="1" cm="1">
        <f t="array" ref="H2261">SUMPRODUCT(([1]OUT_FinalEnergyCons!$B$4:$B$10000="var_ncap")*1,ISNUMBER(SEARCH("RH*-WHngahp",[1]OUT_FinalEnergyCons!$A$4:$A$10000))*1,[1]OUT_FinalEnergyCons!F$4:F$10000)</f>
        <v>1.6913351112125699E-4</v>
      </c>
      <c r="I2261" s="1" cm="1">
        <f t="array" ref="I2261">SUMPRODUCT(([1]OUT_FinalEnergyCons!$B$4:$B$10000="var_ncap")*1,ISNUMBER(SEARCH("RH*-WHngahp",[1]OUT_FinalEnergyCons!$A$4:$A$10000))*1,[1]OUT_FinalEnergyCons!G$4:G$10000)</f>
        <v>6.8083248267063202E-6</v>
      </c>
      <c r="J2261" s="1" cm="1">
        <f t="array" ref="J2261">SUMPRODUCT(([1]OUT_FinalEnergyCons!$B$4:$B$10000="var_ncap")*1,ISNUMBER(SEARCH("RH*-WHngahp",[1]OUT_FinalEnergyCons!$A$4:$A$10000))*1,[1]OUT_FinalEnergyCons!H$4:H$10000)</f>
        <v>0.122204405950437</v>
      </c>
      <c r="K2261" s="1" cm="1">
        <f t="array" ref="K2261">SUMPRODUCT(([1]OUT_FinalEnergyCons!$B$4:$B$10000="var_ncap")*1,ISNUMBER(SEARCH("RH*-WHngahp",[1]OUT_FinalEnergyCons!$A$4:$A$10000))*1,[1]OUT_FinalEnergyCons!I$4:I$10000)</f>
        <v>0.112281302590708</v>
      </c>
      <c r="L2261" s="1" cm="1">
        <f t="array" ref="L2261">SUMPRODUCT(([1]OUT_FinalEnergyCons!$B$4:$B$10000="var_ncap")*1,ISNUMBER(SEARCH("RH*-WHngahp",[1]OUT_FinalEnergyCons!$A$4:$A$10000))*1,[1]OUT_FinalEnergyCons!J$4:J$10000)</f>
        <v>2.6425431031112698E-2</v>
      </c>
      <c r="M2261" s="1" cm="1">
        <f t="array" ref="M2261">SUMPRODUCT(([1]OUT_FinalEnergyCons!$B$4:$B$10000="var_ncap")*1,ISNUMBER(SEARCH("RH*-WHngahp",[1]OUT_FinalEnergyCons!$A$4:$A$10000))*1,[1]OUT_FinalEnergyCons!K$4:K$10000)</f>
        <v>1.38726633626439E-6</v>
      </c>
      <c r="N2261" s="1" cm="1">
        <f t="array" ref="N2261">SUMPRODUCT(([1]OUT_FinalEnergyCons!$B$4:$B$10000="var_ncap")*1,ISNUMBER(SEARCH("RH*-WHngahp",[1]OUT_FinalEnergyCons!$A$4:$A$10000))*1,[1]OUT_FinalEnergyCons!L$4:L$10000)</f>
        <v>2.4290977891096799E-2</v>
      </c>
      <c r="O2261" s="1" cm="1">
        <f t="array" ref="O2261">SUMPRODUCT(([1]OUT_FinalEnergyCons!$B$4:$B$10000="var_ncap")*1,ISNUMBER(SEARCH("RH*-WHngahp",[1]OUT_FinalEnergyCons!$A$4:$A$10000))*1,[1]OUT_FinalEnergyCons!M$4:M$10000)</f>
        <v>3.4009467416545799E-2</v>
      </c>
      <c r="P2261" s="1" cm="1">
        <f t="array" ref="P2261">SUMPRODUCT(([1]OUT_FinalEnergyCons!$B$4:$B$10000="var_ncap")*1,ISNUMBER(SEARCH("RH*-WHngahp",[1]OUT_FinalEnergyCons!$A$4:$A$10000))*1,[1]OUT_FinalEnergyCons!N$4:N$10000)</f>
        <v>7.6956660185763604E-3</v>
      </c>
      <c r="Q2261" s="1" cm="1">
        <f t="array" ref="Q2261">SUMPRODUCT(([1]OUT_FinalEnergyCons!$B$4:$B$10000="var_ncap")*1,ISNUMBER(SEARCH("RH*-WHngahp",[1]OUT_FinalEnergyCons!$A$4:$A$10000))*1,[1]OUT_FinalEnergyCons!O$4:O$10000)</f>
        <v>1.6610530954102101E-2</v>
      </c>
      <c r="S2261" s="3"/>
    </row>
    <row r="2262" spans="2:19" x14ac:dyDescent="0.5">
      <c r="B2262" s="5" t="str">
        <f t="shared" si="2263"/>
        <v>SPS1</v>
      </c>
      <c r="C2262" s="5" t="str">
        <f t="shared" si="2264"/>
        <v>CH</v>
      </c>
      <c r="D2262" t="s">
        <v>2396</v>
      </c>
      <c r="E2262" t="str">
        <f t="shared" si="2265"/>
        <v>GWth/yr.</v>
      </c>
      <c r="F2262" s="1">
        <f t="shared" ref="F2262:O2262" si="2281">F2263</f>
        <v>0</v>
      </c>
      <c r="G2262" s="1">
        <f t="shared" si="2281"/>
        <v>0</v>
      </c>
      <c r="H2262" s="1">
        <f t="shared" si="2281"/>
        <v>0</v>
      </c>
      <c r="I2262" s="1">
        <f t="shared" si="2281"/>
        <v>0</v>
      </c>
      <c r="J2262" s="1">
        <f t="shared" si="2281"/>
        <v>0</v>
      </c>
      <c r="K2262" s="1">
        <f t="shared" si="2281"/>
        <v>0</v>
      </c>
      <c r="L2262" s="1">
        <f t="shared" si="2281"/>
        <v>0</v>
      </c>
      <c r="M2262" s="1">
        <f t="shared" si="2281"/>
        <v>0</v>
      </c>
      <c r="N2262" s="1">
        <f t="shared" si="2281"/>
        <v>0</v>
      </c>
      <c r="O2262" s="1">
        <f t="shared" si="2281"/>
        <v>0</v>
      </c>
      <c r="P2262" s="1">
        <f>P2263</f>
        <v>0</v>
      </c>
      <c r="Q2262" s="1">
        <f>Q2263</f>
        <v>0</v>
      </c>
      <c r="S2262" s="3"/>
    </row>
    <row r="2263" spans="2:19" x14ac:dyDescent="0.5">
      <c r="B2263" s="5" t="str">
        <f t="shared" si="2263"/>
        <v>SPS1</v>
      </c>
      <c r="C2263" s="5" t="str">
        <f t="shared" si="2264"/>
        <v>CH</v>
      </c>
      <c r="D2263" t="s">
        <v>2397</v>
      </c>
      <c r="E2263" t="str">
        <f t="shared" si="2265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M2263" s="1" cm="1">
        <f t="array" ref="M2263">SUMPRODUCT(([1]OUT_FinalEnergyCons!$B$4:$B$10000="var_ncap")*1, (ISNUMBER(SEARCH("RH*-WHCOABR",[1]OUT_FinalEnergyCons!$A$4:$A$10000)))*1,[1]OUT_FinalEnergyCons!K$4:K$10000)</f>
        <v>0</v>
      </c>
      <c r="N2263" s="1" cm="1">
        <f t="array" ref="N2263">SUMPRODUCT(([1]OUT_FinalEnergyCons!$B$4:$B$10000="var_ncap")*1, (ISNUMBER(SEARCH("RH*-WHCOABR",[1]OUT_FinalEnergyCons!$A$4:$A$10000)))*1,[1]OUT_FinalEnergyCons!L$4:L$10000)</f>
        <v>0</v>
      </c>
      <c r="O2263" s="1" cm="1">
        <f t="array" ref="O2263">SUMPRODUCT(([1]OUT_FinalEnergyCons!$B$4:$B$10000="var_ncap")*1, (ISNUMBER(SEARCH("RH*-WHCOABR",[1]OUT_FinalEnergyCons!$A$4:$A$10000)))*1,[1]OUT_FinalEnergyCons!M$4:M$10000)</f>
        <v>0</v>
      </c>
      <c r="P2263" s="1" cm="1">
        <f t="array" ref="P2263">SUMPRODUCT(([1]OUT_FinalEnergyCons!$B$4:$B$10000="var_ncap")*1, (ISNUMBER(SEARCH("RH*-WHCOABR",[1]OUT_FinalEnergyCons!$A$4:$A$10000)))*1,[1]OUT_FinalEnergyCons!N$4:N$10000)</f>
        <v>0</v>
      </c>
      <c r="Q2263" s="1" cm="1">
        <f t="array" ref="Q2263">SUMPRODUCT(([1]OUT_FinalEnergyCons!$B$4:$B$10000="var_ncap")*1, (ISNUMBER(SEARCH("RH*-WHCOABR",[1]OUT_FinalEnergyCons!$A$4:$A$10000)))*1,[1]OUT_FinalEnergyCons!O$4:O$10000)</f>
        <v>0</v>
      </c>
      <c r="S2263" s="3"/>
    </row>
    <row r="2264" spans="2:19" x14ac:dyDescent="0.5">
      <c r="B2264" s="5" t="str">
        <f t="shared" si="2263"/>
        <v>SPS1</v>
      </c>
      <c r="C2264" s="5" t="str">
        <f t="shared" si="2264"/>
        <v>CH</v>
      </c>
      <c r="D2264" t="s">
        <v>2398</v>
      </c>
      <c r="E2264" t="str">
        <f t="shared" si="2265"/>
        <v>GWth/yr.</v>
      </c>
      <c r="F2264" s="1">
        <f t="shared" ref="F2264:O2264" si="2282">F2265</f>
        <v>0</v>
      </c>
      <c r="G2264" s="1">
        <f t="shared" si="2282"/>
        <v>5.1142165461429698E-3</v>
      </c>
      <c r="H2264" s="1">
        <f t="shared" si="2282"/>
        <v>1.5811178198891899E-7</v>
      </c>
      <c r="I2264" s="1">
        <f t="shared" si="2282"/>
        <v>4.2897770395048902E-7</v>
      </c>
      <c r="J2264" s="1">
        <f t="shared" si="2282"/>
        <v>6.5177767628374099E-3</v>
      </c>
      <c r="K2264" s="1">
        <f t="shared" si="2282"/>
        <v>6.6472290019791002E-3</v>
      </c>
      <c r="L2264" s="1">
        <f t="shared" si="2282"/>
        <v>4.8161477746383196E-7</v>
      </c>
      <c r="M2264" s="1">
        <f t="shared" si="2282"/>
        <v>3.6981099498324499E-3</v>
      </c>
      <c r="N2264" s="1">
        <f t="shared" si="2282"/>
        <v>4.6994313665256002E-3</v>
      </c>
      <c r="O2264" s="1">
        <f t="shared" si="2282"/>
        <v>5.1002419850485999E-4</v>
      </c>
      <c r="P2264" s="1">
        <f>P2265</f>
        <v>4.2578782469477796E-3</v>
      </c>
      <c r="Q2264" s="1">
        <f>Q2265</f>
        <v>1.83082955477183E-3</v>
      </c>
      <c r="S2264" s="3"/>
    </row>
    <row r="2265" spans="2:19" x14ac:dyDescent="0.5">
      <c r="B2265" s="5" t="str">
        <f t="shared" si="2263"/>
        <v>SPS1</v>
      </c>
      <c r="C2265" s="5" t="str">
        <f t="shared" si="2264"/>
        <v>CH</v>
      </c>
      <c r="D2265" t="s">
        <v>2399</v>
      </c>
      <c r="E2265" t="str">
        <f t="shared" si="2265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5.1142165461429698E-3</v>
      </c>
      <c r="H2265" s="1" cm="1">
        <f t="array" ref="H2265">SUMPRODUCT(([1]OUT_FinalEnergyCons!$B$4:$B$10000="var_ncap")*1, (ISNUMBER(SEARCH("RH*-WHWODBR",[1]OUT_FinalEnergyCons!$A$4:$A$10000)))*1,[1]OUT_FinalEnergyCons!F$4:F$10000)</f>
        <v>1.5811178198891899E-7</v>
      </c>
      <c r="I2265" s="1" cm="1">
        <f t="array" ref="I2265">SUMPRODUCT(([1]OUT_FinalEnergyCons!$B$4:$B$10000="var_ncap")*1, (ISNUMBER(SEARCH("RH*-WHWODBR",[1]OUT_FinalEnergyCons!$A$4:$A$10000)))*1,[1]OUT_FinalEnergyCons!G$4:G$10000)</f>
        <v>4.2897770395048902E-7</v>
      </c>
      <c r="J2265" s="1" cm="1">
        <f t="array" ref="J2265">SUMPRODUCT(([1]OUT_FinalEnergyCons!$B$4:$B$10000="var_ncap")*1, (ISNUMBER(SEARCH("RH*-WHWODBR",[1]OUT_FinalEnergyCons!$A$4:$A$10000)))*1,[1]OUT_FinalEnergyCons!H$4:H$10000)</f>
        <v>6.5177767628374099E-3</v>
      </c>
      <c r="K2265" s="1" cm="1">
        <f t="array" ref="K2265">SUMPRODUCT(([1]OUT_FinalEnergyCons!$B$4:$B$10000="var_ncap")*1, (ISNUMBER(SEARCH("RH*-WHWODBR",[1]OUT_FinalEnergyCons!$A$4:$A$10000)))*1,[1]OUT_FinalEnergyCons!I$4:I$10000)</f>
        <v>6.6472290019791002E-3</v>
      </c>
      <c r="L2265" s="1" cm="1">
        <f t="array" ref="L2265">SUMPRODUCT(([1]OUT_FinalEnergyCons!$B$4:$B$10000="var_ncap")*1, (ISNUMBER(SEARCH("RH*-WHWODBR",[1]OUT_FinalEnergyCons!$A$4:$A$10000)))*1,[1]OUT_FinalEnergyCons!J$4:J$10000)</f>
        <v>4.8161477746383196E-7</v>
      </c>
      <c r="M2265" s="1" cm="1">
        <f t="array" ref="M2265">SUMPRODUCT(([1]OUT_FinalEnergyCons!$B$4:$B$10000="var_ncap")*1, (ISNUMBER(SEARCH("RH*-WHWODBR",[1]OUT_FinalEnergyCons!$A$4:$A$10000)))*1,[1]OUT_FinalEnergyCons!K$4:K$10000)</f>
        <v>3.6981099498324499E-3</v>
      </c>
      <c r="N2265" s="1" cm="1">
        <f t="array" ref="N2265">SUMPRODUCT(([1]OUT_FinalEnergyCons!$B$4:$B$10000="var_ncap")*1, (ISNUMBER(SEARCH("RH*-WHWODBR",[1]OUT_FinalEnergyCons!$A$4:$A$10000)))*1,[1]OUT_FinalEnergyCons!L$4:L$10000)</f>
        <v>4.6994313665256002E-3</v>
      </c>
      <c r="O2265" s="1" cm="1">
        <f t="array" ref="O2265">SUMPRODUCT(([1]OUT_FinalEnergyCons!$B$4:$B$10000="var_ncap")*1, (ISNUMBER(SEARCH("RH*-WHWODBR",[1]OUT_FinalEnergyCons!$A$4:$A$10000)))*1,[1]OUT_FinalEnergyCons!M$4:M$10000)</f>
        <v>5.1002419850485999E-4</v>
      </c>
      <c r="P2265" s="1" cm="1">
        <f t="array" ref="P2265">SUMPRODUCT(([1]OUT_FinalEnergyCons!$B$4:$B$10000="var_ncap")*1, (ISNUMBER(SEARCH("RH*-WHWODBR",[1]OUT_FinalEnergyCons!$A$4:$A$10000)))*1,[1]OUT_FinalEnergyCons!N$4:N$10000)</f>
        <v>4.2578782469477796E-3</v>
      </c>
      <c r="Q2265" s="1" cm="1">
        <f t="array" ref="Q2265">SUMPRODUCT(([1]OUT_FinalEnergyCons!$B$4:$B$10000="var_ncap")*1, (ISNUMBER(SEARCH("RH*-WHWODBR",[1]OUT_FinalEnergyCons!$A$4:$A$10000)))*1,[1]OUT_FinalEnergyCons!O$4:O$10000)</f>
        <v>1.83082955477183E-3</v>
      </c>
      <c r="S2265" s="3"/>
    </row>
    <row r="2266" spans="2:19" x14ac:dyDescent="0.5">
      <c r="B2266" s="5" t="str">
        <f t="shared" si="2263"/>
        <v>SPS1</v>
      </c>
      <c r="C2266" s="5" t="str">
        <f t="shared" si="2264"/>
        <v>CH</v>
      </c>
      <c r="D2266" t="s">
        <v>2400</v>
      </c>
      <c r="E2266" t="str">
        <f t="shared" si="2265"/>
        <v>GWth/yr.</v>
      </c>
      <c r="F2266" s="1">
        <f t="shared" ref="F2266:O2266" si="2283">F2267</f>
        <v>0</v>
      </c>
      <c r="G2266" s="1">
        <f t="shared" si="2283"/>
        <v>1.9517092238670001E-3</v>
      </c>
      <c r="H2266" s="1">
        <f t="shared" si="2283"/>
        <v>1.5220605849796901E-7</v>
      </c>
      <c r="I2266" s="1">
        <f t="shared" si="2283"/>
        <v>2.78468119245963E-7</v>
      </c>
      <c r="J2266" s="1">
        <f t="shared" si="2283"/>
        <v>5.6008861990793704E-3</v>
      </c>
      <c r="K2266" s="1">
        <f t="shared" si="2283"/>
        <v>4.17476794387332E-3</v>
      </c>
      <c r="L2266" s="1">
        <f t="shared" si="2283"/>
        <v>2.1818894993233301E-4</v>
      </c>
      <c r="M2266" s="1">
        <f t="shared" si="2283"/>
        <v>5.8217152095188501E-3</v>
      </c>
      <c r="N2266" s="1">
        <f t="shared" si="2283"/>
        <v>3.69817579279788E-3</v>
      </c>
      <c r="O2266" s="1">
        <f t="shared" si="2283"/>
        <v>1.0081699495399501E-3</v>
      </c>
      <c r="P2266" s="1">
        <f>P2267</f>
        <v>5.95831040492253E-3</v>
      </c>
      <c r="Q2266" s="1">
        <f>Q2267</f>
        <v>3.6171794817528302E-3</v>
      </c>
      <c r="S2266" s="3"/>
    </row>
    <row r="2267" spans="2:19" x14ac:dyDescent="0.5">
      <c r="B2267" s="5" t="str">
        <f t="shared" si="2263"/>
        <v>SPS1</v>
      </c>
      <c r="C2267" s="5" t="str">
        <f t="shared" si="2264"/>
        <v>CH</v>
      </c>
      <c r="D2267" t="s">
        <v>2401</v>
      </c>
      <c r="E2267" t="str">
        <f t="shared" si="2265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1.9517092238670001E-3</v>
      </c>
      <c r="H2267" s="1" cm="1">
        <f t="array" ref="H2267">SUMPRODUCT(([1]OUT_FinalEnergyCons!$B$4:$B$10000="var_ncap")*1, (ISNUMBER(SEARCH("RH*-WHPLTBR",[1]OUT_FinalEnergyCons!$A$4:$A$10000)))*1,[1]OUT_FinalEnergyCons!F$4:F$10000)</f>
        <v>1.5220605849796901E-7</v>
      </c>
      <c r="I2267" s="1" cm="1">
        <f t="array" ref="I2267">SUMPRODUCT(([1]OUT_FinalEnergyCons!$B$4:$B$10000="var_ncap")*1, (ISNUMBER(SEARCH("RH*-WHPLTBR",[1]OUT_FinalEnergyCons!$A$4:$A$10000)))*1,[1]OUT_FinalEnergyCons!G$4:G$10000)</f>
        <v>2.78468119245963E-7</v>
      </c>
      <c r="J2267" s="1" cm="1">
        <f t="array" ref="J2267">SUMPRODUCT(([1]OUT_FinalEnergyCons!$B$4:$B$10000="var_ncap")*1, (ISNUMBER(SEARCH("RH*-WHPLTBR",[1]OUT_FinalEnergyCons!$A$4:$A$10000)))*1,[1]OUT_FinalEnergyCons!H$4:H$10000)</f>
        <v>5.6008861990793704E-3</v>
      </c>
      <c r="K2267" s="1" cm="1">
        <f t="array" ref="K2267">SUMPRODUCT(([1]OUT_FinalEnergyCons!$B$4:$B$10000="var_ncap")*1, (ISNUMBER(SEARCH("RH*-WHPLTBR",[1]OUT_FinalEnergyCons!$A$4:$A$10000)))*1,[1]OUT_FinalEnergyCons!I$4:I$10000)</f>
        <v>4.17476794387332E-3</v>
      </c>
      <c r="L2267" s="1" cm="1">
        <f t="array" ref="L2267">SUMPRODUCT(([1]OUT_FinalEnergyCons!$B$4:$B$10000="var_ncap")*1, (ISNUMBER(SEARCH("RH*-WHPLTBR",[1]OUT_FinalEnergyCons!$A$4:$A$10000)))*1,[1]OUT_FinalEnergyCons!J$4:J$10000)</f>
        <v>2.1818894993233301E-4</v>
      </c>
      <c r="M2267" s="1" cm="1">
        <f t="array" ref="M2267">SUMPRODUCT(([1]OUT_FinalEnergyCons!$B$4:$B$10000="var_ncap")*1, (ISNUMBER(SEARCH("RH*-WHPLTBR",[1]OUT_FinalEnergyCons!$A$4:$A$10000)))*1,[1]OUT_FinalEnergyCons!K$4:K$10000)</f>
        <v>5.8217152095188501E-3</v>
      </c>
      <c r="N2267" s="1" cm="1">
        <f t="array" ref="N2267">SUMPRODUCT(([1]OUT_FinalEnergyCons!$B$4:$B$10000="var_ncap")*1, (ISNUMBER(SEARCH("RH*-WHPLTBR",[1]OUT_FinalEnergyCons!$A$4:$A$10000)))*1,[1]OUT_FinalEnergyCons!L$4:L$10000)</f>
        <v>3.69817579279788E-3</v>
      </c>
      <c r="O2267" s="1" cm="1">
        <f t="array" ref="O2267">SUMPRODUCT(([1]OUT_FinalEnergyCons!$B$4:$B$10000="var_ncap")*1, (ISNUMBER(SEARCH("RH*-WHPLTBR",[1]OUT_FinalEnergyCons!$A$4:$A$10000)))*1,[1]OUT_FinalEnergyCons!M$4:M$10000)</f>
        <v>1.0081699495399501E-3</v>
      </c>
      <c r="P2267" s="1" cm="1">
        <f t="array" ref="P2267">SUMPRODUCT(([1]OUT_FinalEnergyCons!$B$4:$B$10000="var_ncap")*1, (ISNUMBER(SEARCH("RH*-WHPLTBR",[1]OUT_FinalEnergyCons!$A$4:$A$10000)))*1,[1]OUT_FinalEnergyCons!N$4:N$10000)</f>
        <v>5.95831040492253E-3</v>
      </c>
      <c r="Q2267" s="1" cm="1">
        <f t="array" ref="Q2267">SUMPRODUCT(([1]OUT_FinalEnergyCons!$B$4:$B$10000="var_ncap")*1, (ISNUMBER(SEARCH("RH*-WHPLTBR",[1]OUT_FinalEnergyCons!$A$4:$A$10000)))*1,[1]OUT_FinalEnergyCons!O$4:O$10000)</f>
        <v>3.6171794817528302E-3</v>
      </c>
      <c r="S2267" s="3"/>
    </row>
    <row r="2268" spans="2:19" x14ac:dyDescent="0.5">
      <c r="B2268" s="5" t="str">
        <f t="shared" ref="B2268:B2294" si="2284">B2267</f>
        <v>SPS1</v>
      </c>
      <c r="C2268" s="5" t="str">
        <f t="shared" ref="C2268:C2294" si="2285">C2267</f>
        <v>CH</v>
      </c>
      <c r="D2268" t="s">
        <v>2402</v>
      </c>
      <c r="E2268" t="str">
        <f t="shared" ref="E2268:E2299" si="2286">E2267</f>
        <v>GWth/yr.</v>
      </c>
      <c r="F2268" s="1">
        <f t="shared" ref="F2268:O2268" si="2287">F2269</f>
        <v>0</v>
      </c>
      <c r="G2268" s="1">
        <f t="shared" si="2287"/>
        <v>8.2551211515380904E-2</v>
      </c>
      <c r="H2268" s="1">
        <f t="shared" si="2287"/>
        <v>6.1778254902383196E-7</v>
      </c>
      <c r="I2268" s="1">
        <f t="shared" si="2287"/>
        <v>2.3287483961678299E-6</v>
      </c>
      <c r="J2268" s="1">
        <f t="shared" si="2287"/>
        <v>5.8506300377239299E-2</v>
      </c>
      <c r="K2268" s="1">
        <f t="shared" si="2287"/>
        <v>0.10114744475299201</v>
      </c>
      <c r="L2268" s="1">
        <f t="shared" si="2287"/>
        <v>2.4193435909044499E-2</v>
      </c>
      <c r="M2268" s="1">
        <f t="shared" si="2287"/>
        <v>0.558133247551723</v>
      </c>
      <c r="N2268" s="1">
        <f t="shared" si="2287"/>
        <v>1.71487747670586E-5</v>
      </c>
      <c r="O2268" s="1">
        <f t="shared" si="2287"/>
        <v>1.0653191634847899E-5</v>
      </c>
      <c r="P2268" s="1">
        <f>P2269</f>
        <v>0.34680323105472</v>
      </c>
      <c r="Q2268" s="1">
        <f>Q2269</f>
        <v>1.5047766980879999E-4</v>
      </c>
      <c r="S2268" s="3"/>
    </row>
    <row r="2269" spans="2:19" x14ac:dyDescent="0.5">
      <c r="B2269" s="5" t="str">
        <f t="shared" si="2284"/>
        <v>SPS1</v>
      </c>
      <c r="C2269" s="5" t="str">
        <f t="shared" si="2285"/>
        <v>CH</v>
      </c>
      <c r="D2269" t="s">
        <v>2403</v>
      </c>
      <c r="E2269" t="str">
        <f t="shared" si="2286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8.2551211515380904E-2</v>
      </c>
      <c r="H2269" s="1" cm="1">
        <f t="array" ref="H2269">SUMPRODUCT(([1]OUT_FinalEnergyCons!$B$4:$B$10000="var_ncap")*1, (ISNUMBER(SEARCH("RH*-WHSOLBR",[1]OUT_FinalEnergyCons!$A$4:$A$10000)))*1,[1]OUT_FinalEnergyCons!F$4:F$10000)</f>
        <v>6.1778254902383196E-7</v>
      </c>
      <c r="I2269" s="1" cm="1">
        <f t="array" ref="I2269">SUMPRODUCT(([1]OUT_FinalEnergyCons!$B$4:$B$10000="var_ncap")*1, (ISNUMBER(SEARCH("RH*-WHSOLBR",[1]OUT_FinalEnergyCons!$A$4:$A$10000)))*1,[1]OUT_FinalEnergyCons!G$4:G$10000)</f>
        <v>2.3287483961678299E-6</v>
      </c>
      <c r="J2269" s="1" cm="1">
        <f t="array" ref="J2269">SUMPRODUCT(([1]OUT_FinalEnergyCons!$B$4:$B$10000="var_ncap")*1, (ISNUMBER(SEARCH("RH*-WHSOLBR",[1]OUT_FinalEnergyCons!$A$4:$A$10000)))*1,[1]OUT_FinalEnergyCons!H$4:H$10000)</f>
        <v>5.8506300377239299E-2</v>
      </c>
      <c r="K2269" s="1" cm="1">
        <f t="array" ref="K2269">SUMPRODUCT(([1]OUT_FinalEnergyCons!$B$4:$B$10000="var_ncap")*1, (ISNUMBER(SEARCH("RH*-WHSOLBR",[1]OUT_FinalEnergyCons!$A$4:$A$10000)))*1,[1]OUT_FinalEnergyCons!I$4:I$10000)</f>
        <v>0.10114744475299201</v>
      </c>
      <c r="L2269" s="1" cm="1">
        <f t="array" ref="L2269">SUMPRODUCT(([1]OUT_FinalEnergyCons!$B$4:$B$10000="var_ncap")*1, (ISNUMBER(SEARCH("RH*-WHSOLBR",[1]OUT_FinalEnergyCons!$A$4:$A$10000)))*1,[1]OUT_FinalEnergyCons!J$4:J$10000)</f>
        <v>2.4193435909044499E-2</v>
      </c>
      <c r="M2269" s="1" cm="1">
        <f t="array" ref="M2269">SUMPRODUCT(([1]OUT_FinalEnergyCons!$B$4:$B$10000="var_ncap")*1, (ISNUMBER(SEARCH("RH*-WHSOLBR",[1]OUT_FinalEnergyCons!$A$4:$A$10000)))*1,[1]OUT_FinalEnergyCons!K$4:K$10000)</f>
        <v>0.558133247551723</v>
      </c>
      <c r="N2269" s="1" cm="1">
        <f t="array" ref="N2269">SUMPRODUCT(([1]OUT_FinalEnergyCons!$B$4:$B$10000="var_ncap")*1, (ISNUMBER(SEARCH("RH*-WHSOLBR",[1]OUT_FinalEnergyCons!$A$4:$A$10000)))*1,[1]OUT_FinalEnergyCons!L$4:L$10000)</f>
        <v>1.71487747670586E-5</v>
      </c>
      <c r="O2269" s="1" cm="1">
        <f t="array" ref="O2269">SUMPRODUCT(([1]OUT_FinalEnergyCons!$B$4:$B$10000="var_ncap")*1, (ISNUMBER(SEARCH("RH*-WHSOLBR",[1]OUT_FinalEnergyCons!$A$4:$A$10000)))*1,[1]OUT_FinalEnergyCons!M$4:M$10000)</f>
        <v>1.0653191634847899E-5</v>
      </c>
      <c r="P2269" s="1" cm="1">
        <f t="array" ref="P2269">SUMPRODUCT(([1]OUT_FinalEnergyCons!$B$4:$B$10000="var_ncap")*1, (ISNUMBER(SEARCH("RH*-WHSOLBR",[1]OUT_FinalEnergyCons!$A$4:$A$10000)))*1,[1]OUT_FinalEnergyCons!N$4:N$10000)</f>
        <v>0.34680323105472</v>
      </c>
      <c r="Q2269" s="1" cm="1">
        <f t="array" ref="Q2269">SUMPRODUCT(([1]OUT_FinalEnergyCons!$B$4:$B$10000="var_ncap")*1, (ISNUMBER(SEARCH("RH*-WHSOLBR",[1]OUT_FinalEnergyCons!$A$4:$A$10000)))*1,[1]OUT_FinalEnergyCons!O$4:O$10000)</f>
        <v>1.5047766980879999E-4</v>
      </c>
      <c r="S2269" s="3"/>
    </row>
    <row r="2270" spans="2:19" x14ac:dyDescent="0.5">
      <c r="B2270" s="5" t="str">
        <f t="shared" si="2284"/>
        <v>SPS1</v>
      </c>
      <c r="C2270" s="5" t="str">
        <f t="shared" si="2285"/>
        <v>CH</v>
      </c>
      <c r="D2270" t="s">
        <v>2404</v>
      </c>
      <c r="E2270" t="str">
        <f t="shared" si="2286"/>
        <v>GWth/yr.</v>
      </c>
      <c r="F2270" s="1">
        <f t="shared" ref="F2270:O2270" si="2288">F2271</f>
        <v>0</v>
      </c>
      <c r="G2270" s="1">
        <f t="shared" si="2288"/>
        <v>0</v>
      </c>
      <c r="H2270" s="1">
        <f t="shared" si="2288"/>
        <v>0</v>
      </c>
      <c r="I2270" s="1">
        <f t="shared" si="2288"/>
        <v>0</v>
      </c>
      <c r="J2270" s="1">
        <f t="shared" si="2288"/>
        <v>0</v>
      </c>
      <c r="K2270" s="1">
        <f t="shared" si="2288"/>
        <v>0</v>
      </c>
      <c r="L2270" s="1">
        <f t="shared" si="2288"/>
        <v>0</v>
      </c>
      <c r="M2270" s="1">
        <f t="shared" si="2288"/>
        <v>0</v>
      </c>
      <c r="N2270" s="1">
        <f t="shared" si="2288"/>
        <v>0</v>
      </c>
      <c r="O2270" s="1">
        <f t="shared" si="2288"/>
        <v>0</v>
      </c>
      <c r="P2270" s="1">
        <f>P2271</f>
        <v>0</v>
      </c>
      <c r="Q2270" s="1">
        <f>Q2271</f>
        <v>0</v>
      </c>
      <c r="S2270" s="3"/>
    </row>
    <row r="2271" spans="2:19" x14ac:dyDescent="0.5">
      <c r="B2271" s="5" t="str">
        <f t="shared" si="2284"/>
        <v>SPS1</v>
      </c>
      <c r="C2271" s="5" t="str">
        <f t="shared" si="2285"/>
        <v>CH</v>
      </c>
      <c r="D2271" t="s">
        <v>2405</v>
      </c>
      <c r="E2271" t="str">
        <f t="shared" si="2286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M2271" s="1" cm="1">
        <f t="array" ref="M2271">SUMPRODUCT(([1]OUT_FinalEnergyCons!$B$4:$B$10000="var_ncap")*1, (ISNUMBER(SEARCH("RH*-WHH2BR",[1]OUT_FinalEnergyCons!$A$4:$A$10000)))*1,[1]OUT_FinalEnergyCons!K$4:K$10000)</f>
        <v>0</v>
      </c>
      <c r="N2271" s="1" cm="1">
        <f t="array" ref="N2271">SUMPRODUCT(([1]OUT_FinalEnergyCons!$B$4:$B$10000="var_ncap")*1, (ISNUMBER(SEARCH("RH*-WHH2BR",[1]OUT_FinalEnergyCons!$A$4:$A$10000)))*1,[1]OUT_FinalEnergyCons!L$4:L$10000)</f>
        <v>0</v>
      </c>
      <c r="O2271" s="1" cm="1">
        <f t="array" ref="O2271">SUMPRODUCT(([1]OUT_FinalEnergyCons!$B$4:$B$10000="var_ncap")*1, (ISNUMBER(SEARCH("RH*-WHH2BR",[1]OUT_FinalEnergyCons!$A$4:$A$10000)))*1,[1]OUT_FinalEnergyCons!M$4:M$10000)</f>
        <v>0</v>
      </c>
      <c r="P2271" s="1" cm="1">
        <f t="array" ref="P2271">SUMPRODUCT(([1]OUT_FinalEnergyCons!$B$4:$B$10000="var_ncap")*1, (ISNUMBER(SEARCH("RH*-WHH2BR",[1]OUT_FinalEnergyCons!$A$4:$A$10000)))*1,[1]OUT_FinalEnergyCons!N$4:N$10000)</f>
        <v>0</v>
      </c>
      <c r="Q2271" s="1" cm="1">
        <f t="array" ref="Q2271">SUMPRODUCT(([1]OUT_FinalEnergyCons!$B$4:$B$10000="var_ncap")*1, (ISNUMBER(SEARCH("RH*-WHH2BR",[1]OUT_FinalEnergyCons!$A$4:$A$10000)))*1,[1]OUT_FinalEnergyCons!O$4:O$10000)</f>
        <v>0</v>
      </c>
      <c r="S2271" s="3"/>
    </row>
    <row r="2272" spans="2:19" x14ac:dyDescent="0.5">
      <c r="B2272" s="9" t="str">
        <f t="shared" si="2284"/>
        <v>SPS1</v>
      </c>
      <c r="C2272" s="9" t="str">
        <f t="shared" si="2285"/>
        <v>CH</v>
      </c>
      <c r="D2272" s="2" t="s">
        <v>2406</v>
      </c>
      <c r="E2272" s="9" t="str">
        <f t="shared" si="2286"/>
        <v>GWth/yr.</v>
      </c>
      <c r="F2272" s="17">
        <f t="shared" ref="F2272:K2272" si="2289">SUM(F2273,F2276,F2279,F2283,F2285,F2287,F2289,F2291,F2293)</f>
        <v>2.1048619781651099E-4</v>
      </c>
      <c r="G2272" s="17">
        <f t="shared" si="2289"/>
        <v>0.24700675750685366</v>
      </c>
      <c r="H2272" s="17">
        <f t="shared" si="2289"/>
        <v>0.11964719680609813</v>
      </c>
      <c r="I2272" s="17">
        <f t="shared" si="2289"/>
        <v>0.32447960185624525</v>
      </c>
      <c r="J2272" s="17">
        <f t="shared" si="2289"/>
        <v>2.7347304888526431</v>
      </c>
      <c r="K2272" s="17">
        <f t="shared" si="2289"/>
        <v>0.86352282482335085</v>
      </c>
      <c r="L2272" s="17">
        <f t="shared" ref="L2272:O2272" si="2290">SUM(L2273,L2276,L2279,L2283,L2285,L2287,L2289,L2291,L2293)</f>
        <v>0.47443268316705844</v>
      </c>
      <c r="M2272" s="17">
        <f t="shared" si="2290"/>
        <v>2.4828382532809652</v>
      </c>
      <c r="N2272" s="17">
        <f t="shared" si="2290"/>
        <v>0.51292289591835494</v>
      </c>
      <c r="O2272" s="17">
        <f t="shared" si="2290"/>
        <v>0.46581295180815546</v>
      </c>
      <c r="P2272" s="17">
        <f>SUM(P2273,P2276,P2279,P2283,P2285,P2287,P2289,P2291,P2293)</f>
        <v>2.2271213428019623</v>
      </c>
      <c r="Q2272" s="17">
        <f>SUM(Q2273,Q2276,Q2279,Q2283,Q2285,Q2287,Q2289,Q2291,Q2293)</f>
        <v>0.80046767472789393</v>
      </c>
      <c r="S2272" s="3"/>
    </row>
    <row r="2273" spans="2:19" x14ac:dyDescent="0.5">
      <c r="B2273" s="5" t="str">
        <f t="shared" si="2284"/>
        <v>SPS1</v>
      </c>
      <c r="C2273" s="5" t="str">
        <f t="shared" si="2285"/>
        <v>CH</v>
      </c>
      <c r="D2273" t="s">
        <v>2407</v>
      </c>
      <c r="E2273" t="str">
        <f t="shared" si="2286"/>
        <v>GWth/yr.</v>
      </c>
      <c r="F2273" s="18">
        <f t="shared" ref="F2273:K2273" si="2291">SUM(F2274:F2275)</f>
        <v>0</v>
      </c>
      <c r="G2273" s="18">
        <f t="shared" si="2291"/>
        <v>0.18329632956757991</v>
      </c>
      <c r="H2273" s="18">
        <f t="shared" si="2291"/>
        <v>0.11955149145025462</v>
      </c>
      <c r="I2273" s="18">
        <f t="shared" si="2291"/>
        <v>0.28931881275354798</v>
      </c>
      <c r="J2273" s="18">
        <f t="shared" si="2291"/>
        <v>0.95631670039069905</v>
      </c>
      <c r="K2273" s="18">
        <f t="shared" si="2291"/>
        <v>0.39247278482265002</v>
      </c>
      <c r="L2273" s="18">
        <f t="shared" ref="L2273:O2273" si="2292">SUM(L2274:L2275)</f>
        <v>0.435518938155393</v>
      </c>
      <c r="M2273" s="18">
        <f t="shared" si="2292"/>
        <v>1.1025865632616378</v>
      </c>
      <c r="N2273" s="18">
        <f t="shared" si="2292"/>
        <v>0.31794145891090297</v>
      </c>
      <c r="O2273" s="18">
        <f t="shared" si="2292"/>
        <v>0.30405213060867747</v>
      </c>
      <c r="P2273" s="18">
        <f>SUM(P2274:P2275)</f>
        <v>1.0632095425480681</v>
      </c>
      <c r="Q2273" s="18">
        <f>SUM(Q2274:Q2275)</f>
        <v>0.40731352392063502</v>
      </c>
      <c r="S2273" s="3"/>
    </row>
    <row r="2274" spans="2:19" x14ac:dyDescent="0.5">
      <c r="B2274" s="5" t="str">
        <f t="shared" si="2284"/>
        <v>SPS1</v>
      </c>
      <c r="C2274" s="5" t="str">
        <f t="shared" si="2285"/>
        <v>CH</v>
      </c>
      <c r="D2274" t="s">
        <v>2408</v>
      </c>
      <c r="E2274" t="str">
        <f t="shared" si="2286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0.16728626209665801</v>
      </c>
      <c r="H2274" s="1" cm="1">
        <f t="array" ref="H2274">SUMPRODUCT(([1]OUT_FinalEnergyCons!$B$4:$B$10000="var_ncap")*1,  (ISNUMBER(SEARCH("ITOT-SWHELCBR",[1]OUT_FinalEnergyCons!$A$4:$A$10000)))*1,[1]OUT_FinalEnergyCons!F$4:F$10000)</f>
        <v>1.92733930506612E-4</v>
      </c>
      <c r="I2274" s="1" cm="1">
        <f t="array" ref="I2274">SUMPRODUCT(([1]OUT_FinalEnergyCons!$B$4:$B$10000="var_ncap")*1,  (ISNUMBER(SEARCH("ITOT-SWHELCBR",[1]OUT_FinalEnergyCons!$A$4:$A$10000)))*1,[1]OUT_FinalEnergyCons!G$4:G$10000)</f>
        <v>0.16165849494787499</v>
      </c>
      <c r="J2274" s="1" cm="1">
        <f t="array" ref="J2274">SUMPRODUCT(([1]OUT_FinalEnergyCons!$B$4:$B$10000="var_ncap")*1,  (ISNUMBER(SEARCH("ITOT-SWHELCBR",[1]OUT_FinalEnergyCons!$A$4:$A$10000)))*1,[1]OUT_FinalEnergyCons!H$4:H$10000)</f>
        <v>0.77870810262510803</v>
      </c>
      <c r="K2274" s="1" cm="1">
        <f t="array" ref="K2274">SUMPRODUCT(([1]OUT_FinalEnergyCons!$B$4:$B$10000="var_ncap")*1,  (ISNUMBER(SEARCH("ITOT-SWHELCBR",[1]OUT_FinalEnergyCons!$A$4:$A$10000)))*1,[1]OUT_FinalEnergyCons!I$4:I$10000)</f>
        <v>0.25045327988108401</v>
      </c>
      <c r="L2274" s="1" cm="1">
        <f t="array" ref="L2274">SUMPRODUCT(([1]OUT_FinalEnergyCons!$B$4:$B$10000="var_ncap")*1,  (ISNUMBER(SEARCH("ITOT-SWHELCBR",[1]OUT_FinalEnergyCons!$A$4:$A$10000)))*1,[1]OUT_FinalEnergyCons!J$4:J$10000)</f>
        <v>0.15653666573021199</v>
      </c>
      <c r="M2274" s="1" cm="1">
        <f t="array" ref="M2274">SUMPRODUCT(([1]OUT_FinalEnergyCons!$B$4:$B$10000="var_ncap")*1,  (ISNUMBER(SEARCH("ITOT-SWHELCBR",[1]OUT_FinalEnergyCons!$A$4:$A$10000)))*1,[1]OUT_FinalEnergyCons!K$4:K$10000)</f>
        <v>0.77960631584761397</v>
      </c>
      <c r="N2274" s="1" cm="1">
        <f t="array" ref="N2274">SUMPRODUCT(([1]OUT_FinalEnergyCons!$B$4:$B$10000="var_ncap")*1,  (ISNUMBER(SEARCH("ITOT-SWHELCBR",[1]OUT_FinalEnergyCons!$A$4:$A$10000)))*1,[1]OUT_FinalEnergyCons!L$4:L$10000)</f>
        <v>0.177685720411278</v>
      </c>
      <c r="O2274" s="1" cm="1">
        <f t="array" ref="O2274">SUMPRODUCT(([1]OUT_FinalEnergyCons!$B$4:$B$10000="var_ncap")*1,  (ISNUMBER(SEARCH("ITOT-SWHELCBR",[1]OUT_FinalEnergyCons!$A$4:$A$10000)))*1,[1]OUT_FinalEnergyCons!M$4:M$10000)</f>
        <v>4.2068505034100499E-2</v>
      </c>
      <c r="P2274" s="1" cm="1">
        <f t="array" ref="P2274">SUMPRODUCT(([1]OUT_FinalEnergyCons!$B$4:$B$10000="var_ncap")*1,  (ISNUMBER(SEARCH("ITOT-SWHELCBR",[1]OUT_FinalEnergyCons!$A$4:$A$10000)))*1,[1]OUT_FinalEnergyCons!N$4:N$10000)</f>
        <v>0.75264856963528703</v>
      </c>
      <c r="Q2274" s="1" cm="1">
        <f t="array" ref="Q2274">SUMPRODUCT(([1]OUT_FinalEnergyCons!$B$4:$B$10000="var_ncap")*1,  (ISNUMBER(SEARCH("ITOT-SWHELCBR",[1]OUT_FinalEnergyCons!$A$4:$A$10000)))*1,[1]OUT_FinalEnergyCons!O$4:O$10000)</f>
        <v>0.25508005634477898</v>
      </c>
      <c r="S2274" s="3"/>
    </row>
    <row r="2275" spans="2:19" x14ac:dyDescent="0.5">
      <c r="B2275" s="5" t="str">
        <f t="shared" si="2284"/>
        <v>SPS1</v>
      </c>
      <c r="C2275" s="5" t="str">
        <f t="shared" si="2285"/>
        <v>CH</v>
      </c>
      <c r="D2275" t="s">
        <v>2409</v>
      </c>
      <c r="E2275" t="str">
        <f t="shared" si="2286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1.6010067470921902E-2</v>
      </c>
      <c r="H2275" s="1" cm="1">
        <f t="array" ref="H2275">SUMPRODUCT(([1]OUT_FinalEnergyCons!$B$4:$B$10000="var_ncap")*1,  (ISNUMBER(SEARCH("ITOT-SWHELCHP",[1]OUT_FinalEnergyCons!$A$4:$A$10000)))*1,[1]OUT_FinalEnergyCons!F$4:F$10000)</f>
        <v>0.119358757519748</v>
      </c>
      <c r="I2275" s="1" cm="1">
        <f t="array" ref="I2275">SUMPRODUCT(([1]OUT_FinalEnergyCons!$B$4:$B$10000="var_ncap")*1,  (ISNUMBER(SEARCH("ITOT-SWHELCHP",[1]OUT_FinalEnergyCons!$A$4:$A$10000)))*1,[1]OUT_FinalEnergyCons!G$4:G$10000)</f>
        <v>0.127660317805673</v>
      </c>
      <c r="J2275" s="1" cm="1">
        <f t="array" ref="J2275">SUMPRODUCT(([1]OUT_FinalEnergyCons!$B$4:$B$10000="var_ncap")*1,  (ISNUMBER(SEARCH("ITOT-SWHELCHP",[1]OUT_FinalEnergyCons!$A$4:$A$10000)))*1,[1]OUT_FinalEnergyCons!H$4:H$10000)</f>
        <v>0.17760859776559099</v>
      </c>
      <c r="K2275" s="1" cm="1">
        <f t="array" ref="K2275">SUMPRODUCT(([1]OUT_FinalEnergyCons!$B$4:$B$10000="var_ncap")*1,  (ISNUMBER(SEARCH("ITOT-SWHELCHP",[1]OUT_FinalEnergyCons!$A$4:$A$10000)))*1,[1]OUT_FinalEnergyCons!I$4:I$10000)</f>
        <v>0.14201950494156601</v>
      </c>
      <c r="L2275" s="1" cm="1">
        <f t="array" ref="L2275">SUMPRODUCT(([1]OUT_FinalEnergyCons!$B$4:$B$10000="var_ncap")*1,  (ISNUMBER(SEARCH("ITOT-SWHELCHP",[1]OUT_FinalEnergyCons!$A$4:$A$10000)))*1,[1]OUT_FinalEnergyCons!J$4:J$10000)</f>
        <v>0.27898227242518098</v>
      </c>
      <c r="M2275" s="1" cm="1">
        <f t="array" ref="M2275">SUMPRODUCT(([1]OUT_FinalEnergyCons!$B$4:$B$10000="var_ncap")*1,  (ISNUMBER(SEARCH("ITOT-SWHELCHP",[1]OUT_FinalEnergyCons!$A$4:$A$10000)))*1,[1]OUT_FinalEnergyCons!K$4:K$10000)</f>
        <v>0.32298024741402398</v>
      </c>
      <c r="N2275" s="1" cm="1">
        <f t="array" ref="N2275">SUMPRODUCT(([1]OUT_FinalEnergyCons!$B$4:$B$10000="var_ncap")*1,  (ISNUMBER(SEARCH("ITOT-SWHELCHP",[1]OUT_FinalEnergyCons!$A$4:$A$10000)))*1,[1]OUT_FinalEnergyCons!L$4:L$10000)</f>
        <v>0.140255738499625</v>
      </c>
      <c r="O2275" s="1" cm="1">
        <f t="array" ref="O2275">SUMPRODUCT(([1]OUT_FinalEnergyCons!$B$4:$B$10000="var_ncap")*1,  (ISNUMBER(SEARCH("ITOT-SWHELCHP",[1]OUT_FinalEnergyCons!$A$4:$A$10000)))*1,[1]OUT_FinalEnergyCons!M$4:M$10000)</f>
        <v>0.26198362557457699</v>
      </c>
      <c r="P2275" s="1" cm="1">
        <f t="array" ref="P2275">SUMPRODUCT(([1]OUT_FinalEnergyCons!$B$4:$B$10000="var_ncap")*1,  (ISNUMBER(SEARCH("ITOT-SWHELCHP",[1]OUT_FinalEnergyCons!$A$4:$A$10000)))*1,[1]OUT_FinalEnergyCons!N$4:N$10000)</f>
        <v>0.31056097291278101</v>
      </c>
      <c r="Q2275" s="1" cm="1">
        <f t="array" ref="Q2275">SUMPRODUCT(([1]OUT_FinalEnergyCons!$B$4:$B$10000="var_ncap")*1,  (ISNUMBER(SEARCH("ITOT-SWHELCHP",[1]OUT_FinalEnergyCons!$A$4:$A$10000)))*1,[1]OUT_FinalEnergyCons!O$4:O$10000)</f>
        <v>0.15223346757585601</v>
      </c>
      <c r="S2275" s="3"/>
    </row>
    <row r="2276" spans="2:19" x14ac:dyDescent="0.5">
      <c r="B2276" s="5" t="str">
        <f t="shared" si="2284"/>
        <v>SPS1</v>
      </c>
      <c r="C2276" s="5" t="str">
        <f t="shared" si="2285"/>
        <v>CH</v>
      </c>
      <c r="D2276" t="s">
        <v>2410</v>
      </c>
      <c r="E2276" t="str">
        <f t="shared" si="2286"/>
        <v>GWth/yr.</v>
      </c>
      <c r="F2276" s="18">
        <f t="shared" ref="F2276:K2276" si="2293">SUM(F2277:F2278)</f>
        <v>2.1048619781651099E-4</v>
      </c>
      <c r="G2276" s="18">
        <f t="shared" si="2293"/>
        <v>1.5254013614763201E-4</v>
      </c>
      <c r="H2276" s="18">
        <f t="shared" si="2293"/>
        <v>3.0156361629250061E-5</v>
      </c>
      <c r="I2276" s="18">
        <f t="shared" si="2293"/>
        <v>2.8593589171928708E-5</v>
      </c>
      <c r="J2276" s="18">
        <f t="shared" si="2293"/>
        <v>0.13348259103472473</v>
      </c>
      <c r="K2276" s="18">
        <f t="shared" si="2293"/>
        <v>7.59800809644193E-2</v>
      </c>
      <c r="L2276" s="18">
        <f t="shared" ref="L2276:O2276" si="2294">SUM(L2277:L2278)</f>
        <v>3.0782377092375701E-5</v>
      </c>
      <c r="M2276" s="18">
        <f t="shared" si="2294"/>
        <v>2.0222953613828979E-2</v>
      </c>
      <c r="N2276" s="18">
        <f t="shared" si="2294"/>
        <v>2.4613130858823308E-2</v>
      </c>
      <c r="O2276" s="18">
        <f t="shared" si="2294"/>
        <v>1.1126060547007724E-2</v>
      </c>
      <c r="P2276" s="18">
        <f>SUM(P2277:P2278)</f>
        <v>1.3123486223397067E-2</v>
      </c>
      <c r="Q2276" s="18">
        <f>SUM(Q2277:Q2278)</f>
        <v>2.6181789932736291E-2</v>
      </c>
      <c r="S2276" s="3"/>
    </row>
    <row r="2277" spans="2:19" x14ac:dyDescent="0.5">
      <c r="B2277" s="5" t="str">
        <f t="shared" si="2284"/>
        <v>SPS1</v>
      </c>
      <c r="C2277" s="5" t="str">
        <f t="shared" si="2285"/>
        <v>CH</v>
      </c>
      <c r="D2277" t="s">
        <v>2411</v>
      </c>
      <c r="E2277" t="str">
        <f t="shared" si="2286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1.40257097726197E-4</v>
      </c>
      <c r="H2277" s="1" cm="1">
        <f t="array" ref="H2277">SUMPRODUCT(([1]OUT_FinalEnergyCons!$B$4:$B$10000="var_ncap")*1,  (ISNUMBER(SEARCH("ITOT-SWHLFOBR",[1]OUT_FinalEnergyCons!$A$4:$A$10000)))*1,[1]OUT_FinalEnergyCons!F$4:F$10000)</f>
        <v>2.0445496954034901E-5</v>
      </c>
      <c r="I2277" s="1" cm="1">
        <f t="array" ref="I2277">SUMPRODUCT(([1]OUT_FinalEnergyCons!$B$4:$B$10000="var_ncap")*1,  (ISNUMBER(SEARCH("ITOT-SWHLFOBR",[1]OUT_FinalEnergyCons!$A$4:$A$10000)))*1,[1]OUT_FinalEnergyCons!G$4:G$10000)</f>
        <v>2.2103733851173498E-5</v>
      </c>
      <c r="J2277" s="1" cm="1">
        <f t="array" ref="J2277">SUMPRODUCT(([1]OUT_FinalEnergyCons!$B$4:$B$10000="var_ncap")*1,  (ISNUMBER(SEARCH("ITOT-SWHLFOBR",[1]OUT_FinalEnergyCons!$A$4:$A$10000)))*1,[1]OUT_FinalEnergyCons!H$4:H$10000)</f>
        <v>0.133472848426405</v>
      </c>
      <c r="K2277" s="1" cm="1">
        <f t="array" ref="K2277">SUMPRODUCT(([1]OUT_FinalEnergyCons!$B$4:$B$10000="var_ncap")*1,  (ISNUMBER(SEARCH("ITOT-SWHLFOBR",[1]OUT_FinalEnergyCons!$A$4:$A$10000)))*1,[1]OUT_FinalEnergyCons!I$4:I$10000)</f>
        <v>7.5907546619520094E-2</v>
      </c>
      <c r="L2277" s="1" cm="1">
        <f t="array" ref="L2277">SUMPRODUCT(([1]OUT_FinalEnergyCons!$B$4:$B$10000="var_ncap")*1,  (ISNUMBER(SEARCH("ITOT-SWHLFOBR",[1]OUT_FinalEnergyCons!$A$4:$A$10000)))*1,[1]OUT_FinalEnergyCons!J$4:J$10000)</f>
        <v>2.1045737242956E-5</v>
      </c>
      <c r="M2277" s="1" cm="1">
        <f t="array" ref="M2277">SUMPRODUCT(([1]OUT_FinalEnergyCons!$B$4:$B$10000="var_ncap")*1,  (ISNUMBER(SEARCH("ITOT-SWHLFOBR",[1]OUT_FinalEnergyCons!$A$4:$A$10000)))*1,[1]OUT_FinalEnergyCons!K$4:K$10000)</f>
        <v>2.0219066762560099E-2</v>
      </c>
      <c r="N2277" s="1" cm="1">
        <f t="array" ref="N2277">SUMPRODUCT(([1]OUT_FinalEnergyCons!$B$4:$B$10000="var_ncap")*1,  (ISNUMBER(SEARCH("ITOT-SWHLFOBR",[1]OUT_FinalEnergyCons!$A$4:$A$10000)))*1,[1]OUT_FinalEnergyCons!L$4:L$10000)</f>
        <v>2.46071125300522E-2</v>
      </c>
      <c r="O2277" s="1" cm="1">
        <f t="array" ref="O2277">SUMPRODUCT(([1]OUT_FinalEnergyCons!$B$4:$B$10000="var_ncap")*1,  (ISNUMBER(SEARCH("ITOT-SWHLFOBR",[1]OUT_FinalEnergyCons!$A$4:$A$10000)))*1,[1]OUT_FinalEnergyCons!M$4:M$10000)</f>
        <v>1.11205129416776E-2</v>
      </c>
      <c r="P2277" s="1" cm="1">
        <f t="array" ref="P2277">SUMPRODUCT(([1]OUT_FinalEnergyCons!$B$4:$B$10000="var_ncap")*1,  (ISNUMBER(SEARCH("ITOT-SWHLFOBR",[1]OUT_FinalEnergyCons!$A$4:$A$10000)))*1,[1]OUT_FinalEnergyCons!N$4:N$10000)</f>
        <v>1.3119683209597501E-2</v>
      </c>
      <c r="Q2277" s="1" cm="1">
        <f t="array" ref="Q2277">SUMPRODUCT(([1]OUT_FinalEnergyCons!$B$4:$B$10000="var_ncap")*1,  (ISNUMBER(SEARCH("ITOT-SWHLFOBR",[1]OUT_FinalEnergyCons!$A$4:$A$10000)))*1,[1]OUT_FinalEnergyCons!O$4:O$10000)</f>
        <v>2.6179975907269601E-2</v>
      </c>
      <c r="S2277" s="3"/>
    </row>
    <row r="2278" spans="2:19" x14ac:dyDescent="0.5">
      <c r="B2278" s="5" t="str">
        <f t="shared" si="2284"/>
        <v>SPS1</v>
      </c>
      <c r="C2278" s="5" t="str">
        <f t="shared" si="2285"/>
        <v>CH</v>
      </c>
      <c r="D2278" t="s">
        <v>2412</v>
      </c>
      <c r="E2278" t="str">
        <f t="shared" si="2286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2.1048619781651099E-4</v>
      </c>
      <c r="G2278" s="1" cm="1">
        <f t="array" ref="G2278">SUMPRODUCT(([1]OUT_FinalEnergyCons!$B$4:$B$10000="var_ncap")*1,  (ISNUMBER(SEARCH("ITOT-SWHHFOBR",[1]OUT_FinalEnergyCons!$A$4:$A$10000)))*1,[1]OUT_FinalEnergyCons!E$4:E$10000)</f>
        <v>1.2283038421435E-5</v>
      </c>
      <c r="H2278" s="1" cm="1">
        <f t="array" ref="H2278">SUMPRODUCT(([1]OUT_FinalEnergyCons!$B$4:$B$10000="var_ncap")*1,  (ISNUMBER(SEARCH("ITOT-SWHHFOBR",[1]OUT_FinalEnergyCons!$A$4:$A$10000)))*1,[1]OUT_FinalEnergyCons!F$4:F$10000)</f>
        <v>9.7108646752151603E-6</v>
      </c>
      <c r="I2278" s="1" cm="1">
        <f t="array" ref="I2278">SUMPRODUCT(([1]OUT_FinalEnergyCons!$B$4:$B$10000="var_ncap")*1,  (ISNUMBER(SEARCH("ITOT-SWHHFOBR",[1]OUT_FinalEnergyCons!$A$4:$A$10000)))*1,[1]OUT_FinalEnergyCons!G$4:G$10000)</f>
        <v>6.4898553207552104E-6</v>
      </c>
      <c r="J2278" s="1" cm="1">
        <f t="array" ref="J2278">SUMPRODUCT(([1]OUT_FinalEnergyCons!$B$4:$B$10000="var_ncap")*1,  (ISNUMBER(SEARCH("ITOT-SWHHFOBR",[1]OUT_FinalEnergyCons!$A$4:$A$10000)))*1,[1]OUT_FinalEnergyCons!H$4:H$10000)</f>
        <v>9.7426083197270998E-6</v>
      </c>
      <c r="K2278" s="1" cm="1">
        <f t="array" ref="K2278">SUMPRODUCT(([1]OUT_FinalEnergyCons!$B$4:$B$10000="var_ncap")*1,  (ISNUMBER(SEARCH("ITOT-SWHHFOBR",[1]OUT_FinalEnergyCons!$A$4:$A$10000)))*1,[1]OUT_FinalEnergyCons!I$4:I$10000)</f>
        <v>7.2534344899201898E-5</v>
      </c>
      <c r="L2278" s="1" cm="1">
        <f t="array" ref="L2278">SUMPRODUCT(([1]OUT_FinalEnergyCons!$B$4:$B$10000="var_ncap")*1,  (ISNUMBER(SEARCH("ITOT-SWHHFOBR",[1]OUT_FinalEnergyCons!$A$4:$A$10000)))*1,[1]OUT_FinalEnergyCons!J$4:J$10000)</f>
        <v>9.7366398494197007E-6</v>
      </c>
      <c r="M2278" s="1" cm="1">
        <f t="array" ref="M2278">SUMPRODUCT(([1]OUT_FinalEnergyCons!$B$4:$B$10000="var_ncap")*1,  (ISNUMBER(SEARCH("ITOT-SWHHFOBR",[1]OUT_FinalEnergyCons!$A$4:$A$10000)))*1,[1]OUT_FinalEnergyCons!K$4:K$10000)</f>
        <v>3.8868512688791997E-6</v>
      </c>
      <c r="N2278" s="1" cm="1">
        <f t="array" ref="N2278">SUMPRODUCT(([1]OUT_FinalEnergyCons!$B$4:$B$10000="var_ncap")*1,  (ISNUMBER(SEARCH("ITOT-SWHHFOBR",[1]OUT_FinalEnergyCons!$A$4:$A$10000)))*1,[1]OUT_FinalEnergyCons!L$4:L$10000)</f>
        <v>6.0183287711067803E-6</v>
      </c>
      <c r="O2278" s="1" cm="1">
        <f t="array" ref="O2278">SUMPRODUCT(([1]OUT_FinalEnergyCons!$B$4:$B$10000="var_ncap")*1,  (ISNUMBER(SEARCH("ITOT-SWHHFOBR",[1]OUT_FinalEnergyCons!$A$4:$A$10000)))*1,[1]OUT_FinalEnergyCons!M$4:M$10000)</f>
        <v>5.5476053301250802E-6</v>
      </c>
      <c r="P2278" s="1" cm="1">
        <f t="array" ref="P2278">SUMPRODUCT(([1]OUT_FinalEnergyCons!$B$4:$B$10000="var_ncap")*1,  (ISNUMBER(SEARCH("ITOT-SWHHFOBR",[1]OUT_FinalEnergyCons!$A$4:$A$10000)))*1,[1]OUT_FinalEnergyCons!N$4:N$10000)</f>
        <v>3.8030137995659502E-6</v>
      </c>
      <c r="Q2278" s="1" cm="1">
        <f t="array" ref="Q2278">SUMPRODUCT(([1]OUT_FinalEnergyCons!$B$4:$B$10000="var_ncap")*1,  (ISNUMBER(SEARCH("ITOT-SWHHFOBR",[1]OUT_FinalEnergyCons!$A$4:$A$10000)))*1,[1]OUT_FinalEnergyCons!O$4:O$10000)</f>
        <v>1.8140254666899699E-6</v>
      </c>
      <c r="S2278" s="3"/>
    </row>
    <row r="2279" spans="2:19" x14ac:dyDescent="0.5">
      <c r="B2279" s="5" t="str">
        <f t="shared" si="2284"/>
        <v>SPS1</v>
      </c>
      <c r="C2279" s="5" t="str">
        <f t="shared" si="2285"/>
        <v>CH</v>
      </c>
      <c r="D2279" t="s">
        <v>2413</v>
      </c>
      <c r="E2279" t="str">
        <f t="shared" si="2286"/>
        <v>GWth/yr.</v>
      </c>
      <c r="F2279" s="18">
        <f t="shared" ref="F2279:K2279" si="2295">SUM(F2280:F2281)</f>
        <v>0</v>
      </c>
      <c r="G2279" s="18">
        <f t="shared" si="2295"/>
        <v>4.0876025813615089E-4</v>
      </c>
      <c r="H2279" s="18">
        <f t="shared" si="2295"/>
        <v>1.6325335532086951E-5</v>
      </c>
      <c r="I2279" s="18">
        <f t="shared" si="2295"/>
        <v>1.2277544005012305E-5</v>
      </c>
      <c r="J2279" s="18">
        <f t="shared" si="2295"/>
        <v>0.32062538390596346</v>
      </c>
      <c r="K2279" s="18">
        <f t="shared" si="2295"/>
        <v>0.31993921168300898</v>
      </c>
      <c r="L2279" s="18">
        <f t="shared" ref="L2279:O2279" si="2296">SUM(L2280:L2281)</f>
        <v>2.3956557132493971E-3</v>
      </c>
      <c r="M2279" s="18">
        <f t="shared" si="2296"/>
        <v>1.5379648412201322E-4</v>
      </c>
      <c r="N2279" s="18">
        <f t="shared" si="2296"/>
        <v>2.8125044932640701E-4</v>
      </c>
      <c r="O2279" s="18">
        <f t="shared" si="2296"/>
        <v>4.7158390604941737E-2</v>
      </c>
      <c r="P2279" s="18">
        <f>SUM(P2280:P2281)</f>
        <v>5.2569960785606799E-5</v>
      </c>
      <c r="Q2279" s="18">
        <f>SUM(Q2280:Q2281)</f>
        <v>4.8409790223603443E-4</v>
      </c>
      <c r="S2279" s="3"/>
    </row>
    <row r="2280" spans="2:19" x14ac:dyDescent="0.5">
      <c r="B2280" s="5" t="str">
        <f t="shared" si="2284"/>
        <v>SPS1</v>
      </c>
      <c r="C2280" s="5" t="str">
        <f t="shared" si="2285"/>
        <v>CH</v>
      </c>
      <c r="D2280" t="s">
        <v>2414</v>
      </c>
      <c r="E2280" t="str">
        <f t="shared" si="2286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1.52608962855119E-5</v>
      </c>
      <c r="H2280" s="1" cm="1">
        <f t="array" ref="H2280">SUMPRODUCT(([1]OUT_FinalEnergyCons!$B$4:$B$10000="var_ncap")*1,  (ISNUMBER(SEARCH("ITOT-SWHNGA*BR",[1]OUT_FinalEnergyCons!$A$4:$A$10000)))*1,[1]OUT_FinalEnergyCons!F$4:F$10000)</f>
        <v>1.30609052559893E-5</v>
      </c>
      <c r="I2280" s="1" cm="1">
        <f t="array" ref="I2280">SUMPRODUCT(([1]OUT_FinalEnergyCons!$B$4:$B$10000="var_ncap")*1,  (ISNUMBER(SEARCH("ITOT-SWHNGA*BR",[1]OUT_FinalEnergyCons!$A$4:$A$10000)))*1,[1]OUT_FinalEnergyCons!G$4:G$10000)</f>
        <v>1.1713313709464601E-5</v>
      </c>
      <c r="J2280" s="1" cm="1">
        <f t="array" ref="J2280">SUMPRODUCT(([1]OUT_FinalEnergyCons!$B$4:$B$10000="var_ncap")*1,  (ISNUMBER(SEARCH("ITOT-SWHNGA*BR",[1]OUT_FinalEnergyCons!$A$4:$A$10000)))*1,[1]OUT_FinalEnergyCons!H$4:H$10000)</f>
        <v>0.32048751116876401</v>
      </c>
      <c r="K2280" s="1" cm="1">
        <f t="array" ref="K2280">SUMPRODUCT(([1]OUT_FinalEnergyCons!$B$4:$B$10000="var_ncap")*1,  (ISNUMBER(SEARCH("ITOT-SWHNGA*BR",[1]OUT_FinalEnergyCons!$A$4:$A$10000)))*1,[1]OUT_FinalEnergyCons!I$4:I$10000)</f>
        <v>0.21331998417504899</v>
      </c>
      <c r="L2280" s="1" cm="1">
        <f t="array" ref="L2280">SUMPRODUCT(([1]OUT_FinalEnergyCons!$B$4:$B$10000="var_ncap")*1,  (ISNUMBER(SEARCH("ITOT-SWHNGA*BR",[1]OUT_FinalEnergyCons!$A$4:$A$10000)))*1,[1]OUT_FinalEnergyCons!J$4:J$10000)</f>
        <v>1.6696577736046799E-5</v>
      </c>
      <c r="M2280" s="1" cm="1">
        <f t="array" ref="M2280">SUMPRODUCT(([1]OUT_FinalEnergyCons!$B$4:$B$10000="var_ncap")*1,  (ISNUMBER(SEARCH("ITOT-SWHNGA*BR",[1]OUT_FinalEnergyCons!$A$4:$A$10000)))*1,[1]OUT_FinalEnergyCons!K$4:K$10000)</f>
        <v>1.50384198409471E-4</v>
      </c>
      <c r="N2280" s="1" cm="1">
        <f t="array" ref="N2280">SUMPRODUCT(([1]OUT_FinalEnergyCons!$B$4:$B$10000="var_ncap")*1,  (ISNUMBER(SEARCH("ITOT-SWHNGA*BR",[1]OUT_FinalEnergyCons!$A$4:$A$10000)))*1,[1]OUT_FinalEnergyCons!L$4:L$10000)</f>
        <v>1.7276875627151301E-4</v>
      </c>
      <c r="O2280" s="1" cm="1">
        <f t="array" ref="O2280">SUMPRODUCT(([1]OUT_FinalEnergyCons!$B$4:$B$10000="var_ncap")*1,  (ISNUMBER(SEARCH("ITOT-SWHNGA*BR",[1]OUT_FinalEnergyCons!$A$4:$A$10000)))*1,[1]OUT_FinalEnergyCons!M$4:M$10000)</f>
        <v>4.4624523162202299E-2</v>
      </c>
      <c r="P2280" s="1" cm="1">
        <f t="array" ref="P2280">SUMPRODUCT(([1]OUT_FinalEnergyCons!$B$4:$B$10000="var_ncap")*1,  (ISNUMBER(SEARCH("ITOT-SWHNGA*BR",[1]OUT_FinalEnergyCons!$A$4:$A$10000)))*1,[1]OUT_FinalEnergyCons!N$4:N$10000)</f>
        <v>1.5648275211016499E-5</v>
      </c>
      <c r="Q2280" s="1" cm="1">
        <f t="array" ref="Q2280">SUMPRODUCT(([1]OUT_FinalEnergyCons!$B$4:$B$10000="var_ncap")*1,  (ISNUMBER(SEARCH("ITOT-SWHNGA*BR",[1]OUT_FinalEnergyCons!$A$4:$A$10000)))*1,[1]OUT_FinalEnergyCons!O$4:O$10000)</f>
        <v>8.7380306886774395E-5</v>
      </c>
      <c r="S2280" s="3"/>
    </row>
    <row r="2281" spans="2:19" x14ac:dyDescent="0.5">
      <c r="B2281" s="5" t="str">
        <f t="shared" si="2284"/>
        <v>SPS1</v>
      </c>
      <c r="C2281" s="5" t="str">
        <f t="shared" si="2285"/>
        <v>CH</v>
      </c>
      <c r="D2281" t="s">
        <v>2415</v>
      </c>
      <c r="E2281" t="str">
        <f t="shared" si="2286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3.9349936185063898E-4</v>
      </c>
      <c r="H2281" s="1" cm="1">
        <f t="array" ref="H2281">SUMPRODUCT(([1]OUT_FinalEnergyCons!$B$4:$B$10000="var_ncap")*1,  (ISNUMBER(SEARCH("ITOT-SWHNGAHP",[1]OUT_FinalEnergyCons!$A$4:$A$10000)))*1,[1]OUT_FinalEnergyCons!F$4:F$10000)</f>
        <v>3.2644302760976499E-6</v>
      </c>
      <c r="I2281" s="1" cm="1">
        <f t="array" ref="I2281">SUMPRODUCT(([1]OUT_FinalEnergyCons!$B$4:$B$10000="var_ncap")*1,  (ISNUMBER(SEARCH("ITOT-SWHNGAHP",[1]OUT_FinalEnergyCons!$A$4:$A$10000)))*1,[1]OUT_FinalEnergyCons!G$4:G$10000)</f>
        <v>5.6423029554770403E-7</v>
      </c>
      <c r="J2281" s="1" cm="1">
        <f t="array" ref="J2281">SUMPRODUCT(([1]OUT_FinalEnergyCons!$B$4:$B$10000="var_ncap")*1,  (ISNUMBER(SEARCH("ITOT-SWHNGAHP",[1]OUT_FinalEnergyCons!$A$4:$A$10000)))*1,[1]OUT_FinalEnergyCons!H$4:H$10000)</f>
        <v>1.3787273719946801E-4</v>
      </c>
      <c r="K2281" s="1" cm="1">
        <f t="array" ref="K2281">SUMPRODUCT(([1]OUT_FinalEnergyCons!$B$4:$B$10000="var_ncap")*1,  (ISNUMBER(SEARCH("ITOT-SWHNGAHP",[1]OUT_FinalEnergyCons!$A$4:$A$10000)))*1,[1]OUT_FinalEnergyCons!I$4:I$10000)</f>
        <v>0.10661922750796</v>
      </c>
      <c r="L2281" s="1" cm="1">
        <f t="array" ref="L2281">SUMPRODUCT(([1]OUT_FinalEnergyCons!$B$4:$B$10000="var_ncap")*1,  (ISNUMBER(SEARCH("ITOT-SWHNGAHP",[1]OUT_FinalEnergyCons!$A$4:$A$10000)))*1,[1]OUT_FinalEnergyCons!J$4:J$10000)</f>
        <v>2.37895913551335E-3</v>
      </c>
      <c r="M2281" s="1" cm="1">
        <f t="array" ref="M2281">SUMPRODUCT(([1]OUT_FinalEnergyCons!$B$4:$B$10000="var_ncap")*1,  (ISNUMBER(SEARCH("ITOT-SWHNGAHP",[1]OUT_FinalEnergyCons!$A$4:$A$10000)))*1,[1]OUT_FinalEnergyCons!K$4:K$10000)</f>
        <v>3.41228571254223E-6</v>
      </c>
      <c r="N2281" s="1" cm="1">
        <f t="array" ref="N2281">SUMPRODUCT(([1]OUT_FinalEnergyCons!$B$4:$B$10000="var_ncap")*1,  (ISNUMBER(SEARCH("ITOT-SWHNGAHP",[1]OUT_FinalEnergyCons!$A$4:$A$10000)))*1,[1]OUT_FinalEnergyCons!L$4:L$10000)</f>
        <v>1.08481693054894E-4</v>
      </c>
      <c r="O2281" s="1" cm="1">
        <f t="array" ref="O2281">SUMPRODUCT(([1]OUT_FinalEnergyCons!$B$4:$B$10000="var_ncap")*1,  (ISNUMBER(SEARCH("ITOT-SWHNGAHP",[1]OUT_FinalEnergyCons!$A$4:$A$10000)))*1,[1]OUT_FinalEnergyCons!M$4:M$10000)</f>
        <v>2.5338674427394401E-3</v>
      </c>
      <c r="P2281" s="1" cm="1">
        <f t="array" ref="P2281">SUMPRODUCT(([1]OUT_FinalEnergyCons!$B$4:$B$10000="var_ncap")*1,  (ISNUMBER(SEARCH("ITOT-SWHNGAHP",[1]OUT_FinalEnergyCons!$A$4:$A$10000)))*1,[1]OUT_FinalEnergyCons!N$4:N$10000)</f>
        <v>3.6921685574590297E-5</v>
      </c>
      <c r="Q2281" s="1" cm="1">
        <f t="array" ref="Q2281">SUMPRODUCT(([1]OUT_FinalEnergyCons!$B$4:$B$10000="var_ncap")*1,  (ISNUMBER(SEARCH("ITOT-SWHNGAHP",[1]OUT_FinalEnergyCons!$A$4:$A$10000)))*1,[1]OUT_FinalEnergyCons!O$4:O$10000)</f>
        <v>3.9671759534926001E-4</v>
      </c>
      <c r="S2281" s="3"/>
    </row>
    <row r="2282" spans="2:19" x14ac:dyDescent="0.5">
      <c r="B2282" s="5" t="str">
        <f t="shared" si="2284"/>
        <v>SPS1</v>
      </c>
      <c r="C2282" s="5" t="str">
        <f t="shared" si="2285"/>
        <v>CH</v>
      </c>
      <c r="D2282" t="s">
        <v>2416</v>
      </c>
      <c r="E2282" t="str">
        <f t="shared" si="2286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9.5255508871029595E-3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0.10998178143045501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0.115879793686852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3.4724829836615102E-2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0.24276844067825501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7.6276614305833504E-2</v>
      </c>
      <c r="M2282" s="1" cm="1">
        <f t="array" ref="M2282">SUMPRODUCT(([1]OUT_FinalEnergyCons!$B$4:$B$10000="var_ncap")*1,  (("ITOT-SWHBIOBR"=[1]OUT_FinalEnergyCons!$A$4:$A$10000)*1+("ITOT-SWHBNGABR"=[1]OUT_FinalEnergyCons!$A$4:$A$10000))*1,[1]OUT_FinalEnergyCons!K$4:K$10000)</f>
        <v>4.3447068066266498E-2</v>
      </c>
      <c r="N2282" s="1" cm="1">
        <f t="array" ref="N2282">SUMPRODUCT(([1]OUT_FinalEnergyCons!$B$4:$B$10000="var_ncap")*1,  (("ITOT-SWHBIOBR"=[1]OUT_FinalEnergyCons!$A$4:$A$10000)*1+("ITOT-SWHBNGABR"=[1]OUT_FinalEnergyCons!$A$4:$A$10000))*1,[1]OUT_FinalEnergyCons!L$4:L$10000)</f>
        <v>0.16891471864699301</v>
      </c>
      <c r="O2282" s="1" cm="1">
        <f t="array" ref="O2282">SUMPRODUCT(([1]OUT_FinalEnergyCons!$B$4:$B$10000="var_ncap")*1,  (("ITOT-SWHBIOBR"=[1]OUT_FinalEnergyCons!$A$4:$A$10000)*1+("ITOT-SWHBNGABR"=[1]OUT_FinalEnergyCons!$A$4:$A$10000))*1,[1]OUT_FinalEnergyCons!M$4:M$10000)</f>
        <v>8.5193652228825398E-2</v>
      </c>
      <c r="P2282" s="1" cm="1">
        <f t="array" ref="P2282">SUMPRODUCT(([1]OUT_FinalEnergyCons!$B$4:$B$10000="var_ncap")*1,  (("ITOT-SWHBIOBR"=[1]OUT_FinalEnergyCons!$A$4:$A$10000)*1+("ITOT-SWHBNGABR"=[1]OUT_FinalEnergyCons!$A$4:$A$10000))*1,[1]OUT_FinalEnergyCons!N$4:N$10000)</f>
        <v>9.4201434915405502E-2</v>
      </c>
      <c r="Q2282" s="1" cm="1">
        <f t="array" ref="Q2282">SUMPRODUCT(([1]OUT_FinalEnergyCons!$B$4:$B$10000="var_ncap")*1,  (("ITOT-SWHBIOBR"=[1]OUT_FinalEnergyCons!$A$4:$A$10000)*1+("ITOT-SWHBNGABR"=[1]OUT_FinalEnergyCons!$A$4:$A$10000))*1,[1]OUT_FinalEnergyCons!O$4:O$10000)</f>
        <v>0.123433729344171</v>
      </c>
      <c r="S2282" s="3"/>
    </row>
    <row r="2283" spans="2:19" x14ac:dyDescent="0.5">
      <c r="B2283" s="5" t="str">
        <f t="shared" si="2284"/>
        <v>SPS1</v>
      </c>
      <c r="C2283" s="5" t="str">
        <f t="shared" si="2285"/>
        <v>CH</v>
      </c>
      <c r="D2283" t="s">
        <v>2417</v>
      </c>
      <c r="E2283" t="str">
        <f t="shared" si="2286"/>
        <v>GWth/yr.</v>
      </c>
      <c r="F2283" s="1">
        <f t="shared" ref="F2283:O2283" si="2297">F2284</f>
        <v>0</v>
      </c>
      <c r="G2283" s="1">
        <f t="shared" si="2297"/>
        <v>5.48563057901805E-6</v>
      </c>
      <c r="H2283" s="1">
        <f t="shared" si="2297"/>
        <v>4.8787718144815097E-6</v>
      </c>
      <c r="I2283" s="1">
        <f t="shared" si="2297"/>
        <v>3.9538087293663002E-6</v>
      </c>
      <c r="J2283" s="1">
        <f t="shared" si="2297"/>
        <v>6.9152622248141298E-6</v>
      </c>
      <c r="K2283" s="1">
        <f t="shared" si="2297"/>
        <v>5.7698274508463001E-5</v>
      </c>
      <c r="L2283" s="1">
        <f t="shared" si="2297"/>
        <v>6.6883628320577702E-6</v>
      </c>
      <c r="M2283" s="1">
        <f t="shared" si="2297"/>
        <v>1.0182955350268701E-5</v>
      </c>
      <c r="N2283" s="1">
        <f t="shared" si="2297"/>
        <v>1.08177748885776E-5</v>
      </c>
      <c r="O2283" s="1">
        <f t="shared" si="2297"/>
        <v>2.7687318529217401E-5</v>
      </c>
      <c r="P2283" s="1">
        <f>P2284</f>
        <v>6.3699888449574502E-6</v>
      </c>
      <c r="Q2283" s="1">
        <f>Q2284</f>
        <v>3.2433636772768099E-6</v>
      </c>
      <c r="S2283" s="3"/>
    </row>
    <row r="2284" spans="2:19" x14ac:dyDescent="0.5">
      <c r="B2284" s="5" t="str">
        <f t="shared" si="2284"/>
        <v>SPS1</v>
      </c>
      <c r="C2284" s="5" t="str">
        <f t="shared" si="2285"/>
        <v>CH</v>
      </c>
      <c r="D2284" t="s">
        <v>2418</v>
      </c>
      <c r="E2284" t="str">
        <f t="shared" si="2286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5.48563057901805E-6</v>
      </c>
      <c r="H2284" s="1" cm="1">
        <f t="array" ref="H2284">SUMPRODUCT(([1]OUT_FinalEnergyCons!$B$4:$B$10000="var_ncap")*1,  (ISNUMBER(SEARCH("ITOT-SWHCOA*BR",[1]OUT_FinalEnergyCons!$A$4:$A$10000)))*1,[1]OUT_FinalEnergyCons!F$4:F$10000)</f>
        <v>4.8787718144815097E-6</v>
      </c>
      <c r="I2284" s="1" cm="1">
        <f t="array" ref="I2284">SUMPRODUCT(([1]OUT_FinalEnergyCons!$B$4:$B$10000="var_ncap")*1,  (ISNUMBER(SEARCH("ITOT-SWHCOA*BR",[1]OUT_FinalEnergyCons!$A$4:$A$10000)))*1,[1]OUT_FinalEnergyCons!G$4:G$10000)</f>
        <v>3.9538087293663002E-6</v>
      </c>
      <c r="J2284" s="1" cm="1">
        <f t="array" ref="J2284">SUMPRODUCT(([1]OUT_FinalEnergyCons!$B$4:$B$10000="var_ncap")*1,  (ISNUMBER(SEARCH("ITOT-SWHCOA*BR",[1]OUT_FinalEnergyCons!$A$4:$A$10000)))*1,[1]OUT_FinalEnergyCons!H$4:H$10000)</f>
        <v>6.9152622248141298E-6</v>
      </c>
      <c r="K2284" s="1" cm="1">
        <f t="array" ref="K2284">SUMPRODUCT(([1]OUT_FinalEnergyCons!$B$4:$B$10000="var_ncap")*1,  (ISNUMBER(SEARCH("ITOT-SWHCOA*BR",[1]OUT_FinalEnergyCons!$A$4:$A$10000)))*1,[1]OUT_FinalEnergyCons!I$4:I$10000)</f>
        <v>5.7698274508463001E-5</v>
      </c>
      <c r="L2284" s="1" cm="1">
        <f t="array" ref="L2284">SUMPRODUCT(([1]OUT_FinalEnergyCons!$B$4:$B$10000="var_ncap")*1,  (ISNUMBER(SEARCH("ITOT-SWHCOA*BR",[1]OUT_FinalEnergyCons!$A$4:$A$10000)))*1,[1]OUT_FinalEnergyCons!J$4:J$10000)</f>
        <v>6.6883628320577702E-6</v>
      </c>
      <c r="M2284" s="1" cm="1">
        <f t="array" ref="M2284">SUMPRODUCT(([1]OUT_FinalEnergyCons!$B$4:$B$10000="var_ncap")*1,  (ISNUMBER(SEARCH("ITOT-SWHCOA*BR",[1]OUT_FinalEnergyCons!$A$4:$A$10000)))*1,[1]OUT_FinalEnergyCons!K$4:K$10000)</f>
        <v>1.0182955350268701E-5</v>
      </c>
      <c r="N2284" s="1" cm="1">
        <f t="array" ref="N2284">SUMPRODUCT(([1]OUT_FinalEnergyCons!$B$4:$B$10000="var_ncap")*1,  (ISNUMBER(SEARCH("ITOT-SWHCOA*BR",[1]OUT_FinalEnergyCons!$A$4:$A$10000)))*1,[1]OUT_FinalEnergyCons!L$4:L$10000)</f>
        <v>1.08177748885776E-5</v>
      </c>
      <c r="O2284" s="1" cm="1">
        <f t="array" ref="O2284">SUMPRODUCT(([1]OUT_FinalEnergyCons!$B$4:$B$10000="var_ncap")*1,  (ISNUMBER(SEARCH("ITOT-SWHCOA*BR",[1]OUT_FinalEnergyCons!$A$4:$A$10000)))*1,[1]OUT_FinalEnergyCons!M$4:M$10000)</f>
        <v>2.7687318529217401E-5</v>
      </c>
      <c r="P2284" s="1" cm="1">
        <f t="array" ref="P2284">SUMPRODUCT(([1]OUT_FinalEnergyCons!$B$4:$B$10000="var_ncap")*1,  (ISNUMBER(SEARCH("ITOT-SWHCOA*BR",[1]OUT_FinalEnergyCons!$A$4:$A$10000)))*1,[1]OUT_FinalEnergyCons!N$4:N$10000)</f>
        <v>6.3699888449574502E-6</v>
      </c>
      <c r="Q2284" s="1" cm="1">
        <f t="array" ref="Q2284">SUMPRODUCT(([1]OUT_FinalEnergyCons!$B$4:$B$10000="var_ncap")*1,  (ISNUMBER(SEARCH("ITOT-SWHCOA*BR",[1]OUT_FinalEnergyCons!$A$4:$A$10000)))*1,[1]OUT_FinalEnergyCons!O$4:O$10000)</f>
        <v>3.2433636772768099E-6</v>
      </c>
      <c r="S2284" s="3"/>
    </row>
    <row r="2285" spans="2:19" x14ac:dyDescent="0.5">
      <c r="B2285" s="5" t="str">
        <f t="shared" si="2284"/>
        <v>SPS1</v>
      </c>
      <c r="C2285" s="5" t="str">
        <f t="shared" si="2285"/>
        <v>CH</v>
      </c>
      <c r="D2285" t="s">
        <v>2419</v>
      </c>
      <c r="E2285" t="str">
        <f t="shared" si="2286"/>
        <v>GWth/yr.</v>
      </c>
      <c r="F2285" s="1">
        <f t="shared" ref="F2285:O2285" si="2298">F2286</f>
        <v>0</v>
      </c>
      <c r="G2285" s="1">
        <f t="shared" si="2298"/>
        <v>5.2417754502597301E-2</v>
      </c>
      <c r="H2285" s="1">
        <f t="shared" si="2298"/>
        <v>1.8411592964382701E-5</v>
      </c>
      <c r="I2285" s="1">
        <f t="shared" si="2298"/>
        <v>2.97011564598786E-2</v>
      </c>
      <c r="J2285" s="1">
        <f t="shared" si="2298"/>
        <v>0.28960661178442099</v>
      </c>
      <c r="K2285" s="1">
        <f t="shared" si="2298"/>
        <v>4.5060206386967401E-2</v>
      </c>
      <c r="L2285" s="1">
        <f t="shared" si="2298"/>
        <v>2.7389312545233999E-2</v>
      </c>
      <c r="M2285" s="1">
        <f t="shared" si="2298"/>
        <v>0.29017812516078001</v>
      </c>
      <c r="N2285" s="1">
        <f t="shared" si="2298"/>
        <v>4.49795748507682E-2</v>
      </c>
      <c r="O2285" s="1">
        <f t="shared" si="2298"/>
        <v>6.9487861719241206E-2</v>
      </c>
      <c r="P2285" s="1">
        <f>P2286</f>
        <v>0.222937825769874</v>
      </c>
      <c r="Q2285" s="1">
        <f>Q2286</f>
        <v>8.13124306426211E-2</v>
      </c>
      <c r="S2285" s="3"/>
    </row>
    <row r="2286" spans="2:19" x14ac:dyDescent="0.5">
      <c r="B2286" s="5" t="str">
        <f t="shared" si="2284"/>
        <v>SPS1</v>
      </c>
      <c r="C2286" s="5" t="str">
        <f t="shared" si="2285"/>
        <v>CH</v>
      </c>
      <c r="D2286" t="s">
        <v>2420</v>
      </c>
      <c r="E2286" t="str">
        <f t="shared" si="2286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5.2417754502597301E-2</v>
      </c>
      <c r="H2286" s="1" cm="1">
        <f t="array" ref="H2286">SUMPRODUCT(([1]OUT_FinalEnergyCons!$B$4:$B$10000="var_ncap")*1,  (ISNUMBER(SEARCH("ITOT-SWHWOD*BR",[1]OUT_FinalEnergyCons!$A$4:$A$10000)))*1,[1]OUT_FinalEnergyCons!F$4:F$10000)</f>
        <v>1.8411592964382701E-5</v>
      </c>
      <c r="I2286" s="1" cm="1">
        <f t="array" ref="I2286">SUMPRODUCT(([1]OUT_FinalEnergyCons!$B$4:$B$10000="var_ncap")*1,  (ISNUMBER(SEARCH("ITOT-SWHWOD*BR",[1]OUT_FinalEnergyCons!$A$4:$A$10000)))*1,[1]OUT_FinalEnergyCons!G$4:G$10000)</f>
        <v>2.97011564598786E-2</v>
      </c>
      <c r="J2286" s="1" cm="1">
        <f t="array" ref="J2286">SUMPRODUCT(([1]OUT_FinalEnergyCons!$B$4:$B$10000="var_ncap")*1,  (ISNUMBER(SEARCH("ITOT-SWHWOD*BR",[1]OUT_FinalEnergyCons!$A$4:$A$10000)))*1,[1]OUT_FinalEnergyCons!H$4:H$10000)</f>
        <v>0.28960661178442099</v>
      </c>
      <c r="K2286" s="1" cm="1">
        <f t="array" ref="K2286">SUMPRODUCT(([1]OUT_FinalEnergyCons!$B$4:$B$10000="var_ncap")*1,  (ISNUMBER(SEARCH("ITOT-SWHWOD*BR",[1]OUT_FinalEnergyCons!$A$4:$A$10000)))*1,[1]OUT_FinalEnergyCons!I$4:I$10000)</f>
        <v>4.5060206386967401E-2</v>
      </c>
      <c r="L2286" s="1" cm="1">
        <f t="array" ref="L2286">SUMPRODUCT(([1]OUT_FinalEnergyCons!$B$4:$B$10000="var_ncap")*1,  (ISNUMBER(SEARCH("ITOT-SWHWOD*BR",[1]OUT_FinalEnergyCons!$A$4:$A$10000)))*1,[1]OUT_FinalEnergyCons!J$4:J$10000)</f>
        <v>2.7389312545233999E-2</v>
      </c>
      <c r="M2286" s="1" cm="1">
        <f t="array" ref="M2286">SUMPRODUCT(([1]OUT_FinalEnergyCons!$B$4:$B$10000="var_ncap")*1,  (ISNUMBER(SEARCH("ITOT-SWHWOD*BR",[1]OUT_FinalEnergyCons!$A$4:$A$10000)))*1,[1]OUT_FinalEnergyCons!K$4:K$10000)</f>
        <v>0.29017812516078001</v>
      </c>
      <c r="N2286" s="1" cm="1">
        <f t="array" ref="N2286">SUMPRODUCT(([1]OUT_FinalEnergyCons!$B$4:$B$10000="var_ncap")*1,  (ISNUMBER(SEARCH("ITOT-SWHWOD*BR",[1]OUT_FinalEnergyCons!$A$4:$A$10000)))*1,[1]OUT_FinalEnergyCons!L$4:L$10000)</f>
        <v>4.49795748507682E-2</v>
      </c>
      <c r="O2286" s="1" cm="1">
        <f t="array" ref="O2286">SUMPRODUCT(([1]OUT_FinalEnergyCons!$B$4:$B$10000="var_ncap")*1,  (ISNUMBER(SEARCH("ITOT-SWHWOD*BR",[1]OUT_FinalEnergyCons!$A$4:$A$10000)))*1,[1]OUT_FinalEnergyCons!M$4:M$10000)</f>
        <v>6.9487861719241206E-2</v>
      </c>
      <c r="P2286" s="1" cm="1">
        <f t="array" ref="P2286">SUMPRODUCT(([1]OUT_FinalEnergyCons!$B$4:$B$10000="var_ncap")*1,  (ISNUMBER(SEARCH("ITOT-SWHWOD*BR",[1]OUT_FinalEnergyCons!$A$4:$A$10000)))*1,[1]OUT_FinalEnergyCons!N$4:N$10000)</f>
        <v>0.222937825769874</v>
      </c>
      <c r="Q2286" s="1" cm="1">
        <f t="array" ref="Q2286">SUMPRODUCT(([1]OUT_FinalEnergyCons!$B$4:$B$10000="var_ncap")*1,  (ISNUMBER(SEARCH("ITOT-SWHWOD*BR",[1]OUT_FinalEnergyCons!$A$4:$A$10000)))*1,[1]OUT_FinalEnergyCons!O$4:O$10000)</f>
        <v>8.13124306426211E-2</v>
      </c>
      <c r="S2286" s="3"/>
    </row>
    <row r="2287" spans="2:19" x14ac:dyDescent="0.5">
      <c r="B2287" s="5" t="str">
        <f t="shared" si="2284"/>
        <v>SPS1</v>
      </c>
      <c r="C2287" s="5" t="str">
        <f t="shared" si="2285"/>
        <v>CH</v>
      </c>
      <c r="D2287" t="s">
        <v>2421</v>
      </c>
      <c r="E2287" t="str">
        <f t="shared" si="2286"/>
        <v>GWth/yr.</v>
      </c>
      <c r="F2287" s="1">
        <f t="shared" ref="F2287:O2287" si="2299">F2288</f>
        <v>0</v>
      </c>
      <c r="G2287" s="1">
        <f t="shared" si="2299"/>
        <v>8.0704378336764401E-3</v>
      </c>
      <c r="H2287" s="1">
        <f t="shared" si="2299"/>
        <v>1.9305564334968302E-5</v>
      </c>
      <c r="I2287" s="1">
        <f t="shared" si="2299"/>
        <v>3.6917207588735902E-3</v>
      </c>
      <c r="J2287" s="1">
        <f t="shared" si="2299"/>
        <v>2.6154369520039598E-2</v>
      </c>
      <c r="K2287" s="1">
        <f t="shared" si="2299"/>
        <v>8.9295714182923095E-3</v>
      </c>
      <c r="L2287" s="1">
        <f t="shared" si="2299"/>
        <v>9.0653100465428096E-3</v>
      </c>
      <c r="M2287" s="1">
        <f t="shared" si="2299"/>
        <v>2.2066663694269201E-2</v>
      </c>
      <c r="N2287" s="1">
        <f t="shared" si="2299"/>
        <v>1.22367476442461E-2</v>
      </c>
      <c r="O2287" s="1">
        <f t="shared" si="2299"/>
        <v>6.6080605952400099E-3</v>
      </c>
      <c r="P2287" s="1">
        <f>P2288</f>
        <v>2.4532177266851501E-2</v>
      </c>
      <c r="Q2287" s="1">
        <f>Q2288</f>
        <v>2.4769753616990199E-3</v>
      </c>
      <c r="S2287" s="3"/>
    </row>
    <row r="2288" spans="2:19" x14ac:dyDescent="0.5">
      <c r="B2288" s="5" t="str">
        <f t="shared" si="2284"/>
        <v>SPS1</v>
      </c>
      <c r="C2288" s="5" t="str">
        <f t="shared" si="2285"/>
        <v>CH</v>
      </c>
      <c r="D2288" t="s">
        <v>2422</v>
      </c>
      <c r="E2288" t="str">
        <f t="shared" si="2286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8.0704378336764401E-3</v>
      </c>
      <c r="H2288" s="1" cm="1">
        <f t="array" ref="H2288">SUMPRODUCT(([1]OUT_FinalEnergyCons!$B$4:$B$10000="var_ncap")*1,  (ISNUMBER(SEARCH("ITOT-SWHPLT*BR",[1]OUT_FinalEnergyCons!$A$4:$A$10000)))*1,[1]OUT_FinalEnergyCons!F$4:F$10000)</f>
        <v>1.9305564334968302E-5</v>
      </c>
      <c r="I2288" s="1" cm="1">
        <f t="array" ref="I2288">SUMPRODUCT(([1]OUT_FinalEnergyCons!$B$4:$B$10000="var_ncap")*1,  (ISNUMBER(SEARCH("ITOT-SWHPLT*BR",[1]OUT_FinalEnergyCons!$A$4:$A$10000)))*1,[1]OUT_FinalEnergyCons!G$4:G$10000)</f>
        <v>3.6917207588735902E-3</v>
      </c>
      <c r="J2288" s="1" cm="1">
        <f t="array" ref="J2288">SUMPRODUCT(([1]OUT_FinalEnergyCons!$B$4:$B$10000="var_ncap")*1,  (ISNUMBER(SEARCH("ITOT-SWHPLT*BR",[1]OUT_FinalEnergyCons!$A$4:$A$10000)))*1,[1]OUT_FinalEnergyCons!H$4:H$10000)</f>
        <v>2.6154369520039598E-2</v>
      </c>
      <c r="K2288" s="1" cm="1">
        <f t="array" ref="K2288">SUMPRODUCT(([1]OUT_FinalEnergyCons!$B$4:$B$10000="var_ncap")*1,  (ISNUMBER(SEARCH("ITOT-SWHPLT*BR",[1]OUT_FinalEnergyCons!$A$4:$A$10000)))*1,[1]OUT_FinalEnergyCons!I$4:I$10000)</f>
        <v>8.9295714182923095E-3</v>
      </c>
      <c r="L2288" s="1" cm="1">
        <f t="array" ref="L2288">SUMPRODUCT(([1]OUT_FinalEnergyCons!$B$4:$B$10000="var_ncap")*1,  (ISNUMBER(SEARCH("ITOT-SWHPLT*BR",[1]OUT_FinalEnergyCons!$A$4:$A$10000)))*1,[1]OUT_FinalEnergyCons!J$4:J$10000)</f>
        <v>9.0653100465428096E-3</v>
      </c>
      <c r="M2288" s="1" cm="1">
        <f t="array" ref="M2288">SUMPRODUCT(([1]OUT_FinalEnergyCons!$B$4:$B$10000="var_ncap")*1,  (ISNUMBER(SEARCH("ITOT-SWHPLT*BR",[1]OUT_FinalEnergyCons!$A$4:$A$10000)))*1,[1]OUT_FinalEnergyCons!K$4:K$10000)</f>
        <v>2.2066663694269201E-2</v>
      </c>
      <c r="N2288" s="1" cm="1">
        <f t="array" ref="N2288">SUMPRODUCT(([1]OUT_FinalEnergyCons!$B$4:$B$10000="var_ncap")*1,  (ISNUMBER(SEARCH("ITOT-SWHPLT*BR",[1]OUT_FinalEnergyCons!$A$4:$A$10000)))*1,[1]OUT_FinalEnergyCons!L$4:L$10000)</f>
        <v>1.22367476442461E-2</v>
      </c>
      <c r="O2288" s="1" cm="1">
        <f t="array" ref="O2288">SUMPRODUCT(([1]OUT_FinalEnergyCons!$B$4:$B$10000="var_ncap")*1,  (ISNUMBER(SEARCH("ITOT-SWHPLT*BR",[1]OUT_FinalEnergyCons!$A$4:$A$10000)))*1,[1]OUT_FinalEnergyCons!M$4:M$10000)</f>
        <v>6.6080605952400099E-3</v>
      </c>
      <c r="P2288" s="1" cm="1">
        <f t="array" ref="P2288">SUMPRODUCT(([1]OUT_FinalEnergyCons!$B$4:$B$10000="var_ncap")*1,  (ISNUMBER(SEARCH("ITOT-SWHPLT*BR",[1]OUT_FinalEnergyCons!$A$4:$A$10000)))*1,[1]OUT_FinalEnergyCons!N$4:N$10000)</f>
        <v>2.4532177266851501E-2</v>
      </c>
      <c r="Q2288" s="1" cm="1">
        <f t="array" ref="Q2288">SUMPRODUCT(([1]OUT_FinalEnergyCons!$B$4:$B$10000="var_ncap")*1,  (ISNUMBER(SEARCH("ITOT-SWHPLT*BR",[1]OUT_FinalEnergyCons!$A$4:$A$10000)))*1,[1]OUT_FinalEnergyCons!O$4:O$10000)</f>
        <v>2.4769753616990199E-3</v>
      </c>
      <c r="S2288" s="3"/>
    </row>
    <row r="2289" spans="2:19" x14ac:dyDescent="0.5">
      <c r="B2289" s="5" t="str">
        <f t="shared" si="2284"/>
        <v>SPS1</v>
      </c>
      <c r="C2289" s="5" t="str">
        <f t="shared" si="2285"/>
        <v>CH</v>
      </c>
      <c r="D2289" t="s">
        <v>2423</v>
      </c>
      <c r="E2289" t="str">
        <f t="shared" si="2286"/>
        <v>GWth/yr.</v>
      </c>
      <c r="F2289" s="1">
        <f t="shared" ref="F2289:O2289" si="2300">F2290</f>
        <v>0</v>
      </c>
      <c r="G2289" s="1">
        <f t="shared" si="2300"/>
        <v>5.5667206884551702E-6</v>
      </c>
      <c r="H2289" s="1">
        <f t="shared" si="2300"/>
        <v>6.5933066543236698E-6</v>
      </c>
      <c r="I2289" s="1">
        <f t="shared" si="2300"/>
        <v>9.7000234400221302E-6</v>
      </c>
      <c r="J2289" s="1">
        <f t="shared" si="2300"/>
        <v>0.14941006299103499</v>
      </c>
      <c r="K2289" s="1">
        <f t="shared" si="2300"/>
        <v>1.7166118125953599E-2</v>
      </c>
      <c r="L2289" s="1">
        <f t="shared" si="2300"/>
        <v>6.5116758179295201E-6</v>
      </c>
      <c r="M2289" s="1">
        <f t="shared" si="2300"/>
        <v>1.33006795183034E-5</v>
      </c>
      <c r="N2289" s="1">
        <f t="shared" si="2300"/>
        <v>2.83291457523652E-5</v>
      </c>
      <c r="O2289" s="1">
        <f t="shared" si="2300"/>
        <v>7.2400672487122003E-5</v>
      </c>
      <c r="P2289" s="1">
        <f>P2290</f>
        <v>6.4104722690624602E-6</v>
      </c>
      <c r="Q2289" s="1">
        <f>Q2290</f>
        <v>3.5700296426157399E-6</v>
      </c>
      <c r="S2289" s="3"/>
    </row>
    <row r="2290" spans="2:19" x14ac:dyDescent="0.5">
      <c r="B2290" s="5" t="str">
        <f t="shared" si="2284"/>
        <v>SPS1</v>
      </c>
      <c r="C2290" s="5" t="str">
        <f t="shared" si="2285"/>
        <v>CH</v>
      </c>
      <c r="D2290" t="s">
        <v>2424</v>
      </c>
      <c r="E2290" t="str">
        <f t="shared" si="2286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5.5667206884551702E-6</v>
      </c>
      <c r="H2290" s="1" cm="1">
        <f t="array" ref="H2290">SUMPRODUCT(([1]OUT_FinalEnergyCons!$B$4:$B$10000="var_ncap")*1,  (ISNUMBER(SEARCH("ITOT-SWHWST*BR",[1]OUT_FinalEnergyCons!$A$4:$A$10000)))*1,[1]OUT_FinalEnergyCons!F$4:F$10000)</f>
        <v>6.5933066543236698E-6</v>
      </c>
      <c r="I2290" s="1" cm="1">
        <f t="array" ref="I2290">SUMPRODUCT(([1]OUT_FinalEnergyCons!$B$4:$B$10000="var_ncap")*1,  (ISNUMBER(SEARCH("ITOT-SWHWST*BR",[1]OUT_FinalEnergyCons!$A$4:$A$10000)))*1,[1]OUT_FinalEnergyCons!G$4:G$10000)</f>
        <v>9.7000234400221302E-6</v>
      </c>
      <c r="J2290" s="1" cm="1">
        <f t="array" ref="J2290">SUMPRODUCT(([1]OUT_FinalEnergyCons!$B$4:$B$10000="var_ncap")*1,  (ISNUMBER(SEARCH("ITOT-SWHWST*BR",[1]OUT_FinalEnergyCons!$A$4:$A$10000)))*1,[1]OUT_FinalEnergyCons!H$4:H$10000)</f>
        <v>0.14941006299103499</v>
      </c>
      <c r="K2290" s="1" cm="1">
        <f t="array" ref="K2290">SUMPRODUCT(([1]OUT_FinalEnergyCons!$B$4:$B$10000="var_ncap")*1,  (ISNUMBER(SEARCH("ITOT-SWHWST*BR",[1]OUT_FinalEnergyCons!$A$4:$A$10000)))*1,[1]OUT_FinalEnergyCons!I$4:I$10000)</f>
        <v>1.7166118125953599E-2</v>
      </c>
      <c r="L2290" s="1" cm="1">
        <f t="array" ref="L2290">SUMPRODUCT(([1]OUT_FinalEnergyCons!$B$4:$B$10000="var_ncap")*1,  (ISNUMBER(SEARCH("ITOT-SWHWST*BR",[1]OUT_FinalEnergyCons!$A$4:$A$10000)))*1,[1]OUT_FinalEnergyCons!J$4:J$10000)</f>
        <v>6.5116758179295201E-6</v>
      </c>
      <c r="M2290" s="1" cm="1">
        <f t="array" ref="M2290">SUMPRODUCT(([1]OUT_FinalEnergyCons!$B$4:$B$10000="var_ncap")*1,  (ISNUMBER(SEARCH("ITOT-SWHWST*BR",[1]OUT_FinalEnergyCons!$A$4:$A$10000)))*1,[1]OUT_FinalEnergyCons!K$4:K$10000)</f>
        <v>1.33006795183034E-5</v>
      </c>
      <c r="N2290" s="1" cm="1">
        <f t="array" ref="N2290">SUMPRODUCT(([1]OUT_FinalEnergyCons!$B$4:$B$10000="var_ncap")*1,  (ISNUMBER(SEARCH("ITOT-SWHWST*BR",[1]OUT_FinalEnergyCons!$A$4:$A$10000)))*1,[1]OUT_FinalEnergyCons!L$4:L$10000)</f>
        <v>2.83291457523652E-5</v>
      </c>
      <c r="O2290" s="1" cm="1">
        <f t="array" ref="O2290">SUMPRODUCT(([1]OUT_FinalEnergyCons!$B$4:$B$10000="var_ncap")*1,  (ISNUMBER(SEARCH("ITOT-SWHWST*BR",[1]OUT_FinalEnergyCons!$A$4:$A$10000)))*1,[1]OUT_FinalEnergyCons!M$4:M$10000)</f>
        <v>7.2400672487122003E-5</v>
      </c>
      <c r="P2290" s="1" cm="1">
        <f t="array" ref="P2290">SUMPRODUCT(([1]OUT_FinalEnergyCons!$B$4:$B$10000="var_ncap")*1,  (ISNUMBER(SEARCH("ITOT-SWHWST*BR",[1]OUT_FinalEnergyCons!$A$4:$A$10000)))*1,[1]OUT_FinalEnergyCons!N$4:N$10000)</f>
        <v>6.4104722690624602E-6</v>
      </c>
      <c r="Q2290" s="1" cm="1">
        <f t="array" ref="Q2290">SUMPRODUCT(([1]OUT_FinalEnergyCons!$B$4:$B$10000="var_ncap")*1,  (ISNUMBER(SEARCH("ITOT-SWHWST*BR",[1]OUT_FinalEnergyCons!$A$4:$A$10000)))*1,[1]OUT_FinalEnergyCons!O$4:O$10000)</f>
        <v>3.5700296426157399E-6</v>
      </c>
      <c r="S2290" s="3"/>
    </row>
    <row r="2291" spans="2:19" x14ac:dyDescent="0.5">
      <c r="B2291" s="5" t="str">
        <f t="shared" si="2284"/>
        <v>SPS1</v>
      </c>
      <c r="C2291" s="5" t="str">
        <f t="shared" si="2285"/>
        <v>CH</v>
      </c>
      <c r="D2291" t="s">
        <v>2425</v>
      </c>
      <c r="E2291" t="str">
        <f t="shared" si="2286"/>
        <v>GWth/yr.</v>
      </c>
      <c r="F2291" s="1">
        <f t="shared" ref="F2291:O2291" si="2301">F2292</f>
        <v>0</v>
      </c>
      <c r="G2291" s="1">
        <f t="shared" si="2301"/>
        <v>2.6498828574487302E-3</v>
      </c>
      <c r="H2291" s="1">
        <f t="shared" si="2301"/>
        <v>3.4422914021406702E-8</v>
      </c>
      <c r="I2291" s="1">
        <f t="shared" si="2301"/>
        <v>9.3240371384983306E-8</v>
      </c>
      <c r="J2291" s="1">
        <f t="shared" si="2301"/>
        <v>8.5663707825565493E-3</v>
      </c>
      <c r="K2291" s="1">
        <f t="shared" si="2301"/>
        <v>3.90457529183676E-3</v>
      </c>
      <c r="L2291" s="1">
        <f t="shared" si="2301"/>
        <v>2.59296909030278E-7</v>
      </c>
      <c r="M2291" s="1">
        <f t="shared" si="2301"/>
        <v>8.5668767560183098E-3</v>
      </c>
      <c r="N2291" s="1">
        <f t="shared" si="2301"/>
        <v>3.3045301356189301E-3</v>
      </c>
      <c r="O2291" s="1">
        <f t="shared" si="2301"/>
        <v>6.0294246337877901E-4</v>
      </c>
      <c r="P2291" s="1">
        <f>P2292</f>
        <v>8.0968431413051302E-3</v>
      </c>
      <c r="Q2291" s="1">
        <f>Q2292</f>
        <v>2.84311951487486E-2</v>
      </c>
      <c r="S2291" s="3"/>
    </row>
    <row r="2292" spans="2:19" x14ac:dyDescent="0.5">
      <c r="B2292" s="5" t="str">
        <f t="shared" si="2284"/>
        <v>SPS1</v>
      </c>
      <c r="C2292" s="5" t="str">
        <f t="shared" si="2285"/>
        <v>CH</v>
      </c>
      <c r="D2292" t="s">
        <v>2426</v>
      </c>
      <c r="E2292" t="str">
        <f t="shared" si="2286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2.6498828574487302E-3</v>
      </c>
      <c r="H2292" s="1" cm="1">
        <f t="array" ref="H2292">SUMPRODUCT(([1]OUT_FinalEnergyCons!$B$4:$B$10000="var_ncap")*1, (ISNUMBER(SEARCH("ITOT-SWHSOLBR",[1]OUT_FinalEnergyCons!$A$4:$A$10000)))*1,[1]OUT_FinalEnergyCons!F$4:F$10000)</f>
        <v>3.4422914021406702E-8</v>
      </c>
      <c r="I2292" s="1" cm="1">
        <f t="array" ref="I2292">SUMPRODUCT(([1]OUT_FinalEnergyCons!$B$4:$B$10000="var_ncap")*1, (ISNUMBER(SEARCH("ITOT-SWHSOLBR",[1]OUT_FinalEnergyCons!$A$4:$A$10000)))*1,[1]OUT_FinalEnergyCons!G$4:G$10000)</f>
        <v>9.3240371384983306E-8</v>
      </c>
      <c r="J2292" s="1" cm="1">
        <f t="array" ref="J2292">SUMPRODUCT(([1]OUT_FinalEnergyCons!$B$4:$B$10000="var_ncap")*1, (ISNUMBER(SEARCH("ITOT-SWHSOLBR",[1]OUT_FinalEnergyCons!$A$4:$A$10000)))*1,[1]OUT_FinalEnergyCons!H$4:H$10000)</f>
        <v>8.5663707825565493E-3</v>
      </c>
      <c r="K2292" s="1" cm="1">
        <f t="array" ref="K2292">SUMPRODUCT(([1]OUT_FinalEnergyCons!$B$4:$B$10000="var_ncap")*1, (ISNUMBER(SEARCH("ITOT-SWHSOLBR",[1]OUT_FinalEnergyCons!$A$4:$A$10000)))*1,[1]OUT_FinalEnergyCons!I$4:I$10000)</f>
        <v>3.90457529183676E-3</v>
      </c>
      <c r="L2292" s="1" cm="1">
        <f t="array" ref="L2292">SUMPRODUCT(([1]OUT_FinalEnergyCons!$B$4:$B$10000="var_ncap")*1, (ISNUMBER(SEARCH("ITOT-SWHSOLBR",[1]OUT_FinalEnergyCons!$A$4:$A$10000)))*1,[1]OUT_FinalEnergyCons!J$4:J$10000)</f>
        <v>2.59296909030278E-7</v>
      </c>
      <c r="M2292" s="1" cm="1">
        <f t="array" ref="M2292">SUMPRODUCT(([1]OUT_FinalEnergyCons!$B$4:$B$10000="var_ncap")*1, (ISNUMBER(SEARCH("ITOT-SWHSOLBR",[1]OUT_FinalEnergyCons!$A$4:$A$10000)))*1,[1]OUT_FinalEnergyCons!K$4:K$10000)</f>
        <v>8.5668767560183098E-3</v>
      </c>
      <c r="N2292" s="1" cm="1">
        <f t="array" ref="N2292">SUMPRODUCT(([1]OUT_FinalEnergyCons!$B$4:$B$10000="var_ncap")*1, (ISNUMBER(SEARCH("ITOT-SWHSOLBR",[1]OUT_FinalEnergyCons!$A$4:$A$10000)))*1,[1]OUT_FinalEnergyCons!L$4:L$10000)</f>
        <v>3.3045301356189301E-3</v>
      </c>
      <c r="O2292" s="1" cm="1">
        <f t="array" ref="O2292">SUMPRODUCT(([1]OUT_FinalEnergyCons!$B$4:$B$10000="var_ncap")*1, (ISNUMBER(SEARCH("ITOT-SWHSOLBR",[1]OUT_FinalEnergyCons!$A$4:$A$10000)))*1,[1]OUT_FinalEnergyCons!M$4:M$10000)</f>
        <v>6.0294246337877901E-4</v>
      </c>
      <c r="P2292" s="1" cm="1">
        <f t="array" ref="P2292">SUMPRODUCT(([1]OUT_FinalEnergyCons!$B$4:$B$10000="var_ncap")*1, (ISNUMBER(SEARCH("ITOT-SWHSOLBR",[1]OUT_FinalEnergyCons!$A$4:$A$10000)))*1,[1]OUT_FinalEnergyCons!N$4:N$10000)</f>
        <v>8.0968431413051302E-3</v>
      </c>
      <c r="Q2292" s="1" cm="1">
        <f t="array" ref="Q2292">SUMPRODUCT(([1]OUT_FinalEnergyCons!$B$4:$B$10000="var_ncap")*1, (ISNUMBER(SEARCH("ITOT-SWHSOLBR",[1]OUT_FinalEnergyCons!$A$4:$A$10000)))*1,[1]OUT_FinalEnergyCons!O$4:O$10000)</f>
        <v>2.84311951487486E-2</v>
      </c>
      <c r="S2292" s="3"/>
    </row>
    <row r="2293" spans="2:19" x14ac:dyDescent="0.5">
      <c r="B2293" s="5" t="str">
        <f t="shared" si="2284"/>
        <v>SPS1</v>
      </c>
      <c r="C2293" s="5" t="str">
        <f t="shared" si="2285"/>
        <v>CH</v>
      </c>
      <c r="D2293" t="s">
        <v>2427</v>
      </c>
      <c r="E2293" t="str">
        <f t="shared" si="2286"/>
        <v>GWth/yr.</v>
      </c>
      <c r="F2293" s="1">
        <f t="shared" ref="F2293:O2293" si="2302">F2294</f>
        <v>0</v>
      </c>
      <c r="G2293" s="1">
        <f t="shared" si="2302"/>
        <v>0</v>
      </c>
      <c r="H2293" s="1">
        <f t="shared" si="2302"/>
        <v>0</v>
      </c>
      <c r="I2293" s="1">
        <f t="shared" si="2302"/>
        <v>1.71329367822736E-3</v>
      </c>
      <c r="J2293" s="1">
        <f t="shared" si="2302"/>
        <v>0.85056148318097902</v>
      </c>
      <c r="K2293" s="1">
        <f t="shared" si="2302"/>
        <v>1.257785571404E-5</v>
      </c>
      <c r="L2293" s="1">
        <f t="shared" si="2302"/>
        <v>1.9224993987746899E-5</v>
      </c>
      <c r="M2293" s="1">
        <f t="shared" si="2302"/>
        <v>1.0390397906754401</v>
      </c>
      <c r="N2293" s="1">
        <f t="shared" si="2302"/>
        <v>0.109527056148028</v>
      </c>
      <c r="O2293" s="1">
        <f t="shared" si="2302"/>
        <v>2.66774172786522E-2</v>
      </c>
      <c r="P2293" s="1">
        <f>P2294</f>
        <v>0.895156117430567</v>
      </c>
      <c r="Q2293" s="1">
        <f>Q2294</f>
        <v>0.25426084842589802</v>
      </c>
      <c r="S2293" s="3"/>
    </row>
    <row r="2294" spans="2:19" x14ac:dyDescent="0.5">
      <c r="B2294" s="5" t="str">
        <f t="shared" si="2284"/>
        <v>SPS1</v>
      </c>
      <c r="C2294" s="5" t="str">
        <f t="shared" si="2285"/>
        <v>CH</v>
      </c>
      <c r="D2294" t="s">
        <v>2428</v>
      </c>
      <c r="E2294" t="str">
        <f t="shared" si="2286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1.71329367822736E-3</v>
      </c>
      <c r="J2294" s="1" cm="1">
        <f t="array" ref="J2294">SUMPRODUCT(([1]OUT_FinalEnergyCons!$B$4:$B$10000="var_ncap")*1, (ISNUMBER(SEARCH("ITOT-SWHH2BR",[1]OUT_FinalEnergyCons!$A$4:$A$10000)))*1,[1]OUT_FinalEnergyCons!H$4:H$10000)</f>
        <v>0.85056148318097902</v>
      </c>
      <c r="K2294" s="1" cm="1">
        <f t="array" ref="K2294">SUMPRODUCT(([1]OUT_FinalEnergyCons!$B$4:$B$10000="var_ncap")*1, (ISNUMBER(SEARCH("ITOT-SWHH2BR",[1]OUT_FinalEnergyCons!$A$4:$A$10000)))*1,[1]OUT_FinalEnergyCons!I$4:I$10000)</f>
        <v>1.257785571404E-5</v>
      </c>
      <c r="L2294" s="1" cm="1">
        <f t="array" ref="L2294">SUMPRODUCT(([1]OUT_FinalEnergyCons!$B$4:$B$10000="var_ncap")*1, (ISNUMBER(SEARCH("ITOT-SWHH2BR",[1]OUT_FinalEnergyCons!$A$4:$A$10000)))*1,[1]OUT_FinalEnergyCons!J$4:J$10000)</f>
        <v>1.9224993987746899E-5</v>
      </c>
      <c r="M2294" s="1" cm="1">
        <f t="array" ref="M2294">SUMPRODUCT(([1]OUT_FinalEnergyCons!$B$4:$B$10000="var_ncap")*1, (ISNUMBER(SEARCH("ITOT-SWHH2BR",[1]OUT_FinalEnergyCons!$A$4:$A$10000)))*1,[1]OUT_FinalEnergyCons!K$4:K$10000)</f>
        <v>1.0390397906754401</v>
      </c>
      <c r="N2294" s="1" cm="1">
        <f t="array" ref="N2294">SUMPRODUCT(([1]OUT_FinalEnergyCons!$B$4:$B$10000="var_ncap")*1, (ISNUMBER(SEARCH("ITOT-SWHH2BR",[1]OUT_FinalEnergyCons!$A$4:$A$10000)))*1,[1]OUT_FinalEnergyCons!L$4:L$10000)</f>
        <v>0.109527056148028</v>
      </c>
      <c r="O2294" s="1" cm="1">
        <f t="array" ref="O2294">SUMPRODUCT(([1]OUT_FinalEnergyCons!$B$4:$B$10000="var_ncap")*1, (ISNUMBER(SEARCH("ITOT-SWHH2BR",[1]OUT_FinalEnergyCons!$A$4:$A$10000)))*1,[1]OUT_FinalEnergyCons!M$4:M$10000)</f>
        <v>2.66774172786522E-2</v>
      </c>
      <c r="P2294" s="1" cm="1">
        <f t="array" ref="P2294">SUMPRODUCT(([1]OUT_FinalEnergyCons!$B$4:$B$10000="var_ncap")*1, (ISNUMBER(SEARCH("ITOT-SWHH2BR",[1]OUT_FinalEnergyCons!$A$4:$A$10000)))*1,[1]OUT_FinalEnergyCons!N$4:N$10000)</f>
        <v>0.895156117430567</v>
      </c>
      <c r="Q2294" s="1" cm="1">
        <f t="array" ref="Q2294">SUMPRODUCT(([1]OUT_FinalEnergyCons!$B$4:$B$10000="var_ncap")*1, (ISNUMBER(SEARCH("ITOT-SWHH2BR",[1]OUT_FinalEnergyCons!$A$4:$A$10000)))*1,[1]OUT_FinalEnergyCons!O$4:O$10000)</f>
        <v>0.25426084842589802</v>
      </c>
      <c r="S2294" s="3"/>
    </row>
    <row r="2295" spans="2:19" x14ac:dyDescent="0.5">
      <c r="B2295" s="9" t="str">
        <f>'SPS1'!B1813</f>
        <v>SPS1</v>
      </c>
      <c r="C2295" s="9" t="str">
        <f>'SPS1'!C1813</f>
        <v>CH</v>
      </c>
      <c r="D2295" s="2" t="s">
        <v>2429</v>
      </c>
      <c r="E2295" s="9" t="str">
        <f t="shared" si="2286"/>
        <v>GWth/yr.</v>
      </c>
      <c r="F2295" s="17">
        <f t="shared" ref="F2295:K2295" si="2303">SUM(F2296,F2299,F2301,F2305,F2307,F2309,F2311)</f>
        <v>3.2417424117944775E-5</v>
      </c>
      <c r="G2295" s="17">
        <f t="shared" si="2303"/>
        <v>9.9114603559558492E-2</v>
      </c>
      <c r="H2295" s="17">
        <f t="shared" si="2303"/>
        <v>0.12835018276134719</v>
      </c>
      <c r="I2295" s="17">
        <f t="shared" si="2303"/>
        <v>1.3185718240407733E-3</v>
      </c>
      <c r="J2295" s="17">
        <f t="shared" si="2303"/>
        <v>2.8498125030910626</v>
      </c>
      <c r="K2295" s="17">
        <f t="shared" si="2303"/>
        <v>1.770843311447702</v>
      </c>
      <c r="L2295" s="17">
        <f t="shared" ref="L2295:O2295" si="2304">SUM(L2296,L2299,L2301,L2305,L2307,L2309,L2311)</f>
        <v>0.2463383416082699</v>
      </c>
      <c r="M2295" s="17">
        <f t="shared" si="2304"/>
        <v>1.7724805900442109</v>
      </c>
      <c r="N2295" s="17">
        <f t="shared" si="2304"/>
        <v>1.5190813652050883</v>
      </c>
      <c r="O2295" s="17">
        <f t="shared" si="2304"/>
        <v>0.68311679130328817</v>
      </c>
      <c r="P2295" s="17">
        <f>SUM(P2296,P2299,P2301,P2305,P2307,P2309,P2311)</f>
        <v>1.897586400938746</v>
      </c>
      <c r="Q2295" s="17">
        <f>SUM(Q2296,Q2299,Q2301,Q2305,Q2307,Q2309,Q2311)</f>
        <v>1.3285961156813131</v>
      </c>
      <c r="S2295" s="3"/>
    </row>
    <row r="2296" spans="2:19" x14ac:dyDescent="0.5">
      <c r="B2296" s="5" t="str">
        <f t="shared" ref="B2296:B2312" si="2305">B2295</f>
        <v>SPS1</v>
      </c>
      <c r="C2296" s="5" t="str">
        <f t="shared" ref="C2296:C2312" si="2306">C2295</f>
        <v>CH</v>
      </c>
      <c r="D2296" t="s">
        <v>2430</v>
      </c>
      <c r="E2296" t="str">
        <f t="shared" si="2286"/>
        <v>GWth/yr.</v>
      </c>
      <c r="F2296" s="1">
        <f t="shared" ref="F2296:K2296" si="2307">SUM(F2297:F2298)</f>
        <v>8.1251160180491836E-7</v>
      </c>
      <c r="G2296" s="1">
        <f t="shared" si="2307"/>
        <v>1.1406701222561891E-6</v>
      </c>
      <c r="H2296" s="1">
        <f t="shared" si="2307"/>
        <v>0.12824821376928938</v>
      </c>
      <c r="I2296" s="1">
        <f t="shared" si="2307"/>
        <v>2.3256103233148655E-5</v>
      </c>
      <c r="J2296" s="1">
        <f t="shared" si="2307"/>
        <v>0.3375877849560226</v>
      </c>
      <c r="K2296" s="1">
        <f t="shared" si="2307"/>
        <v>0.19524266651464869</v>
      </c>
      <c r="L2296" s="1">
        <f t="shared" ref="L2296:O2296" si="2308">SUM(L2297:L2298)</f>
        <v>6.7529338792384904E-5</v>
      </c>
      <c r="M2296" s="1">
        <f t="shared" si="2308"/>
        <v>0.85164291532456204</v>
      </c>
      <c r="N2296" s="1">
        <f t="shared" si="2308"/>
        <v>0.10162543118408199</v>
      </c>
      <c r="O2296" s="1">
        <f t="shared" si="2308"/>
        <v>9.6193549551852643E-3</v>
      </c>
      <c r="P2296" s="1">
        <f>SUM(P2297:P2298)</f>
        <v>0.6690956990802357</v>
      </c>
      <c r="Q2296" s="1">
        <f>SUM(Q2297:Q2298)</f>
        <v>0.2360047426139481</v>
      </c>
      <c r="S2296" s="3"/>
    </row>
    <row r="2297" spans="2:19" x14ac:dyDescent="0.5">
      <c r="B2297" s="5" t="str">
        <f t="shared" si="2305"/>
        <v>SPS1</v>
      </c>
      <c r="C2297" s="5" t="str">
        <f t="shared" si="2306"/>
        <v>CH</v>
      </c>
      <c r="D2297" t="s">
        <v>2431</v>
      </c>
      <c r="E2297" t="str">
        <f t="shared" si="2286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7.6759784061177597E-7</v>
      </c>
      <c r="G2297" s="1" cm="1">
        <f t="array" ref="G2297">SUMPRODUCT(([1]OUT_FinalEnergyCons!$B$4:$B$10000="var_ncap")*1, (ISNUMBER(SEARCH("SCOM-SHELCBR",[1]OUT_FinalEnergyCons!$A$4:$A$10000)))*1,[1]OUT_FinalEnergyCons!E$4:E$10000)</f>
        <v>1.0024474914740301E-6</v>
      </c>
      <c r="H2297" s="1" cm="1">
        <f t="array" ref="H2297">SUMPRODUCT(([1]OUT_FinalEnergyCons!$B$4:$B$10000="var_ncap")*1, (ISNUMBER(SEARCH("SCOM-SHELCBR",[1]OUT_FinalEnergyCons!$A$4:$A$10000)))*1,[1]OUT_FinalEnergyCons!F$4:F$10000)</f>
        <v>0.12824801901327099</v>
      </c>
      <c r="I2297" s="1" cm="1">
        <f t="array" ref="I2297">SUMPRODUCT(([1]OUT_FinalEnergyCons!$B$4:$B$10000="var_ncap")*1, (ISNUMBER(SEARCH("SCOM-SHELCBR",[1]OUT_FinalEnergyCons!$A$4:$A$10000)))*1,[1]OUT_FinalEnergyCons!G$4:G$10000)</f>
        <v>2.2753311101881199E-5</v>
      </c>
      <c r="J2297" s="1" cm="1">
        <f t="array" ref="J2297">SUMPRODUCT(([1]OUT_FinalEnergyCons!$B$4:$B$10000="var_ncap")*1, (ISNUMBER(SEARCH("SCOM-SHELCBR",[1]OUT_FinalEnergyCons!$A$4:$A$10000)))*1,[1]OUT_FinalEnergyCons!H$4:H$10000)</f>
        <v>4.1894282392016598E-2</v>
      </c>
      <c r="K2297" s="1" cm="1">
        <f t="array" ref="K2297">SUMPRODUCT(([1]OUT_FinalEnergyCons!$B$4:$B$10000="var_ncap")*1, (ISNUMBER(SEARCH("SCOM-SHELCBR",[1]OUT_FinalEnergyCons!$A$4:$A$10000)))*1,[1]OUT_FinalEnergyCons!I$4:I$10000)</f>
        <v>8.3560207457258701E-2</v>
      </c>
      <c r="L2297" s="1" cm="1">
        <f t="array" ref="L2297">SUMPRODUCT(([1]OUT_FinalEnergyCons!$B$4:$B$10000="var_ncap")*1, (ISNUMBER(SEARCH("SCOM-SHELCBR",[1]OUT_FinalEnergyCons!$A$4:$A$10000)))*1,[1]OUT_FinalEnergyCons!J$4:J$10000)</f>
        <v>1.2491171895045E-5</v>
      </c>
      <c r="M2297" s="1" cm="1">
        <f t="array" ref="M2297">SUMPRODUCT(([1]OUT_FinalEnergyCons!$B$4:$B$10000="var_ncap")*1, (ISNUMBER(SEARCH("SCOM-SHELCBR",[1]OUT_FinalEnergyCons!$A$4:$A$10000)))*1,[1]OUT_FinalEnergyCons!K$4:K$10000)</f>
        <v>0.14862658713178201</v>
      </c>
      <c r="N2297" s="1" cm="1">
        <f t="array" ref="N2297">SUMPRODUCT(([1]OUT_FinalEnergyCons!$B$4:$B$10000="var_ncap")*1, (ISNUMBER(SEARCH("SCOM-SHELCBR",[1]OUT_FinalEnergyCons!$A$4:$A$10000)))*1,[1]OUT_FinalEnergyCons!L$4:L$10000)</f>
        <v>9.8196290157967908E-3</v>
      </c>
      <c r="O2297" s="1" cm="1">
        <f t="array" ref="O2297">SUMPRODUCT(([1]OUT_FinalEnergyCons!$B$4:$B$10000="var_ncap")*1, (ISNUMBER(SEARCH("SCOM-SHELCBR",[1]OUT_FinalEnergyCons!$A$4:$A$10000)))*1,[1]OUT_FinalEnergyCons!M$4:M$10000)</f>
        <v>9.6578485852743697E-6</v>
      </c>
      <c r="P2297" s="1" cm="1">
        <f t="array" ref="P2297">SUMPRODUCT(([1]OUT_FinalEnergyCons!$B$4:$B$10000="var_ncap")*1, (ISNUMBER(SEARCH("SCOM-SHELCBR",[1]OUT_FinalEnergyCons!$A$4:$A$10000)))*1,[1]OUT_FinalEnergyCons!N$4:N$10000)</f>
        <v>6.2203705744875701E-2</v>
      </c>
      <c r="Q2297" s="1" cm="1">
        <f t="array" ref="Q2297">SUMPRODUCT(([1]OUT_FinalEnergyCons!$B$4:$B$10000="var_ncap")*1, (ISNUMBER(SEARCH("SCOM-SHELCBR",[1]OUT_FinalEnergyCons!$A$4:$A$10000)))*1,[1]OUT_FinalEnergyCons!O$4:O$10000)</f>
        <v>1.19028334957121E-2</v>
      </c>
      <c r="S2297" s="3"/>
    </row>
    <row r="2298" spans="2:19" x14ac:dyDescent="0.5">
      <c r="B2298" s="5" t="str">
        <f t="shared" si="2305"/>
        <v>SPS1</v>
      </c>
      <c r="C2298" s="5" t="str">
        <f t="shared" si="2306"/>
        <v>CH</v>
      </c>
      <c r="D2298" t="s">
        <v>2432</v>
      </c>
      <c r="E2298" t="str">
        <f t="shared" si="2286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4.4913761193142399E-8</v>
      </c>
      <c r="G2298" s="1" cm="1">
        <f t="array" ref="G2298">SUMPRODUCT(([1]OUT_FinalEnergyCons!$B$4:$B$10000="var_ncap")*1, (ISNUMBER(SEARCH("SCOM-SHELCHP",[1]OUT_FinalEnergyCons!$A$4:$A$10000)))*1,[1]OUT_FinalEnergyCons!E$4:E$10000)</f>
        <v>1.38222630782159E-7</v>
      </c>
      <c r="H2298" s="1" cm="1">
        <f t="array" ref="H2298">SUMPRODUCT(([1]OUT_FinalEnergyCons!$B$4:$B$10000="var_ncap")*1, (ISNUMBER(SEARCH("SCOM-SHELCHP",[1]OUT_FinalEnergyCons!$A$4:$A$10000)))*1,[1]OUT_FinalEnergyCons!F$4:F$10000)</f>
        <v>1.9475601840933901E-7</v>
      </c>
      <c r="I2298" s="1" cm="1">
        <f t="array" ref="I2298">SUMPRODUCT(([1]OUT_FinalEnergyCons!$B$4:$B$10000="var_ncap")*1, (ISNUMBER(SEARCH("SCOM-SHELCHP",[1]OUT_FinalEnergyCons!$A$4:$A$10000)))*1,[1]OUT_FinalEnergyCons!G$4:G$10000)</f>
        <v>5.0279213126745702E-7</v>
      </c>
      <c r="J2298" s="1" cm="1">
        <f t="array" ref="J2298">SUMPRODUCT(([1]OUT_FinalEnergyCons!$B$4:$B$10000="var_ncap")*1, (ISNUMBER(SEARCH("SCOM-SHELCHP",[1]OUT_FinalEnergyCons!$A$4:$A$10000)))*1,[1]OUT_FinalEnergyCons!H$4:H$10000)</f>
        <v>0.29569350256400601</v>
      </c>
      <c r="K2298" s="1" cm="1">
        <f t="array" ref="K2298">SUMPRODUCT(([1]OUT_FinalEnergyCons!$B$4:$B$10000="var_ncap")*1, (ISNUMBER(SEARCH("SCOM-SHELCHP",[1]OUT_FinalEnergyCons!$A$4:$A$10000)))*1,[1]OUT_FinalEnergyCons!I$4:I$10000)</f>
        <v>0.11168245905738999</v>
      </c>
      <c r="L2298" s="1" cm="1">
        <f t="array" ref="L2298">SUMPRODUCT(([1]OUT_FinalEnergyCons!$B$4:$B$10000="var_ncap")*1, (ISNUMBER(SEARCH("SCOM-SHELCHP",[1]OUT_FinalEnergyCons!$A$4:$A$10000)))*1,[1]OUT_FinalEnergyCons!J$4:J$10000)</f>
        <v>5.5038166897339899E-5</v>
      </c>
      <c r="M2298" s="1" cm="1">
        <f t="array" ref="M2298">SUMPRODUCT(([1]OUT_FinalEnergyCons!$B$4:$B$10000="var_ncap")*1, (ISNUMBER(SEARCH("SCOM-SHELCHP",[1]OUT_FinalEnergyCons!$A$4:$A$10000)))*1,[1]OUT_FinalEnergyCons!K$4:K$10000)</f>
        <v>0.70301632819278004</v>
      </c>
      <c r="N2298" s="1" cm="1">
        <f t="array" ref="N2298">SUMPRODUCT(([1]OUT_FinalEnergyCons!$B$4:$B$10000="var_ncap")*1, (ISNUMBER(SEARCH("SCOM-SHELCHP",[1]OUT_FinalEnergyCons!$A$4:$A$10000)))*1,[1]OUT_FinalEnergyCons!L$4:L$10000)</f>
        <v>9.1805802168285197E-2</v>
      </c>
      <c r="O2298" s="1" cm="1">
        <f t="array" ref="O2298">SUMPRODUCT(([1]OUT_FinalEnergyCons!$B$4:$B$10000="var_ncap")*1, (ISNUMBER(SEARCH("SCOM-SHELCHP",[1]OUT_FinalEnergyCons!$A$4:$A$10000)))*1,[1]OUT_FinalEnergyCons!M$4:M$10000)</f>
        <v>9.6096971065999896E-3</v>
      </c>
      <c r="P2298" s="1" cm="1">
        <f t="array" ref="P2298">SUMPRODUCT(([1]OUT_FinalEnergyCons!$B$4:$B$10000="var_ncap")*1, (ISNUMBER(SEARCH("SCOM-SHELCHP",[1]OUT_FinalEnergyCons!$A$4:$A$10000)))*1,[1]OUT_FinalEnergyCons!N$4:N$10000)</f>
        <v>0.60689199333536004</v>
      </c>
      <c r="Q2298" s="1" cm="1">
        <f t="array" ref="Q2298">SUMPRODUCT(([1]OUT_FinalEnergyCons!$B$4:$B$10000="var_ncap")*1, (ISNUMBER(SEARCH("SCOM-SHELCHP",[1]OUT_FinalEnergyCons!$A$4:$A$10000)))*1,[1]OUT_FinalEnergyCons!O$4:O$10000)</f>
        <v>0.22410190911823599</v>
      </c>
      <c r="S2298" s="3"/>
    </row>
    <row r="2299" spans="2:19" x14ac:dyDescent="0.5">
      <c r="B2299" s="5" t="str">
        <f t="shared" si="2305"/>
        <v>SPS1</v>
      </c>
      <c r="C2299" s="5" t="str">
        <f t="shared" si="2306"/>
        <v>CH</v>
      </c>
      <c r="D2299" t="s">
        <v>2433</v>
      </c>
      <c r="E2299" t="str">
        <f t="shared" si="2286"/>
        <v>GWth/yr.</v>
      </c>
      <c r="F2299" s="1">
        <f t="shared" ref="F2299:O2299" si="2309">F2300</f>
        <v>4.6480219112694799E-7</v>
      </c>
      <c r="G2299" s="1">
        <f t="shared" si="2309"/>
        <v>7.1717221694275402E-7</v>
      </c>
      <c r="H2299" s="1">
        <f t="shared" si="2309"/>
        <v>4.8654883645803999E-7</v>
      </c>
      <c r="I2299" s="1">
        <f t="shared" si="2309"/>
        <v>7.90737085688889E-7</v>
      </c>
      <c r="J2299" s="1">
        <f t="shared" si="2309"/>
        <v>0.46857617596891998</v>
      </c>
      <c r="K2299" s="1">
        <f t="shared" si="2309"/>
        <v>0.21859522766893799</v>
      </c>
      <c r="L2299" s="1">
        <f t="shared" si="2309"/>
        <v>1.51492698171948E-6</v>
      </c>
      <c r="M2299" s="1">
        <f t="shared" si="2309"/>
        <v>1.6448087249876401E-2</v>
      </c>
      <c r="N2299" s="1">
        <f t="shared" si="2309"/>
        <v>2.5809587732278899E-2</v>
      </c>
      <c r="O2299" s="1">
        <f t="shared" si="2309"/>
        <v>3.35330011061813E-2</v>
      </c>
      <c r="P2299" s="1">
        <f>P2300</f>
        <v>2.1720076244938501E-2</v>
      </c>
      <c r="Q2299" s="1">
        <f>Q2300</f>
        <v>5.4060578944382799E-2</v>
      </c>
      <c r="S2299" s="3"/>
    </row>
    <row r="2300" spans="2:19" x14ac:dyDescent="0.5">
      <c r="B2300" s="5" t="str">
        <f t="shared" si="2305"/>
        <v>SPS1</v>
      </c>
      <c r="C2300" s="5" t="str">
        <f t="shared" si="2306"/>
        <v>CH</v>
      </c>
      <c r="D2300" t="s">
        <v>2434</v>
      </c>
      <c r="E2300" t="str">
        <f t="shared" ref="E2300:E2312" si="2310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4.6480219112694799E-7</v>
      </c>
      <c r="G2300" s="1" cm="1">
        <f t="array" ref="G2300">SUMPRODUCT(([1]OUT_FinalEnergyCons!$B$4:$B$10000="var_ncap")*1,(ISNUMBER(SEARCH("SCOM-SHLFOBR",[1]OUT_FinalEnergyCons!$A$4:$A$10000)))*1,[1]OUT_FinalEnergyCons!E$4:E$10000)</f>
        <v>7.1717221694275402E-7</v>
      </c>
      <c r="H2300" s="1" cm="1">
        <f t="array" ref="H2300">SUMPRODUCT(([1]OUT_FinalEnergyCons!$B$4:$B$10000="var_ncap")*1,(ISNUMBER(SEARCH("SCOM-SHLFOBR",[1]OUT_FinalEnergyCons!$A$4:$A$10000)))*1,[1]OUT_FinalEnergyCons!F$4:F$10000)</f>
        <v>4.8654883645803999E-7</v>
      </c>
      <c r="I2300" s="1" cm="1">
        <f t="array" ref="I2300">SUMPRODUCT(([1]OUT_FinalEnergyCons!$B$4:$B$10000="var_ncap")*1,(ISNUMBER(SEARCH("SCOM-SHLFOBR",[1]OUT_FinalEnergyCons!$A$4:$A$10000)))*1,[1]OUT_FinalEnergyCons!G$4:G$10000)</f>
        <v>7.90737085688889E-7</v>
      </c>
      <c r="J2300" s="1" cm="1">
        <f t="array" ref="J2300">SUMPRODUCT(([1]OUT_FinalEnergyCons!$B$4:$B$10000="var_ncap")*1,(ISNUMBER(SEARCH("SCOM-SHLFOBR",[1]OUT_FinalEnergyCons!$A$4:$A$10000)))*1,[1]OUT_FinalEnergyCons!H$4:H$10000)</f>
        <v>0.46857617596891998</v>
      </c>
      <c r="K2300" s="1" cm="1">
        <f t="array" ref="K2300">SUMPRODUCT(([1]OUT_FinalEnergyCons!$B$4:$B$10000="var_ncap")*1,(ISNUMBER(SEARCH("SCOM-SHLFOBR",[1]OUT_FinalEnergyCons!$A$4:$A$10000)))*1,[1]OUT_FinalEnergyCons!I$4:I$10000)</f>
        <v>0.21859522766893799</v>
      </c>
      <c r="L2300" s="1" cm="1">
        <f t="array" ref="L2300">SUMPRODUCT(([1]OUT_FinalEnergyCons!$B$4:$B$10000="var_ncap")*1,(ISNUMBER(SEARCH("SCOM-SHLFOBR",[1]OUT_FinalEnergyCons!$A$4:$A$10000)))*1,[1]OUT_FinalEnergyCons!J$4:J$10000)</f>
        <v>1.51492698171948E-6</v>
      </c>
      <c r="M2300" s="1" cm="1">
        <f t="array" ref="M2300">SUMPRODUCT(([1]OUT_FinalEnergyCons!$B$4:$B$10000="var_ncap")*1,(ISNUMBER(SEARCH("SCOM-SHLFOBR",[1]OUT_FinalEnergyCons!$A$4:$A$10000)))*1,[1]OUT_FinalEnergyCons!K$4:K$10000)</f>
        <v>1.6448087249876401E-2</v>
      </c>
      <c r="N2300" s="1" cm="1">
        <f t="array" ref="N2300">SUMPRODUCT(([1]OUT_FinalEnergyCons!$B$4:$B$10000="var_ncap")*1,(ISNUMBER(SEARCH("SCOM-SHLFOBR",[1]OUT_FinalEnergyCons!$A$4:$A$10000)))*1,[1]OUT_FinalEnergyCons!L$4:L$10000)</f>
        <v>2.5809587732278899E-2</v>
      </c>
      <c r="O2300" s="1" cm="1">
        <f t="array" ref="O2300">SUMPRODUCT(([1]OUT_FinalEnergyCons!$B$4:$B$10000="var_ncap")*1,(ISNUMBER(SEARCH("SCOM-SHLFOBR",[1]OUT_FinalEnergyCons!$A$4:$A$10000)))*1,[1]OUT_FinalEnergyCons!M$4:M$10000)</f>
        <v>3.35330011061813E-2</v>
      </c>
      <c r="P2300" s="1" cm="1">
        <f t="array" ref="P2300">SUMPRODUCT(([1]OUT_FinalEnergyCons!$B$4:$B$10000="var_ncap")*1,(ISNUMBER(SEARCH("SCOM-SHLFOBR",[1]OUT_FinalEnergyCons!$A$4:$A$10000)))*1,[1]OUT_FinalEnergyCons!N$4:N$10000)</f>
        <v>2.1720076244938501E-2</v>
      </c>
      <c r="Q2300" s="1" cm="1">
        <f t="array" ref="Q2300">SUMPRODUCT(([1]OUT_FinalEnergyCons!$B$4:$B$10000="var_ncap")*1,(ISNUMBER(SEARCH("SCOM-SHLFOBR",[1]OUT_FinalEnergyCons!$A$4:$A$10000)))*1,[1]OUT_FinalEnergyCons!O$4:O$10000)</f>
        <v>5.4060578944382799E-2</v>
      </c>
      <c r="S2300" s="3"/>
    </row>
    <row r="2301" spans="2:19" x14ac:dyDescent="0.5">
      <c r="B2301" s="5" t="str">
        <f t="shared" si="2305"/>
        <v>SPS1</v>
      </c>
      <c r="C2301" s="5" t="str">
        <f t="shared" si="2306"/>
        <v>CH</v>
      </c>
      <c r="D2301" t="s">
        <v>2435</v>
      </c>
      <c r="E2301" t="str">
        <f t="shared" si="2310"/>
        <v>GWth/yr.</v>
      </c>
      <c r="F2301" s="1">
        <f t="shared" ref="F2301:K2301" si="2311">SUM(F2302:F2304)</f>
        <v>1.3468697274962109E-6</v>
      </c>
      <c r="G2301" s="1">
        <f t="shared" si="2311"/>
        <v>3.4568600783462054E-5</v>
      </c>
      <c r="H2301" s="1">
        <f t="shared" si="2311"/>
        <v>9.6945324541139257E-5</v>
      </c>
      <c r="I2301" s="1">
        <f t="shared" si="2311"/>
        <v>4.4568793205583302E-6</v>
      </c>
      <c r="J2301" s="1">
        <f t="shared" si="2311"/>
        <v>1.3831881426735273</v>
      </c>
      <c r="K2301" s="1">
        <f t="shared" si="2311"/>
        <v>0.92728679751802234</v>
      </c>
      <c r="L2301" s="1">
        <f t="shared" ref="L2301:O2301" si="2312">SUM(L2302:L2304)</f>
        <v>0.15302110313613881</v>
      </c>
      <c r="M2301" s="1">
        <f t="shared" si="2312"/>
        <v>0.52992591223807961</v>
      </c>
      <c r="N2301" s="1">
        <f t="shared" si="2312"/>
        <v>1.0323763462128861</v>
      </c>
      <c r="O2301" s="1">
        <f t="shared" si="2312"/>
        <v>0.57825558543376132</v>
      </c>
      <c r="P2301" s="1">
        <f>SUM(P2302:P2304)</f>
        <v>0.82295981507409</v>
      </c>
      <c r="Q2301" s="1">
        <f>SUM(Q2302:Q2304)</f>
        <v>0.47269826898302042</v>
      </c>
      <c r="S2301" s="3"/>
    </row>
    <row r="2302" spans="2:19" x14ac:dyDescent="0.5">
      <c r="B2302" s="5" t="str">
        <f t="shared" si="2305"/>
        <v>SPS1</v>
      </c>
      <c r="C2302" s="5" t="str">
        <f t="shared" si="2306"/>
        <v>CH</v>
      </c>
      <c r="D2302" t="s">
        <v>2436</v>
      </c>
      <c r="E2302" t="str">
        <f t="shared" si="2310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1.15281071234954E-7</v>
      </c>
      <c r="G2302" s="1" cm="1">
        <f t="array" ref="G2302">SUMPRODUCT(([1]OUT_FinalEnergyCons!$B$4:$B$10000="var_ncap")*1, (ISNUMBER(SEARCH("SCOM-SHNGABR",[1]OUT_FinalEnergyCons!$A$4:$A$10000)))*1,[1]OUT_FinalEnergyCons!E$4:E$10000)</f>
        <v>7.5235960689151901E-7</v>
      </c>
      <c r="H2302" s="1" cm="1">
        <f t="array" ref="H2302">SUMPRODUCT(([1]OUT_FinalEnergyCons!$B$4:$B$10000="var_ncap")*1, (ISNUMBER(SEARCH("SCOM-SHNGABR",[1]OUT_FinalEnergyCons!$A$4:$A$10000)))*1,[1]OUT_FinalEnergyCons!F$4:F$10000)</f>
        <v>9.2463646940397696E-7</v>
      </c>
      <c r="I2302" s="1" cm="1">
        <f t="array" ref="I2302">SUMPRODUCT(([1]OUT_FinalEnergyCons!$B$4:$B$10000="var_ncap")*1, (ISNUMBER(SEARCH("SCOM-SHNGABR",[1]OUT_FinalEnergyCons!$A$4:$A$10000)))*1,[1]OUT_FinalEnergyCons!G$4:G$10000)</f>
        <v>1.27984012170069E-6</v>
      </c>
      <c r="J2302" s="1" cm="1">
        <f t="array" ref="J2302">SUMPRODUCT(([1]OUT_FinalEnergyCons!$B$4:$B$10000="var_ncap")*1, (ISNUMBER(SEARCH("SCOM-SHNGABR",[1]OUT_FinalEnergyCons!$A$4:$A$10000)))*1,[1]OUT_FinalEnergyCons!H$4:H$10000)</f>
        <v>1.2293014892293901</v>
      </c>
      <c r="K2302" s="1" cm="1">
        <f t="array" ref="K2302">SUMPRODUCT(([1]OUT_FinalEnergyCons!$B$4:$B$10000="var_ncap")*1, (ISNUMBER(SEARCH("SCOM-SHNGABR",[1]OUT_FinalEnergyCons!$A$4:$A$10000)))*1,[1]OUT_FinalEnergyCons!I$4:I$10000)</f>
        <v>0.67284605480523196</v>
      </c>
      <c r="L2302" s="1" cm="1">
        <f t="array" ref="L2302">SUMPRODUCT(([1]OUT_FinalEnergyCons!$B$4:$B$10000="var_ncap")*1, (ISNUMBER(SEARCH("SCOM-SHNGABR",[1]OUT_FinalEnergyCons!$A$4:$A$10000)))*1,[1]OUT_FinalEnergyCons!J$4:J$10000)</f>
        <v>4.0518760965907501E-2</v>
      </c>
      <c r="M2302" s="1" cm="1">
        <f t="array" ref="M2302">SUMPRODUCT(([1]OUT_FinalEnergyCons!$B$4:$B$10000="var_ncap")*1, (ISNUMBER(SEARCH("SCOM-SHNGABR",[1]OUT_FinalEnergyCons!$A$4:$A$10000)))*1,[1]OUT_FinalEnergyCons!K$4:K$10000)</f>
        <v>4.5090879797582501E-5</v>
      </c>
      <c r="N2302" s="1" cm="1">
        <f t="array" ref="N2302">SUMPRODUCT(([1]OUT_FinalEnergyCons!$B$4:$B$10000="var_ncap")*1, (ISNUMBER(SEARCH("SCOM-SHNGABR",[1]OUT_FinalEnergyCons!$A$4:$A$10000)))*1,[1]OUT_FinalEnergyCons!L$4:L$10000)</f>
        <v>0.65306806794129602</v>
      </c>
      <c r="O2302" s="1" cm="1">
        <f t="array" ref="O2302">SUMPRODUCT(([1]OUT_FinalEnergyCons!$B$4:$B$10000="var_ncap")*1, (ISNUMBER(SEARCH("SCOM-SHNGABR",[1]OUT_FinalEnergyCons!$A$4:$A$10000)))*1,[1]OUT_FinalEnergyCons!M$4:M$10000)</f>
        <v>8.6987926780543304E-2</v>
      </c>
      <c r="P2302" s="1" cm="1">
        <f t="array" ref="P2302">SUMPRODUCT(([1]OUT_FinalEnergyCons!$B$4:$B$10000="var_ncap")*1, (ISNUMBER(SEARCH("SCOM-SHNGABR",[1]OUT_FinalEnergyCons!$A$4:$A$10000)))*1,[1]OUT_FinalEnergyCons!N$4:N$10000)</f>
        <v>0.11994264234754901</v>
      </c>
      <c r="Q2302" s="1" cm="1">
        <f t="array" ref="Q2302">SUMPRODUCT(([1]OUT_FinalEnergyCons!$B$4:$B$10000="var_ncap")*1, (ISNUMBER(SEARCH("SCOM-SHNGABR",[1]OUT_FinalEnergyCons!$A$4:$A$10000)))*1,[1]OUT_FinalEnergyCons!O$4:O$10000)</f>
        <v>5.0682131698987401E-2</v>
      </c>
      <c r="S2302" s="3"/>
    </row>
    <row r="2303" spans="2:19" x14ac:dyDescent="0.5">
      <c r="B2303" s="5" t="str">
        <f t="shared" si="2305"/>
        <v>SPS1</v>
      </c>
      <c r="C2303" s="5" t="str">
        <f t="shared" si="2306"/>
        <v>CH</v>
      </c>
      <c r="D2303" t="s">
        <v>2437</v>
      </c>
      <c r="E2303" t="str">
        <f t="shared" si="2310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4.9514509423736799E-7</v>
      </c>
      <c r="G2303" s="1" cm="1">
        <f t="array" ref="G2303">SUMPRODUCT(([1]OUT_FinalEnergyCons!$B$4:$B$10000="var_ncap")*1, (ISNUMBER(SEARCH("SCOM-SHngahp",[1]OUT_FinalEnergyCons!$A$4:$A$10000)))*1,[1]OUT_FinalEnergyCons!E$4:E$10000)</f>
        <v>3.0129312648059401E-5</v>
      </c>
      <c r="H2303" s="1" cm="1">
        <f t="array" ref="H2303">SUMPRODUCT(([1]OUT_FinalEnergyCons!$B$4:$B$10000="var_ncap")*1, (ISNUMBER(SEARCH("SCOM-SHngahp",[1]OUT_FinalEnergyCons!$A$4:$A$10000)))*1,[1]OUT_FinalEnergyCons!F$4:F$10000)</f>
        <v>9.4013435276912397E-5</v>
      </c>
      <c r="I2303" s="1" cm="1">
        <f t="array" ref="I2303">SUMPRODUCT(([1]OUT_FinalEnergyCons!$B$4:$B$10000="var_ncap")*1, (ISNUMBER(SEARCH("SCOM-SHngahp",[1]OUT_FinalEnergyCons!$A$4:$A$10000)))*1,[1]OUT_FinalEnergyCons!G$4:G$10000)</f>
        <v>2.0454791932962002E-6</v>
      </c>
      <c r="J2303" s="1" cm="1">
        <f t="array" ref="J2303">SUMPRODUCT(([1]OUT_FinalEnergyCons!$B$4:$B$10000="var_ncap")*1, (ISNUMBER(SEARCH("SCOM-SHngahp",[1]OUT_FinalEnergyCons!$A$4:$A$10000)))*1,[1]OUT_FinalEnergyCons!H$4:H$10000)</f>
        <v>3.1204301244646099E-2</v>
      </c>
      <c r="K2303" s="1" cm="1">
        <f t="array" ref="K2303">SUMPRODUCT(([1]OUT_FinalEnergyCons!$B$4:$B$10000="var_ncap")*1, (ISNUMBER(SEARCH("SCOM-SHngahp",[1]OUT_FinalEnergyCons!$A$4:$A$10000)))*1,[1]OUT_FinalEnergyCons!I$4:I$10000)</f>
        <v>3.3720406238852398E-2</v>
      </c>
      <c r="L2303" s="1" cm="1">
        <f t="array" ref="L2303">SUMPRODUCT(([1]OUT_FinalEnergyCons!$B$4:$B$10000="var_ncap")*1, (ISNUMBER(SEARCH("SCOM-SHngahp",[1]OUT_FinalEnergyCons!$A$4:$A$10000)))*1,[1]OUT_FinalEnergyCons!J$4:J$10000)</f>
        <v>3.5813912689159101E-2</v>
      </c>
      <c r="M2303" s="1" cm="1">
        <f t="array" ref="M2303">SUMPRODUCT(([1]OUT_FinalEnergyCons!$B$4:$B$10000="var_ncap")*1, (ISNUMBER(SEARCH("SCOM-SHngahp",[1]OUT_FinalEnergyCons!$A$4:$A$10000)))*1,[1]OUT_FinalEnergyCons!K$4:K$10000)</f>
        <v>1.0917709327201E-4</v>
      </c>
      <c r="N2303" s="1" cm="1">
        <f t="array" ref="N2303">SUMPRODUCT(([1]OUT_FinalEnergyCons!$B$4:$B$10000="var_ncap")*1, (ISNUMBER(SEARCH("SCOM-SHngahp",[1]OUT_FinalEnergyCons!$A$4:$A$10000)))*1,[1]OUT_FinalEnergyCons!L$4:L$10000)</f>
        <v>0.100998673726986</v>
      </c>
      <c r="O2303" s="1" cm="1">
        <f t="array" ref="O2303">SUMPRODUCT(([1]OUT_FinalEnergyCons!$B$4:$B$10000="var_ncap")*1, (ISNUMBER(SEARCH("SCOM-SHngahp",[1]OUT_FinalEnergyCons!$A$4:$A$10000)))*1,[1]OUT_FinalEnergyCons!M$4:M$10000)</f>
        <v>0.10913774570005599</v>
      </c>
      <c r="P2303" s="1" cm="1">
        <f t="array" ref="P2303">SUMPRODUCT(([1]OUT_FinalEnergyCons!$B$4:$B$10000="var_ncap")*1, (ISNUMBER(SEARCH("SCOM-SHngahp",[1]OUT_FinalEnergyCons!$A$4:$A$10000)))*1,[1]OUT_FinalEnergyCons!N$4:N$10000)</f>
        <v>0.110713592027086</v>
      </c>
      <c r="Q2303" s="1" cm="1">
        <f t="array" ref="Q2303">SUMPRODUCT(([1]OUT_FinalEnergyCons!$B$4:$B$10000="var_ncap")*1, (ISNUMBER(SEARCH("SCOM-SHngahp",[1]OUT_FinalEnergyCons!$A$4:$A$10000)))*1,[1]OUT_FinalEnergyCons!O$4:O$10000)</f>
        <v>0.12914117324650301</v>
      </c>
      <c r="S2303" s="3"/>
    </row>
    <row r="2304" spans="2:19" x14ac:dyDescent="0.5">
      <c r="B2304" s="5" t="str">
        <f t="shared" si="2305"/>
        <v>SPS1</v>
      </c>
      <c r="C2304" s="5" t="str">
        <f t="shared" si="2306"/>
        <v>CH</v>
      </c>
      <c r="D2304" t="s">
        <v>2438</v>
      </c>
      <c r="E2304" t="str">
        <f t="shared" si="2310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7.3644356202388898E-7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3.6869285285111301E-6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2.0072527948228801E-6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1.1315600055614401E-6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0.122682352199491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0.22072033647393799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7.6688429481072198E-2</v>
      </c>
      <c r="M2304" s="1" cm="1">
        <f t="array" ref="M2304">SUMPRODUCT(([1]OUT_FinalEnergyCons!$B$4:$B$10000="var_ncap")*1, (("SCOM-SHBIOBR"=[1]OUT_FinalEnergyCons!$A$4:$A$10000)*1+("SCOM-SHBNGABR"=[1]OUT_FinalEnergyCons!$A$4:$A$10000)*1),[1]OUT_FinalEnergyCons!K$4:K$10000)</f>
        <v>0.52977164426501</v>
      </c>
      <c r="N2304" s="1" cm="1">
        <f t="array" ref="N2304">SUMPRODUCT(([1]OUT_FinalEnergyCons!$B$4:$B$10000="var_ncap")*1, (("SCOM-SHBIOBR"=[1]OUT_FinalEnergyCons!$A$4:$A$10000)*1+("SCOM-SHBNGABR"=[1]OUT_FinalEnergyCons!$A$4:$A$10000)*1),[1]OUT_FinalEnergyCons!L$4:L$10000)</f>
        <v>0.27830960454460402</v>
      </c>
      <c r="O2304" s="1" cm="1">
        <f t="array" ref="O2304">SUMPRODUCT(([1]OUT_FinalEnergyCons!$B$4:$B$10000="var_ncap")*1, (("SCOM-SHBIOBR"=[1]OUT_FinalEnergyCons!$A$4:$A$10000)*1+("SCOM-SHBNGABR"=[1]OUT_FinalEnergyCons!$A$4:$A$10000)*1),[1]OUT_FinalEnergyCons!M$4:M$10000)</f>
        <v>0.38212991295316201</v>
      </c>
      <c r="P2304" s="1" cm="1">
        <f t="array" ref="P2304">SUMPRODUCT(([1]OUT_FinalEnergyCons!$B$4:$B$10000="var_ncap")*1, (("SCOM-SHBIOBR"=[1]OUT_FinalEnergyCons!$A$4:$A$10000)*1+("SCOM-SHBNGABR"=[1]OUT_FinalEnergyCons!$A$4:$A$10000)*1),[1]OUT_FinalEnergyCons!N$4:N$10000)</f>
        <v>0.59230358069945499</v>
      </c>
      <c r="Q2304" s="1" cm="1">
        <f t="array" ref="Q2304">SUMPRODUCT(([1]OUT_FinalEnergyCons!$B$4:$B$10000="var_ncap")*1, (("SCOM-SHBIOBR"=[1]OUT_FinalEnergyCons!$A$4:$A$10000)*1+("SCOM-SHBNGABR"=[1]OUT_FinalEnergyCons!$A$4:$A$10000)*1),[1]OUT_FinalEnergyCons!O$4:O$10000)</f>
        <v>0.29287496403752999</v>
      </c>
      <c r="S2304" s="3"/>
    </row>
    <row r="2305" spans="2:19" x14ac:dyDescent="0.5">
      <c r="B2305" s="5" t="str">
        <f t="shared" si="2305"/>
        <v>SPS1</v>
      </c>
      <c r="C2305" s="5" t="str">
        <f t="shared" si="2306"/>
        <v>CH</v>
      </c>
      <c r="D2305" t="s">
        <v>2439</v>
      </c>
      <c r="E2305" t="str">
        <f t="shared" si="2310"/>
        <v>GWth/yr.</v>
      </c>
      <c r="F2305" s="1">
        <f t="shared" ref="F2305:O2305" si="2313">F2306</f>
        <v>1.30726640716762E-5</v>
      </c>
      <c r="G2305" s="1">
        <f t="shared" si="2313"/>
        <v>6.6621305872781894E-2</v>
      </c>
      <c r="H2305" s="1">
        <f t="shared" si="2313"/>
        <v>8.8964789030682498E-7</v>
      </c>
      <c r="I2305" s="1">
        <f t="shared" si="2313"/>
        <v>4.9301259972603396E-6</v>
      </c>
      <c r="J2305" s="1">
        <f t="shared" si="2313"/>
        <v>0.30852411883498099</v>
      </c>
      <c r="K2305" s="1">
        <f t="shared" si="2313"/>
        <v>3.5844052188156401E-2</v>
      </c>
      <c r="L2305" s="1">
        <f t="shared" si="2313"/>
        <v>1.56540313324208E-6</v>
      </c>
      <c r="M2305" s="1">
        <f t="shared" si="2313"/>
        <v>4.2262836118218003E-6</v>
      </c>
      <c r="N2305" s="1">
        <f t="shared" si="2313"/>
        <v>2.87996085954998E-2</v>
      </c>
      <c r="O2305" s="1">
        <f t="shared" si="2313"/>
        <v>1.3480472020747599E-3</v>
      </c>
      <c r="P2305" s="1">
        <f>P2306</f>
        <v>9.6496421712136404E-3</v>
      </c>
      <c r="Q2305" s="1">
        <f>Q2306</f>
        <v>0.18411740179067501</v>
      </c>
      <c r="S2305" s="3"/>
    </row>
    <row r="2306" spans="2:19" x14ac:dyDescent="0.5">
      <c r="B2306" s="5" t="str">
        <f t="shared" si="2305"/>
        <v>SPS1</v>
      </c>
      <c r="C2306" s="5" t="str">
        <f t="shared" si="2306"/>
        <v>CH</v>
      </c>
      <c r="D2306" t="s">
        <v>2440</v>
      </c>
      <c r="E2306" t="str">
        <f t="shared" si="2310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1.30726640716762E-5</v>
      </c>
      <c r="G2306" s="1" cm="1">
        <f t="array" ref="G2306">SUMPRODUCT(([1]OUT_FinalEnergyCons!$B$4:$B$10000="var_ncap")*1, (ISNUMBER(SEARCH("SCOM-SHWODBR",[1]OUT_FinalEnergyCons!$A$4:$A$10000)))*1,[1]OUT_FinalEnergyCons!E$4:E$10000)</f>
        <v>6.6621305872781894E-2</v>
      </c>
      <c r="H2306" s="1" cm="1">
        <f t="array" ref="H2306">SUMPRODUCT(([1]OUT_FinalEnergyCons!$B$4:$B$10000="var_ncap")*1, (ISNUMBER(SEARCH("SCOM-SHWODBR",[1]OUT_FinalEnergyCons!$A$4:$A$10000)))*1,[1]OUT_FinalEnergyCons!F$4:F$10000)</f>
        <v>8.8964789030682498E-7</v>
      </c>
      <c r="I2306" s="1" cm="1">
        <f t="array" ref="I2306">SUMPRODUCT(([1]OUT_FinalEnergyCons!$B$4:$B$10000="var_ncap")*1, (ISNUMBER(SEARCH("SCOM-SHWODBR",[1]OUT_FinalEnergyCons!$A$4:$A$10000)))*1,[1]OUT_FinalEnergyCons!G$4:G$10000)</f>
        <v>4.9301259972603396E-6</v>
      </c>
      <c r="J2306" s="1" cm="1">
        <f t="array" ref="J2306">SUMPRODUCT(([1]OUT_FinalEnergyCons!$B$4:$B$10000="var_ncap")*1, (ISNUMBER(SEARCH("SCOM-SHWODBR",[1]OUT_FinalEnergyCons!$A$4:$A$10000)))*1,[1]OUT_FinalEnergyCons!H$4:H$10000)</f>
        <v>0.30852411883498099</v>
      </c>
      <c r="K2306" s="1" cm="1">
        <f t="array" ref="K2306">SUMPRODUCT(([1]OUT_FinalEnergyCons!$B$4:$B$10000="var_ncap")*1, (ISNUMBER(SEARCH("SCOM-SHWODBR",[1]OUT_FinalEnergyCons!$A$4:$A$10000)))*1,[1]OUT_FinalEnergyCons!I$4:I$10000)</f>
        <v>3.5844052188156401E-2</v>
      </c>
      <c r="L2306" s="1" cm="1">
        <f t="array" ref="L2306">SUMPRODUCT(([1]OUT_FinalEnergyCons!$B$4:$B$10000="var_ncap")*1, (ISNUMBER(SEARCH("SCOM-SHWODBR",[1]OUT_FinalEnergyCons!$A$4:$A$10000)))*1,[1]OUT_FinalEnergyCons!J$4:J$10000)</f>
        <v>1.56540313324208E-6</v>
      </c>
      <c r="M2306" s="1" cm="1">
        <f t="array" ref="M2306">SUMPRODUCT(([1]OUT_FinalEnergyCons!$B$4:$B$10000="var_ncap")*1, (ISNUMBER(SEARCH("SCOM-SHWODBR",[1]OUT_FinalEnergyCons!$A$4:$A$10000)))*1,[1]OUT_FinalEnergyCons!K$4:K$10000)</f>
        <v>4.2262836118218003E-6</v>
      </c>
      <c r="N2306" s="1" cm="1">
        <f t="array" ref="N2306">SUMPRODUCT(([1]OUT_FinalEnergyCons!$B$4:$B$10000="var_ncap")*1, (ISNUMBER(SEARCH("SCOM-SHWODBR",[1]OUT_FinalEnergyCons!$A$4:$A$10000)))*1,[1]OUT_FinalEnergyCons!L$4:L$10000)</f>
        <v>2.87996085954998E-2</v>
      </c>
      <c r="O2306" s="1" cm="1">
        <f t="array" ref="O2306">SUMPRODUCT(([1]OUT_FinalEnergyCons!$B$4:$B$10000="var_ncap")*1, (ISNUMBER(SEARCH("SCOM-SHWODBR",[1]OUT_FinalEnergyCons!$A$4:$A$10000)))*1,[1]OUT_FinalEnergyCons!M$4:M$10000)</f>
        <v>1.3480472020747599E-3</v>
      </c>
      <c r="P2306" s="1" cm="1">
        <f t="array" ref="P2306">SUMPRODUCT(([1]OUT_FinalEnergyCons!$B$4:$B$10000="var_ncap")*1, (ISNUMBER(SEARCH("SCOM-SHWODBR",[1]OUT_FinalEnergyCons!$A$4:$A$10000)))*1,[1]OUT_FinalEnergyCons!N$4:N$10000)</f>
        <v>9.6496421712136404E-3</v>
      </c>
      <c r="Q2306" s="1" cm="1">
        <f t="array" ref="Q2306">SUMPRODUCT(([1]OUT_FinalEnergyCons!$B$4:$B$10000="var_ncap")*1, (ISNUMBER(SEARCH("SCOM-SHWODBR",[1]OUT_FinalEnergyCons!$A$4:$A$10000)))*1,[1]OUT_FinalEnergyCons!O$4:O$10000)</f>
        <v>0.18411740179067501</v>
      </c>
      <c r="S2306" s="3"/>
    </row>
    <row r="2307" spans="2:19" x14ac:dyDescent="0.5">
      <c r="B2307" s="5" t="str">
        <f t="shared" si="2305"/>
        <v>SPS1</v>
      </c>
      <c r="C2307" s="5" t="str">
        <f t="shared" si="2306"/>
        <v>CH</v>
      </c>
      <c r="D2307" t="s">
        <v>2441</v>
      </c>
      <c r="E2307" t="str">
        <f t="shared" si="2310"/>
        <v>GWth/yr.</v>
      </c>
      <c r="F2307" s="1">
        <f t="shared" ref="F2307:O2307" si="2314">F2308</f>
        <v>1.4405931129824001E-6</v>
      </c>
      <c r="G2307" s="1">
        <f t="shared" si="2314"/>
        <v>2.3693054794550299E-2</v>
      </c>
      <c r="H2307" s="1">
        <f t="shared" si="2314"/>
        <v>1.5766652215954E-6</v>
      </c>
      <c r="I2307" s="1">
        <f t="shared" si="2314"/>
        <v>9.65642522161208E-4</v>
      </c>
      <c r="J2307" s="1">
        <f t="shared" si="2314"/>
        <v>0.135700757577115</v>
      </c>
      <c r="K2307" s="1">
        <f t="shared" si="2314"/>
        <v>6.9517286162256803E-2</v>
      </c>
      <c r="L2307" s="1">
        <f t="shared" si="2314"/>
        <v>3.7054967641455398E-6</v>
      </c>
      <c r="M2307" s="1">
        <f t="shared" si="2314"/>
        <v>0.114681804004337</v>
      </c>
      <c r="N2307" s="1">
        <f t="shared" si="2314"/>
        <v>7.0836400321916598E-2</v>
      </c>
      <c r="O2307" s="1">
        <f t="shared" si="2314"/>
        <v>1.6079383810089199E-4</v>
      </c>
      <c r="P2307" s="1">
        <f>P2308</f>
        <v>0.125532845747096</v>
      </c>
      <c r="Q2307" s="1">
        <f>Q2308</f>
        <v>0.16906694590754001</v>
      </c>
      <c r="S2307" s="3"/>
    </row>
    <row r="2308" spans="2:19" x14ac:dyDescent="0.5">
      <c r="B2308" s="5" t="str">
        <f t="shared" si="2305"/>
        <v>SPS1</v>
      </c>
      <c r="C2308" s="5" t="str">
        <f t="shared" si="2306"/>
        <v>CH</v>
      </c>
      <c r="D2308" t="s">
        <v>2442</v>
      </c>
      <c r="E2308" t="str">
        <f t="shared" si="2310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1.4405931129824001E-6</v>
      </c>
      <c r="G2308" s="1" cm="1">
        <f t="array" ref="G2308">SUMPRODUCT(([1]OUT_FinalEnergyCons!$B$4:$B$10000="var_ncap")*1,(ISNUMBER(SEARCH("SCOM-SHPLTBR",[1]OUT_FinalEnergyCons!$A$4:$A$10000)))*1,[1]OUT_FinalEnergyCons!E$4:E$10000)</f>
        <v>2.3693054794550299E-2</v>
      </c>
      <c r="H2308" s="1" cm="1">
        <f t="array" ref="H2308">SUMPRODUCT(([1]OUT_FinalEnergyCons!$B$4:$B$10000="var_ncap")*1,(ISNUMBER(SEARCH("SCOM-SHPLTBR",[1]OUT_FinalEnergyCons!$A$4:$A$10000)))*1,[1]OUT_FinalEnergyCons!F$4:F$10000)</f>
        <v>1.5766652215954E-6</v>
      </c>
      <c r="I2308" s="1" cm="1">
        <f t="array" ref="I2308">SUMPRODUCT(([1]OUT_FinalEnergyCons!$B$4:$B$10000="var_ncap")*1,(ISNUMBER(SEARCH("SCOM-SHPLTBR",[1]OUT_FinalEnergyCons!$A$4:$A$10000)))*1,[1]OUT_FinalEnergyCons!G$4:G$10000)</f>
        <v>9.65642522161208E-4</v>
      </c>
      <c r="J2308" s="1" cm="1">
        <f t="array" ref="J2308">SUMPRODUCT(([1]OUT_FinalEnergyCons!$B$4:$B$10000="var_ncap")*1,(ISNUMBER(SEARCH("SCOM-SHPLTBR",[1]OUT_FinalEnergyCons!$A$4:$A$10000)))*1,[1]OUT_FinalEnergyCons!H$4:H$10000)</f>
        <v>0.135700757577115</v>
      </c>
      <c r="K2308" s="1" cm="1">
        <f t="array" ref="K2308">SUMPRODUCT(([1]OUT_FinalEnergyCons!$B$4:$B$10000="var_ncap")*1,(ISNUMBER(SEARCH("SCOM-SHPLTBR",[1]OUT_FinalEnergyCons!$A$4:$A$10000)))*1,[1]OUT_FinalEnergyCons!I$4:I$10000)</f>
        <v>6.9517286162256803E-2</v>
      </c>
      <c r="L2308" s="1" cm="1">
        <f t="array" ref="L2308">SUMPRODUCT(([1]OUT_FinalEnergyCons!$B$4:$B$10000="var_ncap")*1,(ISNUMBER(SEARCH("SCOM-SHPLTBR",[1]OUT_FinalEnergyCons!$A$4:$A$10000)))*1,[1]OUT_FinalEnergyCons!J$4:J$10000)</f>
        <v>3.7054967641455398E-6</v>
      </c>
      <c r="M2308" s="1" cm="1">
        <f t="array" ref="M2308">SUMPRODUCT(([1]OUT_FinalEnergyCons!$B$4:$B$10000="var_ncap")*1,(ISNUMBER(SEARCH("SCOM-SHPLTBR",[1]OUT_FinalEnergyCons!$A$4:$A$10000)))*1,[1]OUT_FinalEnergyCons!K$4:K$10000)</f>
        <v>0.114681804004337</v>
      </c>
      <c r="N2308" s="1" cm="1">
        <f t="array" ref="N2308">SUMPRODUCT(([1]OUT_FinalEnergyCons!$B$4:$B$10000="var_ncap")*1,(ISNUMBER(SEARCH("SCOM-SHPLTBR",[1]OUT_FinalEnergyCons!$A$4:$A$10000)))*1,[1]OUT_FinalEnergyCons!L$4:L$10000)</f>
        <v>7.0836400321916598E-2</v>
      </c>
      <c r="O2308" s="1" cm="1">
        <f t="array" ref="O2308">SUMPRODUCT(([1]OUT_FinalEnergyCons!$B$4:$B$10000="var_ncap")*1,(ISNUMBER(SEARCH("SCOM-SHPLTBR",[1]OUT_FinalEnergyCons!$A$4:$A$10000)))*1,[1]OUT_FinalEnergyCons!M$4:M$10000)</f>
        <v>1.6079383810089199E-4</v>
      </c>
      <c r="P2308" s="1" cm="1">
        <f t="array" ref="P2308">SUMPRODUCT(([1]OUT_FinalEnergyCons!$B$4:$B$10000="var_ncap")*1,(ISNUMBER(SEARCH("SCOM-SHPLTBR",[1]OUT_FinalEnergyCons!$A$4:$A$10000)))*1,[1]OUT_FinalEnergyCons!N$4:N$10000)</f>
        <v>0.125532845747096</v>
      </c>
      <c r="Q2308" s="1" cm="1">
        <f t="array" ref="Q2308">SUMPRODUCT(([1]OUT_FinalEnergyCons!$B$4:$B$10000="var_ncap")*1,(ISNUMBER(SEARCH("SCOM-SHPLTBR",[1]OUT_FinalEnergyCons!$A$4:$A$10000)))*1,[1]OUT_FinalEnergyCons!O$4:O$10000)</f>
        <v>0.16906694590754001</v>
      </c>
      <c r="S2308" s="3"/>
    </row>
    <row r="2309" spans="2:19" x14ac:dyDescent="0.5">
      <c r="B2309" s="5" t="str">
        <f t="shared" si="2305"/>
        <v>SPS1</v>
      </c>
      <c r="C2309" s="5" t="str">
        <f t="shared" si="2306"/>
        <v>CH</v>
      </c>
      <c r="D2309" t="s">
        <v>2443</v>
      </c>
      <c r="E2309" t="str">
        <f t="shared" si="2310"/>
        <v>GWth/yr.</v>
      </c>
      <c r="F2309" s="1">
        <f t="shared" ref="F2309:O2309" si="2315">F2310</f>
        <v>1.5279983412858098E-5</v>
      </c>
      <c r="G2309" s="1">
        <f t="shared" si="2315"/>
        <v>8.7638164491036404E-3</v>
      </c>
      <c r="H2309" s="1">
        <f t="shared" si="2315"/>
        <v>2.0708055683073798E-6</v>
      </c>
      <c r="I2309" s="1">
        <f t="shared" si="2315"/>
        <v>2.4300090270203099E-4</v>
      </c>
      <c r="J2309" s="1">
        <f t="shared" si="2315"/>
        <v>0.208576341434935</v>
      </c>
      <c r="K2309" s="1">
        <f t="shared" si="2315"/>
        <v>0.28392567686356501</v>
      </c>
      <c r="L2309" s="1">
        <f t="shared" si="2315"/>
        <v>1.90985028449524E-2</v>
      </c>
      <c r="M2309" s="1">
        <f t="shared" si="2315"/>
        <v>0.20857613568224501</v>
      </c>
      <c r="N2309" s="1">
        <f t="shared" si="2315"/>
        <v>0.24282951637063199</v>
      </c>
      <c r="O2309" s="1">
        <f t="shared" si="2315"/>
        <v>6.0194373448266898E-2</v>
      </c>
      <c r="P2309" s="1">
        <f>P2310</f>
        <v>0.24861275807119701</v>
      </c>
      <c r="Q2309" s="1">
        <f>Q2310</f>
        <v>0.20279261978775601</v>
      </c>
      <c r="S2309" s="3"/>
    </row>
    <row r="2310" spans="2:19" x14ac:dyDescent="0.5">
      <c r="B2310" s="5" t="str">
        <f t="shared" si="2305"/>
        <v>SPS1</v>
      </c>
      <c r="C2310" s="5" t="str">
        <f t="shared" si="2306"/>
        <v>CH</v>
      </c>
      <c r="D2310" t="s">
        <v>2444</v>
      </c>
      <c r="E2310" t="str">
        <f t="shared" si="2310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1.5279983412858098E-5</v>
      </c>
      <c r="G2310" s="1" cm="1">
        <f t="array" ref="G2310">SUMPRODUCT(([1]OUT_FinalEnergyCons!$B$4:$B$10000="var_ncap")*1, (ISNUMBER(SEARCH("SCOM-SHSOLBR",[1]OUT_FinalEnergyCons!$A$4:$A$10000)))*1,[1]OUT_FinalEnergyCons!E$4:E$10000)</f>
        <v>8.7638164491036404E-3</v>
      </c>
      <c r="H2310" s="1" cm="1">
        <f t="array" ref="H2310">SUMPRODUCT(([1]OUT_FinalEnergyCons!$B$4:$B$10000="var_ncap")*1, (ISNUMBER(SEARCH("SCOM-SHSOLBR",[1]OUT_FinalEnergyCons!$A$4:$A$10000)))*1,[1]OUT_FinalEnergyCons!F$4:F$10000)</f>
        <v>2.0708055683073798E-6</v>
      </c>
      <c r="I2310" s="1" cm="1">
        <f t="array" ref="I2310">SUMPRODUCT(([1]OUT_FinalEnergyCons!$B$4:$B$10000="var_ncap")*1, (ISNUMBER(SEARCH("SCOM-SHSOLBR",[1]OUT_FinalEnergyCons!$A$4:$A$10000)))*1,[1]OUT_FinalEnergyCons!G$4:G$10000)</f>
        <v>2.4300090270203099E-4</v>
      </c>
      <c r="J2310" s="1" cm="1">
        <f t="array" ref="J2310">SUMPRODUCT(([1]OUT_FinalEnergyCons!$B$4:$B$10000="var_ncap")*1, (ISNUMBER(SEARCH("SCOM-SHSOLBR",[1]OUT_FinalEnergyCons!$A$4:$A$10000)))*1,[1]OUT_FinalEnergyCons!H$4:H$10000)</f>
        <v>0.208576341434935</v>
      </c>
      <c r="K2310" s="1" cm="1">
        <f t="array" ref="K2310">SUMPRODUCT(([1]OUT_FinalEnergyCons!$B$4:$B$10000="var_ncap")*1, (ISNUMBER(SEARCH("SCOM-SHSOLBR",[1]OUT_FinalEnergyCons!$A$4:$A$10000)))*1,[1]OUT_FinalEnergyCons!I$4:I$10000)</f>
        <v>0.28392567686356501</v>
      </c>
      <c r="L2310" s="1" cm="1">
        <f t="array" ref="L2310">SUMPRODUCT(([1]OUT_FinalEnergyCons!$B$4:$B$10000="var_ncap")*1, (ISNUMBER(SEARCH("SCOM-SHSOLBR",[1]OUT_FinalEnergyCons!$A$4:$A$10000)))*1,[1]OUT_FinalEnergyCons!J$4:J$10000)</f>
        <v>1.90985028449524E-2</v>
      </c>
      <c r="M2310" s="1" cm="1">
        <f t="array" ref="M2310">SUMPRODUCT(([1]OUT_FinalEnergyCons!$B$4:$B$10000="var_ncap")*1, (ISNUMBER(SEARCH("SCOM-SHSOLBR",[1]OUT_FinalEnergyCons!$A$4:$A$10000)))*1,[1]OUT_FinalEnergyCons!K$4:K$10000)</f>
        <v>0.20857613568224501</v>
      </c>
      <c r="N2310" s="1" cm="1">
        <f t="array" ref="N2310">SUMPRODUCT(([1]OUT_FinalEnergyCons!$B$4:$B$10000="var_ncap")*1, (ISNUMBER(SEARCH("SCOM-SHSOLBR",[1]OUT_FinalEnergyCons!$A$4:$A$10000)))*1,[1]OUT_FinalEnergyCons!L$4:L$10000)</f>
        <v>0.24282951637063199</v>
      </c>
      <c r="O2310" s="1" cm="1">
        <f t="array" ref="O2310">SUMPRODUCT(([1]OUT_FinalEnergyCons!$B$4:$B$10000="var_ncap")*1, (ISNUMBER(SEARCH("SCOM-SHSOLBR",[1]OUT_FinalEnergyCons!$A$4:$A$10000)))*1,[1]OUT_FinalEnergyCons!M$4:M$10000)</f>
        <v>6.0194373448266898E-2</v>
      </c>
      <c r="P2310" s="1" cm="1">
        <f t="array" ref="P2310">SUMPRODUCT(([1]OUT_FinalEnergyCons!$B$4:$B$10000="var_ncap")*1, (ISNUMBER(SEARCH("SCOM-SHSOLBR",[1]OUT_FinalEnergyCons!$A$4:$A$10000)))*1,[1]OUT_FinalEnergyCons!N$4:N$10000)</f>
        <v>0.24861275807119701</v>
      </c>
      <c r="Q2310" s="1" cm="1">
        <f t="array" ref="Q2310">SUMPRODUCT(([1]OUT_FinalEnergyCons!$B$4:$B$10000="var_ncap")*1, (ISNUMBER(SEARCH("SCOM-SHSOLBR",[1]OUT_FinalEnergyCons!$A$4:$A$10000)))*1,[1]OUT_FinalEnergyCons!O$4:O$10000)</f>
        <v>0.20279261978775601</v>
      </c>
      <c r="S2310" s="3"/>
    </row>
    <row r="2311" spans="2:19" x14ac:dyDescent="0.5">
      <c r="B2311" s="5" t="str">
        <f t="shared" si="2305"/>
        <v>SPS1</v>
      </c>
      <c r="C2311" s="5" t="str">
        <f t="shared" si="2306"/>
        <v>CH</v>
      </c>
      <c r="D2311" t="s">
        <v>2445</v>
      </c>
      <c r="E2311" t="str">
        <f t="shared" si="2310"/>
        <v>GWth/yr.</v>
      </c>
      <c r="F2311" s="1">
        <f t="shared" ref="F2311:O2311" si="2316">F2312</f>
        <v>0</v>
      </c>
      <c r="G2311" s="1">
        <f t="shared" si="2316"/>
        <v>0</v>
      </c>
      <c r="H2311" s="1">
        <f t="shared" si="2316"/>
        <v>0</v>
      </c>
      <c r="I2311" s="1">
        <f t="shared" si="2316"/>
        <v>7.6494553540878095E-5</v>
      </c>
      <c r="J2311" s="1">
        <f t="shared" si="2316"/>
        <v>7.65918164556158E-3</v>
      </c>
      <c r="K2311" s="1">
        <f t="shared" si="2316"/>
        <v>4.0431604532114598E-2</v>
      </c>
      <c r="L2311" s="1">
        <f t="shared" si="2316"/>
        <v>7.4144420461507196E-2</v>
      </c>
      <c r="M2311" s="1">
        <f t="shared" si="2316"/>
        <v>5.1201509261499099E-2</v>
      </c>
      <c r="N2311" s="1">
        <f t="shared" si="2316"/>
        <v>1.68044747877929E-2</v>
      </c>
      <c r="O2311" s="1">
        <f t="shared" si="2316"/>
        <v>5.6353197177291E-6</v>
      </c>
      <c r="P2311" s="1">
        <f>P2312</f>
        <v>1.55645499753991E-5</v>
      </c>
      <c r="Q2311" s="1">
        <f>Q2312</f>
        <v>9.8555576539907808E-3</v>
      </c>
      <c r="S2311" s="3"/>
    </row>
    <row r="2312" spans="2:19" x14ac:dyDescent="0.5">
      <c r="B2312" s="5" t="str">
        <f t="shared" si="2305"/>
        <v>SPS1</v>
      </c>
      <c r="C2312" s="5" t="str">
        <f t="shared" si="2306"/>
        <v>CH</v>
      </c>
      <c r="D2312" t="s">
        <v>2446</v>
      </c>
      <c r="E2312" t="str">
        <f t="shared" si="2310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7.6494553540878095E-5</v>
      </c>
      <c r="J2312" s="1" cm="1">
        <f t="array" ref="J2312">SUMPRODUCT(([1]OUT_FinalEnergyCons!$B$4:$B$10000="var_ncap")*1, (ISNUMBER(SEARCH("SCOM-SHH2BR",[1]OUT_FinalEnergyCons!$A$4:$A$10000)))*1,[1]OUT_FinalEnergyCons!H$4:H$10000)</f>
        <v>7.65918164556158E-3</v>
      </c>
      <c r="K2312" s="1" cm="1">
        <f t="array" ref="K2312">SUMPRODUCT(([1]OUT_FinalEnergyCons!$B$4:$B$10000="var_ncap")*1, (ISNUMBER(SEARCH("SCOM-SHH2BR",[1]OUT_FinalEnergyCons!$A$4:$A$10000)))*1,[1]OUT_FinalEnergyCons!I$4:I$10000)</f>
        <v>4.0431604532114598E-2</v>
      </c>
      <c r="L2312" s="1" cm="1">
        <f t="array" ref="L2312">SUMPRODUCT(([1]OUT_FinalEnergyCons!$B$4:$B$10000="var_ncap")*1, (ISNUMBER(SEARCH("SCOM-SHH2BR",[1]OUT_FinalEnergyCons!$A$4:$A$10000)))*1,[1]OUT_FinalEnergyCons!J$4:J$10000)</f>
        <v>7.4144420461507196E-2</v>
      </c>
      <c r="M2312" s="1" cm="1">
        <f t="array" ref="M2312">SUMPRODUCT(([1]OUT_FinalEnergyCons!$B$4:$B$10000="var_ncap")*1, (ISNUMBER(SEARCH("SCOM-SHH2BR",[1]OUT_FinalEnergyCons!$A$4:$A$10000)))*1,[1]OUT_FinalEnergyCons!K$4:K$10000)</f>
        <v>5.1201509261499099E-2</v>
      </c>
      <c r="N2312" s="1" cm="1">
        <f t="array" ref="N2312">SUMPRODUCT(([1]OUT_FinalEnergyCons!$B$4:$B$10000="var_ncap")*1, (ISNUMBER(SEARCH("SCOM-SHH2BR",[1]OUT_FinalEnergyCons!$A$4:$A$10000)))*1,[1]OUT_FinalEnergyCons!L$4:L$10000)</f>
        <v>1.68044747877929E-2</v>
      </c>
      <c r="O2312" s="1" cm="1">
        <f t="array" ref="O2312">SUMPRODUCT(([1]OUT_FinalEnergyCons!$B$4:$B$10000="var_ncap")*1, (ISNUMBER(SEARCH("SCOM-SHH2BR",[1]OUT_FinalEnergyCons!$A$4:$A$10000)))*1,[1]OUT_FinalEnergyCons!M$4:M$10000)</f>
        <v>5.6353197177291E-6</v>
      </c>
      <c r="P2312" s="1" cm="1">
        <f t="array" ref="P2312">SUMPRODUCT(([1]OUT_FinalEnergyCons!$B$4:$B$10000="var_ncap")*1, (ISNUMBER(SEARCH("SCOM-SHH2BR",[1]OUT_FinalEnergyCons!$A$4:$A$10000)))*1,[1]OUT_FinalEnergyCons!N$4:N$10000)</f>
        <v>1.55645499753991E-5</v>
      </c>
      <c r="Q2312" s="1" cm="1">
        <f t="array" ref="Q2312">SUMPRODUCT(([1]OUT_FinalEnergyCons!$B$4:$B$10000="var_ncap")*1, (ISNUMBER(SEARCH("SCOM-SHH2BR",[1]OUT_FinalEnergyCons!$A$4:$A$10000)))*1,[1]OUT_FinalEnergyCons!O$4:O$10000)</f>
        <v>9.8555576539907808E-3</v>
      </c>
      <c r="S2312" s="3"/>
    </row>
    <row r="2313" spans="2:19" x14ac:dyDescent="0.5">
      <c r="B2313" s="5" t="str">
        <f>'SPS1'!B2021</f>
        <v>SPS1</v>
      </c>
      <c r="C2313" s="5" t="str">
        <f>'SPS1'!C2021</f>
        <v>CH</v>
      </c>
      <c r="D2313" s="2" t="s">
        <v>2448</v>
      </c>
      <c r="E2313" s="2" t="s">
        <v>2154</v>
      </c>
      <c r="F2313" s="3">
        <f t="shared" ref="F2313:K2313" si="2317">SUM(F2314,F2318,F2321)</f>
        <v>2.5951966676221401E-4</v>
      </c>
      <c r="G2313" s="3">
        <f t="shared" si="2317"/>
        <v>7.5016498502516394E-5</v>
      </c>
      <c r="H2313" s="3">
        <f t="shared" si="2317"/>
        <v>2.8603630211939699E-6</v>
      </c>
      <c r="I2313" s="3">
        <f t="shared" si="2317"/>
        <v>3.8501330763808569E-3</v>
      </c>
      <c r="J2313" s="3">
        <f t="shared" si="2317"/>
        <v>0.50249040483373886</v>
      </c>
      <c r="K2313" s="3">
        <f t="shared" si="2317"/>
        <v>7.4900204183229124E-2</v>
      </c>
      <c r="L2313" s="3">
        <f t="shared" ref="L2313:O2313" si="2318">SUM(L2314,L2318,L2321)</f>
        <v>5.5477923999600075E-2</v>
      </c>
      <c r="M2313" s="3">
        <f t="shared" si="2318"/>
        <v>0.29594054165153316</v>
      </c>
      <c r="N2313" s="3">
        <f t="shared" si="2318"/>
        <v>0.46427227182425101</v>
      </c>
      <c r="O2313" s="3">
        <f t="shared" si="2318"/>
        <v>0.33872111370953645</v>
      </c>
      <c r="P2313" s="3">
        <f>SUM(P2314,P2318,P2321)</f>
        <v>9.8323588781962304E-2</v>
      </c>
      <c r="Q2313" s="3">
        <f>SUM(Q2314,Q2318,Q2321)</f>
        <v>0.16957615985112853</v>
      </c>
      <c r="S2313" s="3"/>
    </row>
    <row r="2314" spans="2:19" x14ac:dyDescent="0.5">
      <c r="B2314" s="5" t="str">
        <f t="shared" ref="B2314:B2340" si="2319">B2313</f>
        <v>SPS1</v>
      </c>
      <c r="C2314" s="5" t="str">
        <f t="shared" ref="C2314:C2340" si="2320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2.5951966676221401E-4</v>
      </c>
      <c r="G2314" s="1" cm="1">
        <f t="array" ref="G2314">SUMPRODUCT(ISNUMBER(SEARCH("SUP_ELCH2*",[1]OUT_SyntheticFuels!$C$4:$C$1000))*1,("var_ncap"=[1]OUT_SyntheticFuels!$B$4:$B$1000)*1,[1]OUT_SyntheticFuels!F$4:F$1000)</f>
        <v>7.5016498502516394E-5</v>
      </c>
      <c r="H2314" s="1" cm="1">
        <f t="array" ref="H2314">SUMPRODUCT(ISNUMBER(SEARCH("SUP_ELCH2*",[1]OUT_SyntheticFuels!$C$4:$C$1000))*1,("var_ncap"=[1]OUT_SyntheticFuels!$B$4:$B$1000)*1,[1]OUT_SyntheticFuels!G$4:G$1000)</f>
        <v>2.8603630211939699E-6</v>
      </c>
      <c r="I2314" s="1" cm="1">
        <f t="array" ref="I2314">SUMPRODUCT(ISNUMBER(SEARCH("SUP_ELCH2*",[1]OUT_SyntheticFuels!$C$4:$C$1000))*1,("var_ncap"=[1]OUT_SyntheticFuels!$B$4:$B$1000)*1,[1]OUT_SyntheticFuels!H$4:H$1000)</f>
        <v>3.8497785697395371E-3</v>
      </c>
      <c r="J2314" s="1" cm="1">
        <f t="array" ref="J2314">SUMPRODUCT(ISNUMBER(SEARCH("SUP_ELCH2*",[1]OUT_SyntheticFuels!$C$4:$C$1000))*1,("var_ncap"=[1]OUT_SyntheticFuels!$B$4:$B$1000)*1,[1]OUT_SyntheticFuels!I$4:I$1000)</f>
        <v>0.5024896786179005</v>
      </c>
      <c r="K2314" s="1" cm="1">
        <f t="array" ref="K2314">SUMPRODUCT(ISNUMBER(SEARCH("SUP_ELCH2*",[1]OUT_SyntheticFuels!$C$4:$C$1000))*1,("var_ncap"=[1]OUT_SyntheticFuels!$B$4:$B$1000)*1,[1]OUT_SyntheticFuels!J$4:J$1000)</f>
        <v>7.4898900100828905E-2</v>
      </c>
      <c r="L2314" s="1" cm="1">
        <f t="array" ref="L2314">SUMPRODUCT(ISNUMBER(SEARCH("SUP_ELCH2*",[1]OUT_SyntheticFuels!$C$4:$C$1000))*1,("var_ncap"=[1]OUT_SyntheticFuels!$B$4:$B$1000)*1,[1]OUT_SyntheticFuels!K$4:K$1000)</f>
        <v>5.5475508073663062E-2</v>
      </c>
      <c r="M2314" s="1" cm="1">
        <f t="array" ref="M2314">SUMPRODUCT(ISNUMBER(SEARCH("SUP_ELCH2*",[1]OUT_SyntheticFuels!$C$4:$C$1000))*1,("var_ncap"=[1]OUT_SyntheticFuels!$B$4:$B$1000)*1,[1]OUT_SyntheticFuels!L$4:L$1000)</f>
        <v>0.13225272272619334</v>
      </c>
      <c r="N2314" s="1" cm="1">
        <f t="array" ref="N2314">SUMPRODUCT(ISNUMBER(SEARCH("SUP_ELCH2*",[1]OUT_SyntheticFuels!$C$4:$C$1000))*1,("var_ncap"=[1]OUT_SyntheticFuels!$B$4:$B$1000)*1,[1]OUT_SyntheticFuels!M$4:M$1000)</f>
        <v>0.46424818150561414</v>
      </c>
      <c r="O2314" s="1" cm="1">
        <f t="array" ref="O2314">SUMPRODUCT(ISNUMBER(SEARCH("SUP_ELCH2*",[1]OUT_SyntheticFuels!$C$4:$C$1000))*1,("var_ncap"=[1]OUT_SyntheticFuels!$B$4:$B$1000)*1,[1]OUT_SyntheticFuels!N$4:N$1000)</f>
        <v>0.32351806947397016</v>
      </c>
      <c r="P2314" s="1" cm="1">
        <f t="array" ref="P2314">SUMPRODUCT(ISNUMBER(SEARCH("SUP_ELCH2*",[1]OUT_SyntheticFuels!$C$4:$C$1000))*1,("var_ncap"=[1]OUT_SyntheticFuels!$B$4:$B$1000)*1,[1]OUT_SyntheticFuels!O$4:O$1000)</f>
        <v>9.4746996036793887E-2</v>
      </c>
      <c r="Q2314" s="1" cm="1">
        <f t="array" ref="Q2314">SUMPRODUCT(ISNUMBER(SEARCH("SUP_ELCH2*",[1]OUT_SyntheticFuels!$C$4:$C$1000))*1,("var_ncap"=[1]OUT_SyntheticFuels!$B$4:$B$1000)*1,[1]OUT_SyntheticFuels!P$4:P$1000)</f>
        <v>0.15864315215792665</v>
      </c>
      <c r="S2314" s="3"/>
    </row>
    <row r="2315" spans="2:19" x14ac:dyDescent="0.5">
      <c r="B2315" s="5" t="str">
        <f t="shared" si="2319"/>
        <v>SPS1</v>
      </c>
      <c r="C2315" s="5" t="str">
        <f t="shared" si="2320"/>
        <v>CH</v>
      </c>
      <c r="D2315" t="s">
        <v>2450</v>
      </c>
      <c r="E2315" t="s">
        <v>2154</v>
      </c>
      <c r="F2315" s="1">
        <f t="shared" ref="F2315:K2315" si="2321">F2314-F2316-F2317</f>
        <v>2.5951966676221401E-4</v>
      </c>
      <c r="G2315" s="1">
        <f t="shared" si="2321"/>
        <v>7.5016498502516394E-5</v>
      </c>
      <c r="H2315" s="1">
        <f t="shared" si="2321"/>
        <v>2.8603630211939699E-6</v>
      </c>
      <c r="I2315" s="1">
        <f t="shared" si="2321"/>
        <v>3.8446719420521299E-3</v>
      </c>
      <c r="J2315" s="1">
        <f t="shared" si="2321"/>
        <v>0.50244567270110396</v>
      </c>
      <c r="K2315" s="1">
        <f t="shared" si="2321"/>
        <v>7.4405663621433291E-2</v>
      </c>
      <c r="L2315" s="1">
        <f t="shared" ref="L2315:O2315" si="2322">L2314-L2316-L2317</f>
        <v>5.5324143457385899E-2</v>
      </c>
      <c r="M2315" s="1">
        <f t="shared" si="2322"/>
        <v>0.131933814881835</v>
      </c>
      <c r="N2315" s="1">
        <f t="shared" si="2322"/>
        <v>0.46400562555747693</v>
      </c>
      <c r="O2315" s="1">
        <f t="shared" si="2322"/>
        <v>0.32270783826414001</v>
      </c>
      <c r="P2315" s="1">
        <f>P2314-P2316-P2317</f>
        <v>9.4732669024723007E-2</v>
      </c>
      <c r="Q2315" s="1">
        <f>Q2314-Q2316-Q2317</f>
        <v>0.15713143432731499</v>
      </c>
      <c r="S2315" s="3"/>
    </row>
    <row r="2316" spans="2:19" x14ac:dyDescent="0.5">
      <c r="B2316" s="5" t="str">
        <f t="shared" si="2319"/>
        <v>SPS1</v>
      </c>
      <c r="C2316" s="5" t="str">
        <f t="shared" si="2320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5.1066276874071998E-6</v>
      </c>
      <c r="J2316" s="1" cm="1">
        <f t="array" ref="J2316">SUMPRODUCT(ISNUMBER(SEARCH("SUP_ELCH2*D",[1]OUT_SyntheticFuels!$C$4:$C$1000))*1,("var_ncap"=[1]OUT_SyntheticFuels!$B$4:$B$1000)*1,[1]OUT_SyntheticFuels!I$4:I$1000)</f>
        <v>4.4005916796580299E-5</v>
      </c>
      <c r="K2316" s="1" cm="1">
        <f t="array" ref="K2316">SUMPRODUCT(ISNUMBER(SEARCH("SUP_ELCH2*D",[1]OUT_SyntheticFuels!$C$4:$C$1000))*1,("var_ncap"=[1]OUT_SyntheticFuels!$B$4:$B$1000)*1,[1]OUT_SyntheticFuels!J$4:J$1000)</f>
        <v>1.05197470267405E-4</v>
      </c>
      <c r="L2316" s="1" cm="1">
        <f t="array" ref="L2316">SUMPRODUCT(ISNUMBER(SEARCH("SUP_ELCH2*D",[1]OUT_SyntheticFuels!$C$4:$C$1000))*1,("var_ncap"=[1]OUT_SyntheticFuels!$B$4:$B$1000)*1,[1]OUT_SyntheticFuels!K$4:K$1000)</f>
        <v>2.37084826517503E-5</v>
      </c>
      <c r="M2316" s="1" cm="1">
        <f t="array" ref="M2316">SUMPRODUCT(ISNUMBER(SEARCH("SUP_ELCH2*D",[1]OUT_SyntheticFuels!$C$4:$C$1000))*1,("var_ncap"=[1]OUT_SyntheticFuels!$B$4:$B$1000)*1,[1]OUT_SyntheticFuels!L$4:L$1000)</f>
        <v>3.5029274924720603E-5</v>
      </c>
      <c r="N2316" s="1" cm="1">
        <f t="array" ref="N2316">SUMPRODUCT(ISNUMBER(SEARCH("SUP_ELCH2*D",[1]OUT_SyntheticFuels!$C$4:$C$1000))*1,("var_ncap"=[1]OUT_SyntheticFuels!$B$4:$B$1000)*1,[1]OUT_SyntheticFuels!M$4:M$1000)</f>
        <v>2.3388182005063598E-5</v>
      </c>
      <c r="O2316" s="1" cm="1">
        <f t="array" ref="O2316">SUMPRODUCT(ISNUMBER(SEARCH("SUP_ELCH2*D",[1]OUT_SyntheticFuels!$C$4:$C$1000))*1,("var_ncap"=[1]OUT_SyntheticFuels!$B$4:$B$1000)*1,[1]OUT_SyntheticFuels!N$4:N$1000)</f>
        <v>1.2157750851964E-4</v>
      </c>
      <c r="P2316" s="1" cm="1">
        <f t="array" ref="P2316">SUMPRODUCT(ISNUMBER(SEARCH("SUP_ELCH2*D",[1]OUT_SyntheticFuels!$C$4:$C$1000))*1,("var_ncap"=[1]OUT_SyntheticFuels!$B$4:$B$1000)*1,[1]OUT_SyntheticFuels!O$4:O$1000)</f>
        <v>3.4508478301255499E-6</v>
      </c>
      <c r="Q2316" s="1" cm="1">
        <f t="array" ref="Q2316">SUMPRODUCT(ISNUMBER(SEARCH("SUP_ELCH2*D",[1]OUT_SyntheticFuels!$C$4:$C$1000))*1,("var_ncap"=[1]OUT_SyntheticFuels!$B$4:$B$1000)*1,[1]OUT_SyntheticFuels!P$4:P$1000)</f>
        <v>1.2596788428617499E-4</v>
      </c>
      <c r="S2316" s="3"/>
    </row>
    <row r="2317" spans="2:19" x14ac:dyDescent="0.5">
      <c r="B2317" s="5" t="str">
        <f t="shared" si="2319"/>
        <v>SPS1</v>
      </c>
      <c r="C2317" s="5" t="str">
        <f t="shared" si="2320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3.8803900912819903E-4</v>
      </c>
      <c r="L2317" s="1" cm="1">
        <f t="array" ref="L2317">SUMPRODUCT(ISNUMBER(SEARCH("SUP_ELCH2*SOEC*",[1]OUT_SyntheticFuels!$C$4:$C$1000))*1,("var_ncap"=[1]OUT_SyntheticFuels!$B$4:$B$1000)*1,[1]OUT_SyntheticFuels!K$4:K$1000)</f>
        <v>1.2765613362541401E-4</v>
      </c>
      <c r="M2317" s="1" cm="1">
        <f t="array" ref="M2317">SUMPRODUCT(ISNUMBER(SEARCH("SUP_ELCH2*SOEC*",[1]OUT_SyntheticFuels!$C$4:$C$1000))*1,("var_ncap"=[1]OUT_SyntheticFuels!$B$4:$B$1000)*1,[1]OUT_SyntheticFuels!L$4:L$1000)</f>
        <v>2.8387856943363099E-4</v>
      </c>
      <c r="N2317" s="1" cm="1">
        <f t="array" ref="N2317">SUMPRODUCT(ISNUMBER(SEARCH("SUP_ELCH2*SOEC*",[1]OUT_SyntheticFuels!$C$4:$C$1000))*1,("var_ncap"=[1]OUT_SyntheticFuels!$B$4:$B$1000)*1,[1]OUT_SyntheticFuels!M$4:M$1000)</f>
        <v>2.19167766132111E-4</v>
      </c>
      <c r="O2317" s="1" cm="1">
        <f t="array" ref="O2317">SUMPRODUCT(ISNUMBER(SEARCH("SUP_ELCH2*SOEC*",[1]OUT_SyntheticFuels!$C$4:$C$1000))*1,("var_ncap"=[1]OUT_SyntheticFuels!$B$4:$B$1000)*1,[1]OUT_SyntheticFuels!N$4:N$1000)</f>
        <v>6.8865370131050696E-4</v>
      </c>
      <c r="P2317" s="1" cm="1">
        <f t="array" ref="P2317">SUMPRODUCT(ISNUMBER(SEARCH("SUP_ELCH2*SOEC*",[1]OUT_SyntheticFuels!$C$4:$C$1000))*1,("var_ncap"=[1]OUT_SyntheticFuels!$B$4:$B$1000)*1,[1]OUT_SyntheticFuels!O$4:O$1000)</f>
        <v>1.08761642407497E-5</v>
      </c>
      <c r="Q2317" s="1" cm="1">
        <f t="array" ref="Q2317">SUMPRODUCT(ISNUMBER(SEARCH("SUP_ELCH2*SOEC*",[1]OUT_SyntheticFuels!$C$4:$C$1000))*1,("var_ncap"=[1]OUT_SyntheticFuels!$B$4:$B$1000)*1,[1]OUT_SyntheticFuels!P$4:P$1000)</f>
        <v>1.3857499463254699E-3</v>
      </c>
      <c r="S2317" s="3"/>
    </row>
    <row r="2318" spans="2:19" x14ac:dyDescent="0.5">
      <c r="B2318" s="5" t="str">
        <f t="shared" si="2319"/>
        <v>SPS1</v>
      </c>
      <c r="C2318" s="5" t="str">
        <f t="shared" si="2320"/>
        <v>CH</v>
      </c>
      <c r="D2318" t="s">
        <v>2453</v>
      </c>
      <c r="E2318" t="s">
        <v>2154</v>
      </c>
      <c r="F2318" s="1">
        <f t="shared" ref="F2318:K2318" si="2323">SUM(F2319:F2320)</f>
        <v>0</v>
      </c>
      <c r="G2318" s="1">
        <f t="shared" si="2323"/>
        <v>0</v>
      </c>
      <c r="H2318" s="1">
        <f t="shared" si="2323"/>
        <v>0</v>
      </c>
      <c r="I2318" s="1">
        <f t="shared" si="2323"/>
        <v>3.54506641319674E-7</v>
      </c>
      <c r="J2318" s="1">
        <f t="shared" si="2323"/>
        <v>7.26215838351604E-7</v>
      </c>
      <c r="K2318" s="1">
        <f t="shared" si="2323"/>
        <v>1.3040824002223511E-6</v>
      </c>
      <c r="L2318" s="1">
        <f t="shared" ref="L2318:O2318" si="2324">SUM(L2319:L2320)</f>
        <v>2.4159259370111969E-6</v>
      </c>
      <c r="M2318" s="1">
        <f t="shared" si="2324"/>
        <v>1.452353501864567E-4</v>
      </c>
      <c r="N2318" s="1">
        <f t="shared" si="2324"/>
        <v>3.6118719156322703E-6</v>
      </c>
      <c r="O2318" s="1">
        <f t="shared" si="2324"/>
        <v>6.2399976141272505E-5</v>
      </c>
      <c r="P2318" s="1">
        <f>SUM(P2319:P2320)</f>
        <v>5.9539380765310502E-6</v>
      </c>
      <c r="Q2318" s="1">
        <f>SUM(Q2319:Q2320)</f>
        <v>2.4525200563804792E-4</v>
      </c>
      <c r="S2318" s="3"/>
    </row>
    <row r="2319" spans="2:19" x14ac:dyDescent="0.5">
      <c r="B2319" s="5" t="str">
        <f t="shared" si="2319"/>
        <v>SPS1</v>
      </c>
      <c r="C2319" s="5" t="str">
        <f t="shared" si="2320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3.54506641319674E-7</v>
      </c>
      <c r="J2319" s="1" cm="1">
        <f t="array" ref="J2319">SUMPRODUCT(ISNUMBER(SEARCH("SUP_NGAH2",[1]OUT_SyntheticFuels!$C$4:$C$1000))*1,("var_ncap"=[1]OUT_SyntheticFuels!$B$4:$B$1000)*1,[1]OUT_SyntheticFuels!I$4:I$1000)-J2320</f>
        <v>7.26215838351604E-7</v>
      </c>
      <c r="K2319" s="1" cm="1">
        <f t="array" ref="K2319">SUMPRODUCT(ISNUMBER(SEARCH("SUP_NGAH2",[1]OUT_SyntheticFuels!$C$4:$C$1000))*1,("var_ncap"=[1]OUT_SyntheticFuels!$B$4:$B$1000)*1,[1]OUT_SyntheticFuels!J$4:J$1000)-K2320</f>
        <v>9.1138103552504904E-7</v>
      </c>
      <c r="L2319" s="1" cm="1">
        <f t="array" ref="L2319">SUMPRODUCT(ISNUMBER(SEARCH("SUP_NGAH2",[1]OUT_SyntheticFuels!$C$4:$C$1000))*1,("var_ncap"=[1]OUT_SyntheticFuels!$B$4:$B$1000)*1,[1]OUT_SyntheticFuels!K$4:K$1000)-L2320</f>
        <v>1.5082785698712999E-6</v>
      </c>
      <c r="M2319" s="1" cm="1">
        <f t="array" ref="M2319">SUMPRODUCT(ISNUMBER(SEARCH("SUP_NGAH2",[1]OUT_SyntheticFuels!$C$4:$C$1000))*1,("var_ncap"=[1]OUT_SyntheticFuels!$B$4:$B$1000)*1,[1]OUT_SyntheticFuels!L$4:L$1000)-M2320</f>
        <v>8.1793927337889402E-5</v>
      </c>
      <c r="N2319" s="1" cm="1">
        <f t="array" ref="N2319">SUMPRODUCT(ISNUMBER(SEARCH("SUP_NGAH2",[1]OUT_SyntheticFuels!$C$4:$C$1000))*1,("var_ncap"=[1]OUT_SyntheticFuels!$B$4:$B$1000)*1,[1]OUT_SyntheticFuels!M$4:M$1000)-N2320</f>
        <v>2.4880237916525302E-6</v>
      </c>
      <c r="O2319" s="1" cm="1">
        <f t="array" ref="O2319">SUMPRODUCT(ISNUMBER(SEARCH("SUP_NGAH2",[1]OUT_SyntheticFuels!$C$4:$C$1000))*1,("var_ncap"=[1]OUT_SyntheticFuels!$B$4:$B$1000)*1,[1]OUT_SyntheticFuels!N$4:N$1000)-O2320</f>
        <v>4.5589037579631803E-5</v>
      </c>
      <c r="P2319" s="1" cm="1">
        <f t="array" ref="P2319">SUMPRODUCT(ISNUMBER(SEARCH("SUP_NGAH2",[1]OUT_SyntheticFuels!$C$4:$C$1000))*1,("var_ncap"=[1]OUT_SyntheticFuels!$B$4:$B$1000)*1,[1]OUT_SyntheticFuels!O$4:O$1000)-P2320</f>
        <v>4.20418991001487E-6</v>
      </c>
      <c r="Q2319" s="1" cm="1">
        <f t="array" ref="Q2319">SUMPRODUCT(ISNUMBER(SEARCH("SUP_NGAH2",[1]OUT_SyntheticFuels!$C$4:$C$1000))*1,("var_ncap"=[1]OUT_SyntheticFuels!$B$4:$B$1000)*1,[1]OUT_SyntheticFuels!P$4:P$1000)-Q2320</f>
        <v>1.7103950889924501E-4</v>
      </c>
      <c r="S2319" s="3"/>
    </row>
    <row r="2320" spans="2:19" x14ac:dyDescent="0.5">
      <c r="B2320" s="5" t="str">
        <f t="shared" si="2319"/>
        <v>SPS1</v>
      </c>
      <c r="C2320" s="5" t="str">
        <f t="shared" si="2320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3.9270136469730202E-7</v>
      </c>
      <c r="L2320" s="1" cm="1">
        <f t="array" ref="L2320">SUMPRODUCT(ISNUMBER(SEARCH("SUP_NGAH2CCS",[1]OUT_SyntheticFuels!$C$4:$C$1000))*1,("var_ncap"=[1]OUT_SyntheticFuels!$B$4:$B$1000)*1,[1]OUT_SyntheticFuels!K$4:K$1000)</f>
        <v>9.07647367139897E-7</v>
      </c>
      <c r="M2320" s="1" cm="1">
        <f t="array" ref="M2320">SUMPRODUCT(ISNUMBER(SEARCH("SUP_NGAH2CCS",[1]OUT_SyntheticFuels!$C$4:$C$1000))*1,("var_ncap"=[1]OUT_SyntheticFuels!$B$4:$B$1000)*1,[1]OUT_SyntheticFuels!L$4:L$1000)</f>
        <v>6.3441422848567296E-5</v>
      </c>
      <c r="N2320" s="1" cm="1">
        <f t="array" ref="N2320">SUMPRODUCT(ISNUMBER(SEARCH("SUP_NGAH2CCS",[1]OUT_SyntheticFuels!$C$4:$C$1000))*1,("var_ncap"=[1]OUT_SyntheticFuels!$B$4:$B$1000)*1,[1]OUT_SyntheticFuels!M$4:M$1000)</f>
        <v>1.12384812397974E-6</v>
      </c>
      <c r="O2320" s="1" cm="1">
        <f t="array" ref="O2320">SUMPRODUCT(ISNUMBER(SEARCH("SUP_NGAH2CCS",[1]OUT_SyntheticFuels!$C$4:$C$1000))*1,("var_ncap"=[1]OUT_SyntheticFuels!$B$4:$B$1000)*1,[1]OUT_SyntheticFuels!N$4:N$1000)</f>
        <v>1.6810938561640699E-5</v>
      </c>
      <c r="P2320" s="1" cm="1">
        <f t="array" ref="P2320">SUMPRODUCT(ISNUMBER(SEARCH("SUP_NGAH2CCS",[1]OUT_SyntheticFuels!$C$4:$C$1000))*1,("var_ncap"=[1]OUT_SyntheticFuels!$B$4:$B$1000)*1,[1]OUT_SyntheticFuels!O$4:O$1000)</f>
        <v>1.7497481665161799E-6</v>
      </c>
      <c r="Q2320" s="1" cm="1">
        <f t="array" ref="Q2320">SUMPRODUCT(ISNUMBER(SEARCH("SUP_NGAH2CCS",[1]OUT_SyntheticFuels!$C$4:$C$1000))*1,("var_ncap"=[1]OUT_SyntheticFuels!$B$4:$B$1000)*1,[1]OUT_SyntheticFuels!P$4:P$1000)</f>
        <v>7.4212496738802896E-5</v>
      </c>
      <c r="S2320" s="3"/>
    </row>
    <row r="2321" spans="2:19" x14ac:dyDescent="0.5">
      <c r="B2321" s="5" t="str">
        <f t="shared" si="2319"/>
        <v>SPS1</v>
      </c>
      <c r="C2321" s="5" t="str">
        <f t="shared" si="2320"/>
        <v>CH</v>
      </c>
      <c r="D2321" t="s">
        <v>2456</v>
      </c>
      <c r="E2321" t="s">
        <v>2154</v>
      </c>
      <c r="F2321" s="1">
        <f t="shared" ref="F2321:K2321" si="2325">SUM(F2322:F2323)</f>
        <v>0</v>
      </c>
      <c r="G2321" s="1">
        <f t="shared" si="2325"/>
        <v>0</v>
      </c>
      <c r="H2321" s="1">
        <f t="shared" si="2325"/>
        <v>0</v>
      </c>
      <c r="I2321" s="1">
        <f t="shared" si="2325"/>
        <v>0</v>
      </c>
      <c r="J2321" s="1">
        <f t="shared" si="2325"/>
        <v>0</v>
      </c>
      <c r="K2321" s="1">
        <f t="shared" si="2325"/>
        <v>0</v>
      </c>
      <c r="L2321" s="1">
        <f t="shared" ref="L2321:O2321" si="2326">SUM(L2322:L2323)</f>
        <v>0</v>
      </c>
      <c r="M2321" s="1">
        <f t="shared" si="2326"/>
        <v>0.16354258357515333</v>
      </c>
      <c r="N2321" s="1">
        <f t="shared" si="2326"/>
        <v>2.0478446721236763E-5</v>
      </c>
      <c r="O2321" s="1">
        <f t="shared" si="2326"/>
        <v>1.5140644259425037E-2</v>
      </c>
      <c r="P2321" s="1">
        <f>SUM(P2322:P2323)</f>
        <v>3.5706388070918791E-3</v>
      </c>
      <c r="Q2321" s="1">
        <f>SUM(Q2322:Q2323)</f>
        <v>1.0687755687563832E-2</v>
      </c>
      <c r="S2321" s="3"/>
    </row>
    <row r="2322" spans="2:19" x14ac:dyDescent="0.5">
      <c r="B2322" s="5" t="str">
        <f t="shared" si="2319"/>
        <v>SPS1</v>
      </c>
      <c r="C2322" s="5" t="str">
        <f t="shared" si="2320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SUMPRODUCT(ISNUMBER(SEARCH("SUP_WODH2",[1]OUT_SyntheticFuels!$C$4:$C$1000))*1,("var_ncap"=[1]OUT_SyntheticFuels!$B$4:$B$1000)*1,[1]OUT_SyntheticFuels!I$4:I$1000)-J2323</f>
        <v>0</v>
      </c>
      <c r="K2322" s="1" cm="1">
        <f t="array" ref="K2322">SUMPRODUCT(ISNUMBER(SEARCH("SUP_WODH2",[1]OUT_SyntheticFuels!$C$4:$C$1000))*1,("var_ncap"=[1]OUT_SyntheticFuels!$B$4:$B$1000)*1,[1]OUT_SyntheticFuels!J$4:J$1000)-K2323</f>
        <v>0</v>
      </c>
      <c r="L2322" s="1" cm="1">
        <f t="array" ref="L2322">SUMPRODUCT(ISNUMBER(SEARCH("SUP_WODH2",[1]OUT_SyntheticFuels!$C$4:$C$1000))*1,("var_ncap"=[1]OUT_SyntheticFuels!$B$4:$B$1000)*1,[1]OUT_SyntheticFuels!K$4:K$1000)-L2323</f>
        <v>0</v>
      </c>
      <c r="M2322" s="1" cm="1">
        <f t="array" ref="M2322">SUMPRODUCT(ISNUMBER(SEARCH("SUP_WODH2",[1]OUT_SyntheticFuels!$C$4:$C$1000))*1,("var_ncap"=[1]OUT_SyntheticFuels!$B$4:$B$1000)*1,[1]OUT_SyntheticFuels!L$4:L$1000)-M2323</f>
        <v>3.2293764987340046E-5</v>
      </c>
      <c r="N2322" s="1" cm="1">
        <f t="array" ref="N2322">SUMPRODUCT(ISNUMBER(SEARCH("SUP_WODH2",[1]OUT_SyntheticFuels!$C$4:$C$1000))*1,("var_ncap"=[1]OUT_SyntheticFuels!$B$4:$B$1000)*1,[1]OUT_SyntheticFuels!M$4:M$1000)-N2323</f>
        <v>7.9955463897706344E-7</v>
      </c>
      <c r="O2322" s="1" cm="1">
        <f t="array" ref="O2322">SUMPRODUCT(ISNUMBER(SEARCH("SUP_WODH2",[1]OUT_SyntheticFuels!$C$4:$C$1000))*1,("var_ncap"=[1]OUT_SyntheticFuels!$B$4:$B$1000)*1,[1]OUT_SyntheticFuels!N$4:N$1000)-O2323</f>
        <v>1.2867577662636215E-5</v>
      </c>
      <c r="P2322" s="1" cm="1">
        <f t="array" ref="P2322">SUMPRODUCT(ISNUMBER(SEARCH("SUP_WODH2",[1]OUT_SyntheticFuels!$C$4:$C$1000))*1,("var_ncap"=[1]OUT_SyntheticFuels!$B$4:$B$1000)*1,[1]OUT_SyntheticFuels!O$4:O$1000)-P2323</f>
        <v>6.2168681509927951E-7</v>
      </c>
      <c r="Q2322" s="1" cm="1">
        <f t="array" ref="Q2322">SUMPRODUCT(ISNUMBER(SEARCH("SUP_WODH2",[1]OUT_SyntheticFuels!$C$4:$C$1000))*1,("var_ncap"=[1]OUT_SyntheticFuels!$B$4:$B$1000)*1,[1]OUT_SyntheticFuels!P$4:P$1000)-Q2323</f>
        <v>5.0273963901233121E-5</v>
      </c>
      <c r="S2322" s="3"/>
    </row>
    <row r="2323" spans="2:19" x14ac:dyDescent="0.5">
      <c r="B2323" s="5" t="str">
        <f t="shared" si="2319"/>
        <v>SPS1</v>
      </c>
      <c r="C2323" s="5" t="str">
        <f t="shared" si="2320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M2323" s="1" cm="1">
        <f t="array" ref="M2323">SUMPRODUCT(ISNUMBER(SEARCH("SUP_WODH2CCS",[1]OUT_SyntheticFuels!$C$4:$C$1000))*1,("var_ncap"=[1]OUT_SyntheticFuels!$B$4:$B$1000)*1,[1]OUT_SyntheticFuels!L$4:L$1000)</f>
        <v>0.16351028981016599</v>
      </c>
      <c r="N2323" s="1" cm="1">
        <f t="array" ref="N2323">SUMPRODUCT(ISNUMBER(SEARCH("SUP_WODH2CCS",[1]OUT_SyntheticFuels!$C$4:$C$1000))*1,("var_ncap"=[1]OUT_SyntheticFuels!$B$4:$B$1000)*1,[1]OUT_SyntheticFuels!M$4:M$1000)</f>
        <v>1.96788920822597E-5</v>
      </c>
      <c r="O2323" s="1" cm="1">
        <f t="array" ref="O2323">SUMPRODUCT(ISNUMBER(SEARCH("SUP_WODH2CCS",[1]OUT_SyntheticFuels!$C$4:$C$1000))*1,("var_ncap"=[1]OUT_SyntheticFuels!$B$4:$B$1000)*1,[1]OUT_SyntheticFuels!N$4:N$1000)</f>
        <v>1.5127776681762401E-2</v>
      </c>
      <c r="P2323" s="1" cm="1">
        <f t="array" ref="P2323">SUMPRODUCT(ISNUMBER(SEARCH("SUP_WODH2CCS",[1]OUT_SyntheticFuels!$C$4:$C$1000))*1,("var_ncap"=[1]OUT_SyntheticFuels!$B$4:$B$1000)*1,[1]OUT_SyntheticFuels!O$4:O$1000)</f>
        <v>3.5700171202767798E-3</v>
      </c>
      <c r="Q2323" s="1" cm="1">
        <f t="array" ref="Q2323">SUMPRODUCT(ISNUMBER(SEARCH("SUP_WODH2CCS",[1]OUT_SyntheticFuels!$C$4:$C$1000))*1,("var_ncap"=[1]OUT_SyntheticFuels!$B$4:$B$1000)*1,[1]OUT_SyntheticFuels!P$4:P$1000)</f>
        <v>1.0637481723662599E-2</v>
      </c>
      <c r="S2323" s="3"/>
    </row>
    <row r="2324" spans="2:19" x14ac:dyDescent="0.5">
      <c r="B2324" s="5" t="str">
        <f t="shared" si="2319"/>
        <v>SPS1</v>
      </c>
      <c r="C2324" s="5" t="str">
        <f t="shared" si="2320"/>
        <v>CH</v>
      </c>
      <c r="D2324" s="2" t="s">
        <v>2459</v>
      </c>
      <c r="E2324" s="2" t="s">
        <v>2156</v>
      </c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S2324" s="3"/>
    </row>
    <row r="2325" spans="2:19" x14ac:dyDescent="0.5">
      <c r="B2325" s="5" t="str">
        <f t="shared" si="2319"/>
        <v>SPS1</v>
      </c>
      <c r="C2325" s="5" t="str">
        <f t="shared" si="2320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1.45075395475384E-7</v>
      </c>
      <c r="G2325" s="7" cm="1">
        <f t="array" ref="G2325">SUMPRODUCT(("CT_CWODBDS"=[1]OUT_SyntheticFuels!$C$4:$C$1000)*1,("var_ncap"=[1]OUT_SyntheticFuels!$B$4:$B$1000)*1,[1]OUT_SyntheticFuels!F$4:F$1000)</f>
        <v>9.5530545674104396E-8</v>
      </c>
      <c r="H2325" s="7" cm="1">
        <f t="array" ref="H2325">SUMPRODUCT(("CT_CWODBDS"=[1]OUT_SyntheticFuels!$C$4:$C$1000)*1,("var_ncap"=[1]OUT_SyntheticFuels!$B$4:$B$1000)*1,[1]OUT_SyntheticFuels!G$4:G$1000)</f>
        <v>8.75900726836798E-8</v>
      </c>
      <c r="I2325" s="7" cm="1">
        <f t="array" ref="I2325">SUMPRODUCT(("CT_CWODBDS"=[1]OUT_SyntheticFuels!$C$4:$C$1000)*1,("var_ncap"=[1]OUT_SyntheticFuels!$B$4:$B$1000)*1,[1]OUT_SyntheticFuels!H$4:H$1000)</f>
        <v>1.34270394295126E-7</v>
      </c>
      <c r="J2325" s="7" cm="1">
        <f t="array" ref="J2325">SUMPRODUCT(("CT_CWODBDS"=[1]OUT_SyntheticFuels!$C$4:$C$1000)*1,("var_ncap"=[1]OUT_SyntheticFuels!$B$4:$B$1000)*1,[1]OUT_SyntheticFuels!I$4:I$1000)</f>
        <v>2.0098359409810601E-5</v>
      </c>
      <c r="K2325" s="7" cm="1">
        <f t="array" ref="K2325">SUMPRODUCT(("CT_CWODBDS"=[1]OUT_SyntheticFuels!$C$4:$C$1000)*1,("var_ncap"=[1]OUT_SyntheticFuels!$B$4:$B$1000)*1,[1]OUT_SyntheticFuels!J$4:J$1000)</f>
        <v>1.56144366741014E-6</v>
      </c>
      <c r="L2325" s="7" cm="1">
        <f t="array" ref="L2325">SUMPRODUCT(("CT_CWODBDS"=[1]OUT_SyntheticFuels!$C$4:$C$1000)*1,("var_ncap"=[1]OUT_SyntheticFuels!$B$4:$B$1000)*1,[1]OUT_SyntheticFuels!K$4:K$1000)</f>
        <v>1.9435719717709401E-6</v>
      </c>
      <c r="M2325" s="7" cm="1">
        <f t="array" ref="M2325">SUMPRODUCT(("CT_CWODBDS"=[1]OUT_SyntheticFuels!$C$4:$C$1000)*1,("var_ncap"=[1]OUT_SyntheticFuels!$B$4:$B$1000)*1,[1]OUT_SyntheticFuels!L$4:L$1000)</f>
        <v>1.45952124316308E-5</v>
      </c>
      <c r="N2325" s="7" cm="1">
        <f t="array" ref="N2325">SUMPRODUCT(("CT_CWODBDS"=[1]OUT_SyntheticFuels!$C$4:$C$1000)*1,("var_ncap"=[1]OUT_SyntheticFuels!$B$4:$B$1000)*1,[1]OUT_SyntheticFuels!M$4:M$1000)</f>
        <v>2.6312235650535602E-6</v>
      </c>
      <c r="O2325" s="7" cm="1">
        <f t="array" ref="O2325">SUMPRODUCT(("CT_CWODBDS"=[1]OUT_SyntheticFuels!$C$4:$C$1000)*1,("var_ncap"=[1]OUT_SyntheticFuels!$B$4:$B$1000)*1,[1]OUT_SyntheticFuels!N$4:N$1000)</f>
        <v>4.56308801521234E-5</v>
      </c>
      <c r="P2325" s="7" cm="1">
        <f t="array" ref="P2325">SUMPRODUCT(("CT_CWODBDS"=[1]OUT_SyntheticFuels!$C$4:$C$1000)*1,("var_ncap"=[1]OUT_SyntheticFuels!$B$4:$B$1000)*1,[1]OUT_SyntheticFuels!O$4:O$1000)</f>
        <v>3.44503293615063E-7</v>
      </c>
      <c r="Q2325" s="7" cm="1">
        <f t="array" ref="Q2325">SUMPRODUCT(("CT_CWODBDS"=[1]OUT_SyntheticFuels!$C$4:$C$1000)*1,("var_ncap"=[1]OUT_SyntheticFuels!$B$4:$B$1000)*1,[1]OUT_SyntheticFuels!P$4:P$1000)</f>
        <v>4.3042222922071501E-5</v>
      </c>
      <c r="S2325" s="3"/>
    </row>
    <row r="2326" spans="2:19" x14ac:dyDescent="0.5">
      <c r="B2326" s="5" t="str">
        <f t="shared" si="2319"/>
        <v>SPS1</v>
      </c>
      <c r="C2326" s="5" t="str">
        <f t="shared" si="2320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1.7565908250820099E-5</v>
      </c>
      <c r="L2326" s="7" cm="1">
        <f t="array" ref="L2326">SUMPRODUCT(("CT_CWODBDSCCS"=[1]OUT_SyntheticFuels!$C$4:$C$1000)*1,("var_ncap"=[1]OUT_SyntheticFuels!$B$4:$B$1000)*1,[1]OUT_SyntheticFuels!K$4:K$1000)</f>
        <v>1.7324558307897299E-6</v>
      </c>
      <c r="M2326" s="7" cm="1">
        <f t="array" ref="M2326">SUMPRODUCT(("CT_CWODBDSCCS"=[1]OUT_SyntheticFuels!$C$4:$C$1000)*1,("var_ncap"=[1]OUT_SyntheticFuels!$B$4:$B$1000)*1,[1]OUT_SyntheticFuels!L$4:L$1000)</f>
        <v>0.18858958540425799</v>
      </c>
      <c r="N2326" s="7" cm="1">
        <f t="array" ref="N2326">SUMPRODUCT(("CT_CWODBDSCCS"=[1]OUT_SyntheticFuels!$C$4:$C$1000)*1,("var_ncap"=[1]OUT_SyntheticFuels!$B$4:$B$1000)*1,[1]OUT_SyntheticFuels!M$4:M$1000)</f>
        <v>1.7262835584766201E-2</v>
      </c>
      <c r="O2326" s="7" cm="1">
        <f t="array" ref="O2326">SUMPRODUCT(("CT_CWODBDSCCS"=[1]OUT_SyntheticFuels!$C$4:$C$1000)*1,("var_ncap"=[1]OUT_SyntheticFuels!$B$4:$B$1000)*1,[1]OUT_SyntheticFuels!N$4:N$1000)</f>
        <v>5.6440252870777005E-7</v>
      </c>
      <c r="P2326" s="7" cm="1">
        <f t="array" ref="P2326">SUMPRODUCT(("CT_CWODBDSCCS"=[1]OUT_SyntheticFuels!$C$4:$C$1000)*1,("var_ncap"=[1]OUT_SyntheticFuels!$B$4:$B$1000)*1,[1]OUT_SyntheticFuels!O$4:O$1000)</f>
        <v>2.3263254711547599E-6</v>
      </c>
      <c r="Q2326" s="7" cm="1">
        <f t="array" ref="Q2326">SUMPRODUCT(("CT_CWODBDSCCS"=[1]OUT_SyntheticFuels!$C$4:$C$1000)*1,("var_ncap"=[1]OUT_SyntheticFuels!$B$4:$B$1000)*1,[1]OUT_SyntheticFuels!P$4:P$1000)</f>
        <v>0.187611657541564</v>
      </c>
      <c r="S2326" s="3"/>
    </row>
    <row r="2327" spans="2:19" x14ac:dyDescent="0.5">
      <c r="B2327" s="5" t="str">
        <f t="shared" si="2319"/>
        <v>SPS1</v>
      </c>
      <c r="C2327" s="5" t="str">
        <f t="shared" si="2320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4.86188437213049E-3</v>
      </c>
      <c r="G2327" s="7" cm="1">
        <f t="array" ref="G2327">SUMPRODUCT(("CT_CWODETH"=[1]OUT_SyntheticFuels!$C$4:$C$1000)*1,("var_ncap"=[1]OUT_SyntheticFuels!$B$4:$B$1000)*1,[1]OUT_SyntheticFuels!F$4:F$1000)</f>
        <v>1.32843790702494E-7</v>
      </c>
      <c r="H2327" s="7" cm="1">
        <f t="array" ref="H2327">SUMPRODUCT(("CT_CWODETH"=[1]OUT_SyntheticFuels!$C$4:$C$1000)*1,("var_ncap"=[1]OUT_SyntheticFuels!$B$4:$B$1000)*1,[1]OUT_SyntheticFuels!G$4:G$1000)</f>
        <v>1.9856321945053E-7</v>
      </c>
      <c r="I2327" s="7" cm="1">
        <f t="array" ref="I2327">SUMPRODUCT(("CT_CWODETH"=[1]OUT_SyntheticFuels!$C$4:$C$1000)*1,("var_ncap"=[1]OUT_SyntheticFuels!$B$4:$B$1000)*1,[1]OUT_SyntheticFuels!H$4:H$1000)</f>
        <v>1.33275294827891E-7</v>
      </c>
      <c r="J2327" s="7" cm="1">
        <f t="array" ref="J2327">SUMPRODUCT(("CT_CWODETH"=[1]OUT_SyntheticFuels!$C$4:$C$1000)*1,("var_ncap"=[1]OUT_SyntheticFuels!$B$4:$B$1000)*1,[1]OUT_SyntheticFuels!I$4:I$1000)</f>
        <v>1.0330983515360799E-6</v>
      </c>
      <c r="K2327" s="7" cm="1">
        <f t="array" ref="K2327">SUMPRODUCT(("CT_CWODETH"=[1]OUT_SyntheticFuels!$C$4:$C$1000)*1,("var_ncap"=[1]OUT_SyntheticFuels!$B$4:$B$1000)*1,[1]OUT_SyntheticFuels!J$4:J$1000)</f>
        <v>5.0321074979166998E-6</v>
      </c>
      <c r="L2327" s="7" cm="1">
        <f t="array" ref="L2327">SUMPRODUCT(("CT_CWODETH"=[1]OUT_SyntheticFuels!$C$4:$C$1000)*1,("var_ncap"=[1]OUT_SyntheticFuels!$B$4:$B$1000)*1,[1]OUT_SyntheticFuels!K$4:K$1000)</f>
        <v>1.01998558885947E-5</v>
      </c>
      <c r="M2327" s="7" cm="1">
        <f t="array" ref="M2327">SUMPRODUCT(("CT_CWODETH"=[1]OUT_SyntheticFuels!$C$4:$C$1000)*1,("var_ncap"=[1]OUT_SyntheticFuels!$B$4:$B$1000)*1,[1]OUT_SyntheticFuels!L$4:L$1000)</f>
        <v>9.3942032441491008E-6</v>
      </c>
      <c r="N2327" s="7" cm="1">
        <f t="array" ref="N2327">SUMPRODUCT(("CT_CWODETH"=[1]OUT_SyntheticFuels!$C$4:$C$1000)*1,("var_ncap"=[1]OUT_SyntheticFuels!$B$4:$B$1000)*1,[1]OUT_SyntheticFuels!M$4:M$1000)</f>
        <v>9.3800050539052802E-7</v>
      </c>
      <c r="O2327" s="7" cm="1">
        <f t="array" ref="O2327">SUMPRODUCT(("CT_CWODETH"=[1]OUT_SyntheticFuels!$C$4:$C$1000)*1,("var_ncap"=[1]OUT_SyntheticFuels!$B$4:$B$1000)*1,[1]OUT_SyntheticFuels!N$4:N$1000)</f>
        <v>2.6976163011450001E-5</v>
      </c>
      <c r="P2327" s="7" cm="1">
        <f t="array" ref="P2327">SUMPRODUCT(("CT_CWODETH"=[1]OUT_SyntheticFuels!$C$4:$C$1000)*1,("var_ncap"=[1]OUT_SyntheticFuels!$B$4:$B$1000)*1,[1]OUT_SyntheticFuels!O$4:O$1000)</f>
        <v>5.7804680031269805E-7</v>
      </c>
      <c r="Q2327" s="7" cm="1">
        <f t="array" ref="Q2327">SUMPRODUCT(("CT_CWODETH"=[1]OUT_SyntheticFuels!$C$4:$C$1000)*1,("var_ncap"=[1]OUT_SyntheticFuels!$B$4:$B$1000)*1,[1]OUT_SyntheticFuels!P$4:P$1000)</f>
        <v>4.3292396164853599E-5</v>
      </c>
      <c r="S2327" s="3"/>
    </row>
    <row r="2328" spans="2:19" x14ac:dyDescent="0.5">
      <c r="B2328" s="5" t="str">
        <f t="shared" si="2319"/>
        <v>SPS1</v>
      </c>
      <c r="C2328" s="5" t="str">
        <f t="shared" si="2320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1.1704649805439E-5</v>
      </c>
      <c r="L2328" s="7" cm="1">
        <f t="array" ref="L2328">SUMPRODUCT(("CT_CWODETHCCS"=[1]OUT_SyntheticFuels!$C$4:$C$1000)*1,("var_ncap"=[1]OUT_SyntheticFuels!$B$4:$B$1000)*1,[1]OUT_SyntheticFuels!K$4:K$1000)</f>
        <v>2.8429306918293498E-6</v>
      </c>
      <c r="M2328" s="7" cm="1">
        <f t="array" ref="M2328">SUMPRODUCT(("CT_CWODETHCCS"=[1]OUT_SyntheticFuels!$C$4:$C$1000)*1,("var_ncap"=[1]OUT_SyntheticFuels!$B$4:$B$1000)*1,[1]OUT_SyntheticFuels!L$4:L$1000)</f>
        <v>7.2871662079908001E-6</v>
      </c>
      <c r="N2328" s="7" cm="1">
        <f t="array" ref="N2328">SUMPRODUCT(("CT_CWODETHCCS"=[1]OUT_SyntheticFuels!$C$4:$C$1000)*1,("var_ncap"=[1]OUT_SyntheticFuels!$B$4:$B$1000)*1,[1]OUT_SyntheticFuels!M$4:M$1000)</f>
        <v>2.2682728877222301E-7</v>
      </c>
      <c r="O2328" s="7" cm="1">
        <f t="array" ref="O2328">SUMPRODUCT(("CT_CWODETHCCS"=[1]OUT_SyntheticFuels!$C$4:$C$1000)*1,("var_ncap"=[1]OUT_SyntheticFuels!$B$4:$B$1000)*1,[1]OUT_SyntheticFuels!N$4:N$1000)</f>
        <v>2.9925160225528699E-5</v>
      </c>
      <c r="P2328" s="7" cm="1">
        <f t="array" ref="P2328">SUMPRODUCT(("CT_CWODETHCCS"=[1]OUT_SyntheticFuels!$C$4:$C$1000)*1,("var_ncap"=[1]OUT_SyntheticFuels!$B$4:$B$1000)*1,[1]OUT_SyntheticFuels!O$4:O$1000)</f>
        <v>2.5707893177751702E-7</v>
      </c>
      <c r="Q2328" s="7" cm="1">
        <f t="array" ref="Q2328">SUMPRODUCT(("CT_CWODETHCCS"=[1]OUT_SyntheticFuels!$C$4:$C$1000)*1,("var_ncap"=[1]OUT_SyntheticFuels!$B$4:$B$1000)*1,[1]OUT_SyntheticFuels!P$4:P$1000)</f>
        <v>3.4561589495253498E-5</v>
      </c>
      <c r="S2328" s="3"/>
    </row>
    <row r="2329" spans="2:19" x14ac:dyDescent="0.5">
      <c r="B2329" s="5" t="str">
        <f t="shared" si="2319"/>
        <v>SPS1</v>
      </c>
      <c r="C2329" s="5" t="str">
        <f t="shared" si="2320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4.9551580918424001E-2</v>
      </c>
      <c r="G2329" s="7" cm="1">
        <f t="array" ref="G2329">SUMPRODUCT(("SUP_MNRBIO"=[1]OUT_SyntheticFuels!$C$4:$C$1000)*1,("var_ncap"=[1]OUT_SyntheticFuels!$B$4:$B$1000)*1,[1]OUT_SyntheticFuels!F$4:F$1000)</f>
        <v>7.8969309570930193E-2</v>
      </c>
      <c r="H2329" s="7" cm="1">
        <f t="array" ref="H2329">SUMPRODUCT(("SUP_MNRBIO"=[1]OUT_SyntheticFuels!$C$4:$C$1000)*1,("var_ncap"=[1]OUT_SyntheticFuels!$B$4:$B$1000)*1,[1]OUT_SyntheticFuels!G$4:G$1000)</f>
        <v>3.38677588339754E-2</v>
      </c>
      <c r="I2329" s="7" cm="1">
        <f t="array" ref="I2329">SUMPRODUCT(("SUP_MNRBIO"=[1]OUT_SyntheticFuels!$C$4:$C$1000)*1,("var_ncap"=[1]OUT_SyntheticFuels!$B$4:$B$1000)*1,[1]OUT_SyntheticFuels!H$4:H$1000)</f>
        <v>1.18525271411095E-5</v>
      </c>
      <c r="J2329" s="7" cm="1">
        <f t="array" ref="J2329">SUMPRODUCT(("SUP_MNRBIO"=[1]OUT_SyntheticFuels!$C$4:$C$1000)*1,("var_ncap"=[1]OUT_SyntheticFuels!$B$4:$B$1000)*1,[1]OUT_SyntheticFuels!I$4:I$1000)</f>
        <v>5.5546442977679398E-6</v>
      </c>
      <c r="K2329" s="7" cm="1">
        <f t="array" ref="K2329">SUMPRODUCT(("SUP_MNRBIO"=[1]OUT_SyntheticFuels!$C$4:$C$1000)*1,("var_ncap"=[1]OUT_SyntheticFuels!$B$4:$B$1000)*1,[1]OUT_SyntheticFuels!J$4:J$1000)</f>
        <v>5.9448328818441198E-2</v>
      </c>
      <c r="L2329" s="7" cm="1">
        <f t="array" ref="L2329">SUMPRODUCT(("SUP_MNRBIO"=[1]OUT_SyntheticFuels!$C$4:$C$1000)*1,("var_ncap"=[1]OUT_SyntheticFuels!$B$4:$B$1000)*1,[1]OUT_SyntheticFuels!K$4:K$1000)</f>
        <v>9.7705444146367407E-2</v>
      </c>
      <c r="M2329" s="7" cm="1">
        <f t="array" ref="M2329">SUMPRODUCT(("SUP_MNRBIO"=[1]OUT_SyntheticFuels!$C$4:$C$1000)*1,("var_ncap"=[1]OUT_SyntheticFuels!$B$4:$B$1000)*1,[1]OUT_SyntheticFuels!L$4:L$1000)</f>
        <v>8.6473566202514604E-2</v>
      </c>
      <c r="N2329" s="7" cm="1">
        <f t="array" ref="N2329">SUMPRODUCT(("SUP_MNRBIO"=[1]OUT_SyntheticFuels!$C$4:$C$1000)*1,("var_ncap"=[1]OUT_SyntheticFuels!$B$4:$B$1000)*1,[1]OUT_SyntheticFuels!M$4:M$1000)</f>
        <v>7.8801029607415297E-3</v>
      </c>
      <c r="O2329" s="7" cm="1">
        <f t="array" ref="O2329">SUMPRODUCT(("SUP_MNRBIO"=[1]OUT_SyntheticFuels!$C$4:$C$1000)*1,("var_ncap"=[1]OUT_SyntheticFuels!$B$4:$B$1000)*1,[1]OUT_SyntheticFuels!N$4:N$1000)</f>
        <v>5.1577268538194297E-2</v>
      </c>
      <c r="P2329" s="7" cm="1">
        <f t="array" ref="P2329">SUMPRODUCT(("SUP_MNRBIO"=[1]OUT_SyntheticFuels!$C$4:$C$1000)*1,("var_ncap"=[1]OUT_SyntheticFuels!$B$4:$B$1000)*1,[1]OUT_SyntheticFuels!O$4:O$1000)</f>
        <v>9.7704926918323706E-2</v>
      </c>
      <c r="Q2329" s="7" cm="1">
        <f t="array" ref="Q2329">SUMPRODUCT(("SUP_MNRBIO"=[1]OUT_SyntheticFuels!$C$4:$C$1000)*1,("var_ncap"=[1]OUT_SyntheticFuels!$B$4:$B$1000)*1,[1]OUT_SyntheticFuels!P$4:P$1000)</f>
        <v>8.6503039614919494E-2</v>
      </c>
      <c r="S2329" s="3"/>
    </row>
    <row r="2330" spans="2:19" x14ac:dyDescent="0.5">
      <c r="B2330" s="5" t="str">
        <f t="shared" si="2319"/>
        <v>SPS1</v>
      </c>
      <c r="C2330" s="5" t="str">
        <f t="shared" si="2320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4.0972934153102698E-3</v>
      </c>
      <c r="G2330" s="7" cm="1">
        <f t="array" ref="G2330">SUMPRODUCT(("SUP_WSTBIO"=[1]OUT_SyntheticFuels!$C$4:$C$1000)*1,("var_ncap"=[1]OUT_SyntheticFuels!$B$4:$B$1000)*1,[1]OUT_SyntheticFuels!F$4:F$1000)</f>
        <v>2.0325455720252399E-2</v>
      </c>
      <c r="H2330" s="7" cm="1">
        <f t="array" ref="H2330">SUMPRODUCT(("SUP_WSTBIO"=[1]OUT_SyntheticFuels!$C$4:$C$1000)*1,("var_ncap"=[1]OUT_SyntheticFuels!$B$4:$B$1000)*1,[1]OUT_SyntheticFuels!G$4:G$1000)</f>
        <v>4.6613271418425799E-7</v>
      </c>
      <c r="I2330" s="7" cm="1">
        <f t="array" ref="I2330">SUMPRODUCT(("SUP_WSTBIO"=[1]OUT_SyntheticFuels!$C$4:$C$1000)*1,("var_ncap"=[1]OUT_SyntheticFuels!$B$4:$B$1000)*1,[1]OUT_SyntheticFuels!H$4:H$1000)</f>
        <v>7.2849751829677206E-2</v>
      </c>
      <c r="J2330" s="7" cm="1">
        <f t="array" ref="J2330">SUMPRODUCT(("SUP_WSTBIO"=[1]OUT_SyntheticFuels!$C$4:$C$1000)*1,("var_ncap"=[1]OUT_SyntheticFuels!$B$4:$B$1000)*1,[1]OUT_SyntheticFuels!I$4:I$1000)</f>
        <v>0.11685389938525199</v>
      </c>
      <c r="K2330" s="7" cm="1">
        <f t="array" ref="K2330">SUMPRODUCT(("SUP_WSTBIO"=[1]OUT_SyntheticFuels!$C$4:$C$1000)*1,("var_ncap"=[1]OUT_SyntheticFuels!$B$4:$B$1000)*1,[1]OUT_SyntheticFuels!J$4:J$1000)</f>
        <v>1.6444164041340099E-2</v>
      </c>
      <c r="L2330" s="7" cm="1">
        <f t="array" ref="L2330">SUMPRODUCT(("SUP_WSTBIO"=[1]OUT_SyntheticFuels!$C$4:$C$1000)*1,("var_ncap"=[1]OUT_SyntheticFuels!$B$4:$B$1000)*1,[1]OUT_SyntheticFuels!K$4:K$1000)</f>
        <v>0.16514386111792101</v>
      </c>
      <c r="M2330" s="7" cm="1">
        <f t="array" ref="M2330">SUMPRODUCT(("SUP_WSTBIO"=[1]OUT_SyntheticFuels!$C$4:$C$1000)*1,("var_ncap"=[1]OUT_SyntheticFuels!$B$4:$B$1000)*1,[1]OUT_SyntheticFuels!L$4:L$1000)</f>
        <v>7.3469982128026398E-2</v>
      </c>
      <c r="N2330" s="7" cm="1">
        <f t="array" ref="N2330">SUMPRODUCT(("SUP_WSTBIO"=[1]OUT_SyntheticFuels!$C$4:$C$1000)*1,("var_ncap"=[1]OUT_SyntheticFuels!$B$4:$B$1000)*1,[1]OUT_SyntheticFuels!M$4:M$1000)</f>
        <v>0.100962426853686</v>
      </c>
      <c r="O2330" s="7" cm="1">
        <f t="array" ref="O2330">SUMPRODUCT(("SUP_WSTBIO"=[1]OUT_SyntheticFuels!$C$4:$C$1000)*1,("var_ncap"=[1]OUT_SyntheticFuels!$B$4:$B$1000)*1,[1]OUT_SyntheticFuels!N$4:N$1000)</f>
        <v>4.97777302596112E-2</v>
      </c>
      <c r="P2330" s="7" cm="1">
        <f t="array" ref="P2330">SUMPRODUCT(("SUP_WSTBIO"=[1]OUT_SyntheticFuels!$C$4:$C$1000)*1,("var_ncap"=[1]OUT_SyntheticFuels!$B$4:$B$1000)*1,[1]OUT_SyntheticFuels!O$4:O$1000)</f>
        <v>0.16515765096561399</v>
      </c>
      <c r="Q2330" s="7" cm="1">
        <f t="array" ref="Q2330">SUMPRODUCT(("SUP_WSTBIO"=[1]OUT_SyntheticFuels!$C$4:$C$1000)*1,("var_ncap"=[1]OUT_SyntheticFuels!$B$4:$B$1000)*1,[1]OUT_SyntheticFuels!P$4:P$1000)</f>
        <v>7.3477613944125997E-2</v>
      </c>
      <c r="S2330" s="3"/>
    </row>
    <row r="2331" spans="2:19" x14ac:dyDescent="0.5">
      <c r="B2331" s="5" t="str">
        <f t="shared" si="2319"/>
        <v>SPS1</v>
      </c>
      <c r="C2331" s="5" t="str">
        <f t="shared" si="2320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M2331" s="7" cm="1">
        <f t="array" ref="M2331">SUMPRODUCT(("SUP_WSTBIOCCS"=[1]OUT_SyntheticFuels!$C$4:$C$1000)*1,("var_ncap"=[1]OUT_SyntheticFuels!$B$4:$B$1000)*1,[1]OUT_SyntheticFuels!L$4:L$1000)</f>
        <v>0</v>
      </c>
      <c r="N2331" s="7" cm="1">
        <f t="array" ref="N2331">SUMPRODUCT(("SUP_WSTBIOCCS"=[1]OUT_SyntheticFuels!$C$4:$C$1000)*1,("var_ncap"=[1]OUT_SyntheticFuels!$B$4:$B$1000)*1,[1]OUT_SyntheticFuels!M$4:M$1000)</f>
        <v>0</v>
      </c>
      <c r="O2331" s="7" cm="1">
        <f t="array" ref="O2331">SUMPRODUCT(("SUP_WSTBIOCCS"=[1]OUT_SyntheticFuels!$C$4:$C$1000)*1,("var_ncap"=[1]OUT_SyntheticFuels!$B$4:$B$1000)*1,[1]OUT_SyntheticFuels!N$4:N$1000)</f>
        <v>0</v>
      </c>
      <c r="P2331" s="7" cm="1">
        <f t="array" ref="P2331">SUMPRODUCT(("SUP_WSTBIOCCS"=[1]OUT_SyntheticFuels!$C$4:$C$1000)*1,("var_ncap"=[1]OUT_SyntheticFuels!$B$4:$B$1000)*1,[1]OUT_SyntheticFuels!O$4:O$1000)</f>
        <v>0</v>
      </c>
      <c r="Q2331" s="7" cm="1">
        <f t="array" ref="Q2331">SUMPRODUCT(("SUP_WSTBIOCCS"=[1]OUT_SyntheticFuels!$C$4:$C$1000)*1,("var_ncap"=[1]OUT_SyntheticFuels!$B$4:$B$1000)*1,[1]OUT_SyntheticFuels!P$4:P$1000)</f>
        <v>0</v>
      </c>
      <c r="S2331" s="3"/>
    </row>
    <row r="2332" spans="2:19" x14ac:dyDescent="0.5">
      <c r="B2332" s="5" t="str">
        <f t="shared" si="2319"/>
        <v>SPS1</v>
      </c>
      <c r="C2332" s="5" t="str">
        <f t="shared" si="2320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2.3346501258847699E-5</v>
      </c>
      <c r="L2332" s="7" cm="1">
        <f t="array" ref="L2332">SUMPRODUCT(("SUP_WSTHTGBIO"=[1]OUT_SyntheticFuels!$C$4:$C$1000)*1,("var_ncap"=[1]OUT_SyntheticFuels!$B$4:$B$1000)*1,[1]OUT_SyntheticFuels!K$4:K$1000)</f>
        <v>3.9305390346510996E-6</v>
      </c>
      <c r="M2332" s="7" cm="1">
        <f t="array" ref="M2332">SUMPRODUCT(("SUP_WSTHTGBIO"=[1]OUT_SyntheticFuels!$C$4:$C$1000)*1,("var_ncap"=[1]OUT_SyntheticFuels!$B$4:$B$1000)*1,[1]OUT_SyntheticFuels!L$4:L$1000)</f>
        <v>5.81560099537129E-5</v>
      </c>
      <c r="N2332" s="7" cm="1">
        <f t="array" ref="N2332">SUMPRODUCT(("SUP_WSTHTGBIO"=[1]OUT_SyntheticFuels!$C$4:$C$1000)*1,("var_ncap"=[1]OUT_SyntheticFuels!$B$4:$B$1000)*1,[1]OUT_SyntheticFuels!M$4:M$1000)</f>
        <v>3.1246127054470998E-7</v>
      </c>
      <c r="O2332" s="7" cm="1">
        <f t="array" ref="O2332">SUMPRODUCT(("SUP_WSTHTGBIO"=[1]OUT_SyntheticFuels!$C$4:$C$1000)*1,("var_ncap"=[1]OUT_SyntheticFuels!$B$4:$B$1000)*1,[1]OUT_SyntheticFuels!N$4:N$1000)</f>
        <v>7.2397295778803998E-7</v>
      </c>
      <c r="P2332" s="7" cm="1">
        <f t="array" ref="P2332">SUMPRODUCT(("SUP_WSTHTGBIO"=[1]OUT_SyntheticFuels!$C$4:$C$1000)*1,("var_ncap"=[1]OUT_SyntheticFuels!$B$4:$B$1000)*1,[1]OUT_SyntheticFuels!O$4:O$1000)</f>
        <v>4.4274167269253899E-7</v>
      </c>
      <c r="Q2332" s="7" cm="1">
        <f t="array" ref="Q2332">SUMPRODUCT(("SUP_WSTHTGBIO"=[1]OUT_SyntheticFuels!$C$4:$C$1000)*1,("var_ncap"=[1]OUT_SyntheticFuels!$B$4:$B$1000)*1,[1]OUT_SyntheticFuels!P$4:P$1000)</f>
        <v>8.4431047298706705E-5</v>
      </c>
      <c r="S2332" s="3"/>
    </row>
    <row r="2333" spans="2:19" x14ac:dyDescent="0.5">
      <c r="B2333" s="5" t="str">
        <f t="shared" si="2319"/>
        <v>SPS1</v>
      </c>
      <c r="C2333" s="5" t="str">
        <f t="shared" si="2320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7.5011119197296602E-6</v>
      </c>
      <c r="L2333" s="7" cm="1">
        <f t="array" ref="L2333">SUMPRODUCT(("SUP_WSTHTGBIOCCS"=[1]OUT_SyntheticFuels!$C$4:$C$1000)*1,("var_ncap"=[1]OUT_SyntheticFuels!$B$4:$B$1000)*1,[1]OUT_SyntheticFuels!K$4:K$1000)</f>
        <v>8.4695144367619703E-7</v>
      </c>
      <c r="M2333" s="7" cm="1">
        <f t="array" ref="M2333">SUMPRODUCT(("SUP_WSTHTGBIOCCS"=[1]OUT_SyntheticFuels!$C$4:$C$1000)*1,("var_ncap"=[1]OUT_SyntheticFuels!$B$4:$B$1000)*1,[1]OUT_SyntheticFuels!L$4:L$1000)</f>
        <v>2.87793703360854E-5</v>
      </c>
      <c r="N2333" s="7" cm="1">
        <f t="array" ref="N2333">SUMPRODUCT(("SUP_WSTHTGBIOCCS"=[1]OUT_SyntheticFuels!$C$4:$C$1000)*1,("var_ncap"=[1]OUT_SyntheticFuels!$B$4:$B$1000)*1,[1]OUT_SyntheticFuels!M$4:M$1000)</f>
        <v>5.1191321911045899E-8</v>
      </c>
      <c r="O2333" s="7" cm="1">
        <f t="array" ref="O2333">SUMPRODUCT(("SUP_WSTHTGBIOCCS"=[1]OUT_SyntheticFuels!$C$4:$C$1000)*1,("var_ncap"=[1]OUT_SyntheticFuels!$B$4:$B$1000)*1,[1]OUT_SyntheticFuels!N$4:N$1000)</f>
        <v>2.9458740663385101E-7</v>
      </c>
      <c r="P2333" s="7" cm="1">
        <f t="array" ref="P2333">SUMPRODUCT(("SUP_WSTHTGBIOCCS"=[1]OUT_SyntheticFuels!$C$4:$C$1000)*1,("var_ncap"=[1]OUT_SyntheticFuels!$B$4:$B$1000)*1,[1]OUT_SyntheticFuels!O$4:O$1000)</f>
        <v>4.1915650367356502E-7</v>
      </c>
      <c r="Q2333" s="7" cm="1">
        <f t="array" ref="Q2333">SUMPRODUCT(("SUP_WSTHTGBIOCCS"=[1]OUT_SyntheticFuels!$C$4:$C$1000)*1,("var_ncap"=[1]OUT_SyntheticFuels!$B$4:$B$1000)*1,[1]OUT_SyntheticFuels!P$4:P$1000)</f>
        <v>3.3207939435262901E-5</v>
      </c>
      <c r="S2333" s="3"/>
    </row>
    <row r="2334" spans="2:19" x14ac:dyDescent="0.5">
      <c r="B2334" s="5" t="str">
        <f t="shared" si="2319"/>
        <v>SPS1</v>
      </c>
      <c r="C2334" s="5" t="str">
        <f t="shared" si="2320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6.0626722242566997E-7</v>
      </c>
      <c r="G2334" s="7" cm="1">
        <f t="array" ref="G2334">SUMPRODUCT(("SUP_WODBIO"=[1]OUT_SyntheticFuels!$C$4:$C$1000)*1,("var_ncap"=[1]OUT_SyntheticFuels!$B$4:$B$1000)*1,[1]OUT_SyntheticFuels!F$4:F$1000)</f>
        <v>1.87680351899114E-5</v>
      </c>
      <c r="H2334" s="7" cm="1">
        <f t="array" ref="H2334">SUMPRODUCT(("SUP_WODBIO"=[1]OUT_SyntheticFuels!$C$4:$C$1000)*1,("var_ncap"=[1]OUT_SyntheticFuels!$B$4:$B$1000)*1,[1]OUT_SyntheticFuels!G$4:G$1000)</f>
        <v>2.7275709089576401E-6</v>
      </c>
      <c r="I2334" s="7" cm="1">
        <f t="array" ref="I2334">SUMPRODUCT(("SUP_WODBIO"=[1]OUT_SyntheticFuels!$C$4:$C$1000)*1,("var_ncap"=[1]OUT_SyntheticFuels!$B$4:$B$1000)*1,[1]OUT_SyntheticFuels!H$4:H$1000)</f>
        <v>2.9748478958636499E-5</v>
      </c>
      <c r="J2334" s="7" cm="1">
        <f t="array" ref="J2334">SUMPRODUCT(("SUP_WODBIO"=[1]OUT_SyntheticFuels!$C$4:$C$1000)*1,("var_ncap"=[1]OUT_SyntheticFuels!$B$4:$B$1000)*1,[1]OUT_SyntheticFuels!I$4:I$1000)</f>
        <v>6.3993639652523401E-6</v>
      </c>
      <c r="K2334" s="7" cm="1">
        <f t="array" ref="K2334">SUMPRODUCT(("SUP_WODBIO"=[1]OUT_SyntheticFuels!$C$4:$C$1000)*1,("var_ncap"=[1]OUT_SyntheticFuels!$B$4:$B$1000)*1,[1]OUT_SyntheticFuels!J$4:J$1000)</f>
        <v>7.3066721337174203E-7</v>
      </c>
      <c r="L2334" s="7" cm="1">
        <f t="array" ref="L2334">SUMPRODUCT(("SUP_WODBIO"=[1]OUT_SyntheticFuels!$C$4:$C$1000)*1,("var_ncap"=[1]OUT_SyntheticFuels!$B$4:$B$1000)*1,[1]OUT_SyntheticFuels!K$4:K$1000)</f>
        <v>1.2798835468103899E-5</v>
      </c>
      <c r="M2334" s="7" cm="1">
        <f t="array" ref="M2334">SUMPRODUCT(("SUP_WODBIO"=[1]OUT_SyntheticFuels!$C$4:$C$1000)*1,("var_ncap"=[1]OUT_SyntheticFuels!$B$4:$B$1000)*1,[1]OUT_SyntheticFuels!L$4:L$1000)</f>
        <v>1.2749214443285601E-5</v>
      </c>
      <c r="N2334" s="7" cm="1">
        <f t="array" ref="N2334">SUMPRODUCT(("SUP_WODBIO"=[1]OUT_SyntheticFuels!$C$4:$C$1000)*1,("var_ncap"=[1]OUT_SyntheticFuels!$B$4:$B$1000)*1,[1]OUT_SyntheticFuels!M$4:M$1000)</f>
        <v>1.2175540846119901E-6</v>
      </c>
      <c r="O2334" s="7" cm="1">
        <f t="array" ref="O2334">SUMPRODUCT(("SUP_WODBIO"=[1]OUT_SyntheticFuels!$C$4:$C$1000)*1,("var_ncap"=[1]OUT_SyntheticFuels!$B$4:$B$1000)*1,[1]OUT_SyntheticFuels!N$4:N$1000)</f>
        <v>1.9735160103832E-5</v>
      </c>
      <c r="P2334" s="7" cm="1">
        <f t="array" ref="P2334">SUMPRODUCT(("SUP_WODBIO"=[1]OUT_SyntheticFuels!$C$4:$C$1000)*1,("var_ncap"=[1]OUT_SyntheticFuels!$B$4:$B$1000)*1,[1]OUT_SyntheticFuels!O$4:O$1000)</f>
        <v>4.41689136095026E-6</v>
      </c>
      <c r="Q2334" s="7" cm="1">
        <f t="array" ref="Q2334">SUMPRODUCT(("SUP_WODBIO"=[1]OUT_SyntheticFuels!$C$4:$C$1000)*1,("var_ncap"=[1]OUT_SyntheticFuels!$B$4:$B$1000)*1,[1]OUT_SyntheticFuels!P$4:P$1000)</f>
        <v>6.4918215583447596E-5</v>
      </c>
      <c r="S2334" s="3"/>
    </row>
    <row r="2335" spans="2:19" x14ac:dyDescent="0.5">
      <c r="B2335" s="5" t="str">
        <f t="shared" si="2319"/>
        <v>SPS1</v>
      </c>
      <c r="C2335" s="5" t="str">
        <f t="shared" si="2320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1.9988291048735201E-5</v>
      </c>
      <c r="L2335" s="7" cm="1">
        <f t="array" ref="L2335">SUMPRODUCT(("SUP_WODBIOCCS"=[1]OUT_SyntheticFuels!$C$4:$C$1000)*1,("var_ncap"=[1]OUT_SyntheticFuels!$B$4:$B$1000)*1,[1]OUT_SyntheticFuels!K$4:K$1000)</f>
        <v>4.2327372091938002E-6</v>
      </c>
      <c r="M2335" s="7" cm="1">
        <f t="array" ref="M2335">SUMPRODUCT(("SUP_WODBIOCCS"=[1]OUT_SyntheticFuels!$C$4:$C$1000)*1,("var_ncap"=[1]OUT_SyntheticFuels!$B$4:$B$1000)*1,[1]OUT_SyntheticFuels!L$4:L$1000)</f>
        <v>2.3142485494736599E-5</v>
      </c>
      <c r="N2335" s="7" cm="1">
        <f t="array" ref="N2335">SUMPRODUCT(("SUP_WODBIOCCS"=[1]OUT_SyntheticFuels!$C$4:$C$1000)*1,("var_ncap"=[1]OUT_SyntheticFuels!$B$4:$B$1000)*1,[1]OUT_SyntheticFuels!M$4:M$1000)</f>
        <v>1.0665455896379501E-7</v>
      </c>
      <c r="O2335" s="7" cm="1">
        <f t="array" ref="O2335">SUMPRODUCT(("SUP_WODBIOCCS"=[1]OUT_SyntheticFuels!$C$4:$C$1000)*1,("var_ncap"=[1]OUT_SyntheticFuels!$B$4:$B$1000)*1,[1]OUT_SyntheticFuels!N$4:N$1000)</f>
        <v>2.0815050110267E-5</v>
      </c>
      <c r="P2335" s="7" cm="1">
        <f t="array" ref="P2335">SUMPRODUCT(("SUP_WODBIOCCS"=[1]OUT_SyntheticFuels!$C$4:$C$1000)*1,("var_ncap"=[1]OUT_SyntheticFuels!$B$4:$B$1000)*1,[1]OUT_SyntheticFuels!O$4:O$1000)</f>
        <v>9.9651360064104798E-7</v>
      </c>
      <c r="Q2335" s="7" cm="1">
        <f t="array" ref="Q2335">SUMPRODUCT(("SUP_WODBIOCCS"=[1]OUT_SyntheticFuels!$C$4:$C$1000)*1,("var_ncap"=[1]OUT_SyntheticFuels!$B$4:$B$1000)*1,[1]OUT_SyntheticFuels!P$4:P$1000)</f>
        <v>5.5639843047456999E-5</v>
      </c>
      <c r="S2335" s="3"/>
    </row>
    <row r="2336" spans="2:19" x14ac:dyDescent="0.5">
      <c r="B2336" s="5" t="str">
        <f t="shared" si="2319"/>
        <v>SPS1</v>
      </c>
      <c r="C2336" s="5" t="str">
        <f t="shared" si="2320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1.43823068282355E-2</v>
      </c>
      <c r="G2336" s="7" cm="1">
        <f t="array" ref="G2336">SUMPRODUCT(("SUP_BIONGA"=[1]OUT_SyntheticFuels!$C$4:$C$1000)*1,("var_ncap"=[1]OUT_SyntheticFuels!$B$4:$B$1000)*1,[1]OUT_SyntheticFuels!F$4:F$1000)</f>
        <v>8.3261679468337998E-2</v>
      </c>
      <c r="H2336" s="7" cm="1">
        <f t="array" ref="H2336">SUMPRODUCT(("SUP_BIONGA"=[1]OUT_SyntheticFuels!$C$4:$C$1000)*1,("var_ncap"=[1]OUT_SyntheticFuels!$B$4:$B$1000)*1,[1]OUT_SyntheticFuels!G$4:G$1000)</f>
        <v>2.2223097019553199E-7</v>
      </c>
      <c r="I2336" s="7" cm="1">
        <f t="array" ref="I2336">SUMPRODUCT(("SUP_BIONGA"=[1]OUT_SyntheticFuels!$C$4:$C$1000)*1,("var_ncap"=[1]OUT_SyntheticFuels!$B$4:$B$1000)*1,[1]OUT_SyntheticFuels!H$4:H$1000)</f>
        <v>2.1666881075732101E-7</v>
      </c>
      <c r="J2336" s="7" cm="1">
        <f t="array" ref="J2336">SUMPRODUCT(("SUP_BIONGA"=[1]OUT_SyntheticFuels!$C$4:$C$1000)*1,("var_ncap"=[1]OUT_SyntheticFuels!$B$4:$B$1000)*1,[1]OUT_SyntheticFuels!I$4:I$1000)</f>
        <v>1.15819626400175E-6</v>
      </c>
      <c r="K2336" s="7" cm="1">
        <f t="array" ref="K2336">SUMPRODUCT(("SUP_BIONGA"=[1]OUT_SyntheticFuels!$C$4:$C$1000)*1,("var_ncap"=[1]OUT_SyntheticFuels!$B$4:$B$1000)*1,[1]OUT_SyntheticFuels!J$4:J$1000)</f>
        <v>3.4872658285528699E-2</v>
      </c>
      <c r="L2336" s="7" cm="1">
        <f t="array" ref="L2336">SUMPRODUCT(("SUP_BIONGA"=[1]OUT_SyntheticFuels!$C$4:$C$1000)*1,("var_ncap"=[1]OUT_SyntheticFuels!$B$4:$B$1000)*1,[1]OUT_SyntheticFuels!K$4:K$1000)</f>
        <v>5.7080494862807897E-2</v>
      </c>
      <c r="M2336" s="7" cm="1">
        <f t="array" ref="M2336">SUMPRODUCT(("SUP_BIONGA"=[1]OUT_SyntheticFuels!$C$4:$C$1000)*1,("var_ncap"=[1]OUT_SyntheticFuels!$B$4:$B$1000)*1,[1]OUT_SyntheticFuels!L$4:L$1000)</f>
        <v>7.9501193179728397E-2</v>
      </c>
      <c r="N2336" s="7" cm="1">
        <f t="array" ref="N2336">SUMPRODUCT(("SUP_BIONGA"=[1]OUT_SyntheticFuels!$C$4:$C$1000)*1,("var_ncap"=[1]OUT_SyntheticFuels!$B$4:$B$1000)*1,[1]OUT_SyntheticFuels!M$4:M$1000)</f>
        <v>0.11552973322585899</v>
      </c>
      <c r="O2336" s="7" cm="1">
        <f t="array" ref="O2336">SUMPRODUCT(("SUP_BIONGA"=[1]OUT_SyntheticFuels!$C$4:$C$1000)*1,("var_ncap"=[1]OUT_SyntheticFuels!$B$4:$B$1000)*1,[1]OUT_SyntheticFuels!N$4:N$1000)</f>
        <v>3.02574101558396E-2</v>
      </c>
      <c r="P2336" s="7" cm="1">
        <f t="array" ref="P2336">SUMPRODUCT(("SUP_BIONGA"=[1]OUT_SyntheticFuels!$C$4:$C$1000)*1,("var_ncap"=[1]OUT_SyntheticFuels!$B$4:$B$1000)*1,[1]OUT_SyntheticFuels!O$4:O$1000)</f>
        <v>5.7086868268375002E-2</v>
      </c>
      <c r="Q2336" s="7" cm="1">
        <f t="array" ref="Q2336">SUMPRODUCT(("SUP_BIONGA"=[1]OUT_SyntheticFuels!$C$4:$C$1000)*1,("var_ncap"=[1]OUT_SyntheticFuels!$B$4:$B$1000)*1,[1]OUT_SyntheticFuels!P$4:P$1000)</f>
        <v>7.9543746825010406E-2</v>
      </c>
      <c r="S2336" s="3"/>
    </row>
    <row r="2337" spans="2:19" x14ac:dyDescent="0.5">
      <c r="B2337" s="5" t="str">
        <f t="shared" si="2319"/>
        <v>SPS1</v>
      </c>
      <c r="C2337" s="5" t="str">
        <f t="shared" si="2320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0.161257992684774</v>
      </c>
      <c r="G2337" s="7" cm="1">
        <f t="array" ref="G2337">SUMPRODUCT(("CT_CWODPLT"=[1]OUT_SyntheticFuels!$C$4:$C$1000)*1,("var_ncap"=[1]OUT_SyntheticFuels!$B$4:$B$1000)*1,[1]OUT_SyntheticFuels!F$4:F$1000)</f>
        <v>4.6317196218040098E-2</v>
      </c>
      <c r="H2337" s="7" cm="1">
        <f t="array" ref="H2337">SUMPRODUCT(("CT_CWODPLT"=[1]OUT_SyntheticFuels!$C$4:$C$1000)*1,("var_ncap"=[1]OUT_SyntheticFuels!$B$4:$B$1000)*1,[1]OUT_SyntheticFuels!G$4:G$1000)</f>
        <v>1.79449010306638E-6</v>
      </c>
      <c r="I2337" s="7" cm="1">
        <f t="array" ref="I2337">SUMPRODUCT(("CT_CWODPLT"=[1]OUT_SyntheticFuels!$C$4:$C$1000)*1,("var_ncap"=[1]OUT_SyntheticFuels!$B$4:$B$1000)*1,[1]OUT_SyntheticFuels!H$4:H$1000)</f>
        <v>3.0474422541675499E-6</v>
      </c>
      <c r="J2337" s="7" cm="1">
        <f t="array" ref="J2337">SUMPRODUCT(("CT_CWODPLT"=[1]OUT_SyntheticFuels!$C$4:$C$1000)*1,("var_ncap"=[1]OUT_SyntheticFuels!$B$4:$B$1000)*1,[1]OUT_SyntheticFuels!I$4:I$1000)</f>
        <v>0.17004407567148699</v>
      </c>
      <c r="K2337" s="7" cm="1">
        <f t="array" ref="K2337">SUMPRODUCT(("CT_CWODPLT"=[1]OUT_SyntheticFuels!$C$4:$C$1000)*1,("var_ncap"=[1]OUT_SyntheticFuels!$B$4:$B$1000)*1,[1]OUT_SyntheticFuels!J$4:J$1000)</f>
        <v>0.191888023741659</v>
      </c>
      <c r="L2337" s="7" cm="1">
        <f t="array" ref="L2337">SUMPRODUCT(("CT_CWODPLT"=[1]OUT_SyntheticFuels!$C$4:$C$1000)*1,("var_ncap"=[1]OUT_SyntheticFuels!$B$4:$B$1000)*1,[1]OUT_SyntheticFuels!K$4:K$1000)</f>
        <v>9.5373231397949398E-2</v>
      </c>
      <c r="M2337" s="7" cm="1">
        <f t="array" ref="M2337">SUMPRODUCT(("CT_CWODPLT"=[1]OUT_SyntheticFuels!$C$4:$C$1000)*1,("var_ncap"=[1]OUT_SyntheticFuels!$B$4:$B$1000)*1,[1]OUT_SyntheticFuels!L$4:L$1000)</f>
        <v>1.40314300076458E-5</v>
      </c>
      <c r="N2337" s="7" cm="1">
        <f t="array" ref="N2337">SUMPRODUCT(("CT_CWODPLT"=[1]OUT_SyntheticFuels!$C$4:$C$1000)*1,("var_ncap"=[1]OUT_SyntheticFuels!$B$4:$B$1000)*1,[1]OUT_SyntheticFuels!M$4:M$1000)</f>
        <v>0.128960009061243</v>
      </c>
      <c r="O2337" s="7" cm="1">
        <f t="array" ref="O2337">SUMPRODUCT(("CT_CWODPLT"=[1]OUT_SyntheticFuels!$C$4:$C$1000)*1,("var_ncap"=[1]OUT_SyntheticFuels!$B$4:$B$1000)*1,[1]OUT_SyntheticFuels!N$4:N$1000)</f>
        <v>0.23162128533493501</v>
      </c>
      <c r="P2337" s="7" cm="1">
        <f t="array" ref="P2337">SUMPRODUCT(("CT_CWODPLT"=[1]OUT_SyntheticFuels!$C$4:$C$1000)*1,("var_ncap"=[1]OUT_SyntheticFuels!$B$4:$B$1000)*1,[1]OUT_SyntheticFuels!O$4:O$1000)</f>
        <v>8.9247399300783306E-2</v>
      </c>
      <c r="Q2337" s="7" cm="1">
        <f t="array" ref="Q2337">SUMPRODUCT(("CT_CWODPLT"=[1]OUT_SyntheticFuels!$C$4:$C$1000)*1,("var_ncap"=[1]OUT_SyntheticFuels!$B$4:$B$1000)*1,[1]OUT_SyntheticFuels!P$4:P$1000)</f>
        <v>1.04714702247746E-5</v>
      </c>
      <c r="S2337" s="3"/>
    </row>
    <row r="2338" spans="2:19" x14ac:dyDescent="0.5">
      <c r="B2338" s="5" t="str">
        <f t="shared" si="2319"/>
        <v>SPS1</v>
      </c>
      <c r="C2338" s="5" t="str">
        <f t="shared" si="2320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5.2706952082980205E-7</v>
      </c>
      <c r="J2338" s="7" cm="1">
        <f t="array" ref="J2338">SUMPRODUCT(("SUP_H2NGA"=[1]OUT_SyntheticFuels!$C$4:$C$1000)*1,("var_ncap"=[1]OUT_SyntheticFuels!$B$4:$B$1000)*1,[1]OUT_SyntheticFuels!I$4:I$1000)</f>
        <v>1.87671752867249E-6</v>
      </c>
      <c r="K2338" s="7" cm="1">
        <f t="array" ref="K2338">SUMPRODUCT(("SUP_H2NGA"=[1]OUT_SyntheticFuels!$C$4:$C$1000)*1,("var_ncap"=[1]OUT_SyntheticFuels!$B$4:$B$1000)*1,[1]OUT_SyntheticFuels!J$4:J$1000)</f>
        <v>1.04958275185342E-4</v>
      </c>
      <c r="L2338" s="7" cm="1">
        <f t="array" ref="L2338">SUMPRODUCT(("SUP_H2NGA"=[1]OUT_SyntheticFuels!$C$4:$C$1000)*1,("var_ncap"=[1]OUT_SyntheticFuels!$B$4:$B$1000)*1,[1]OUT_SyntheticFuels!K$4:K$1000)</f>
        <v>6.3165586987045998E-6</v>
      </c>
      <c r="M2338" s="7" cm="1">
        <f t="array" ref="M2338">SUMPRODUCT(("SUP_H2NGA"=[1]OUT_SyntheticFuels!$C$4:$C$1000)*1,("var_ncap"=[1]OUT_SyntheticFuels!$B$4:$B$1000)*1,[1]OUT_SyntheticFuels!L$4:L$1000)</f>
        <v>5.2687461804044296E-3</v>
      </c>
      <c r="N2338" s="7" cm="1">
        <f t="array" ref="N2338">SUMPRODUCT(("SUP_H2NGA"=[1]OUT_SyntheticFuels!$C$4:$C$1000)*1,("var_ncap"=[1]OUT_SyntheticFuels!$B$4:$B$1000)*1,[1]OUT_SyntheticFuels!M$4:M$1000)</f>
        <v>0.16383842571173499</v>
      </c>
      <c r="O2338" s="7" cm="1">
        <f t="array" ref="O2338">SUMPRODUCT(("SUP_H2NGA"=[1]OUT_SyntheticFuels!$C$4:$C$1000)*1,("var_ncap"=[1]OUT_SyntheticFuels!$B$4:$B$1000)*1,[1]OUT_SyntheticFuels!N$4:N$1000)</f>
        <v>0.13935466135730301</v>
      </c>
      <c r="P2338" s="7" cm="1">
        <f t="array" ref="P2338">SUMPRODUCT(("SUP_H2NGA"=[1]OUT_SyntheticFuels!$C$4:$C$1000)*1,("var_ncap"=[1]OUT_SyntheticFuels!$B$4:$B$1000)*1,[1]OUT_SyntheticFuels!O$4:O$1000)</f>
        <v>5.3490959033180602E-2</v>
      </c>
      <c r="Q2338" s="7" cm="1">
        <f t="array" ref="Q2338">SUMPRODUCT(("SUP_H2NGA"=[1]OUT_SyntheticFuels!$C$4:$C$1000)*1,("var_ncap"=[1]OUT_SyntheticFuels!$B$4:$B$1000)*1,[1]OUT_SyntheticFuels!P$4:P$1000)</f>
        <v>1.1503993014344099E-2</v>
      </c>
      <c r="S2338" s="3"/>
    </row>
    <row r="2339" spans="2:19" x14ac:dyDescent="0.5">
      <c r="B2339" s="5" t="str">
        <f t="shared" si="2319"/>
        <v>SPS1</v>
      </c>
      <c r="C2339" s="5" t="str">
        <f t="shared" si="2320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9.4680395690331398E-7</v>
      </c>
      <c r="J2339" s="7" cm="1">
        <f t="array" ref="J2339">SUMPRODUCT(("SUP_H2DSL"=[1]OUT_SyntheticFuels!$C$4:$C$1000)*1,("var_ncap"=[1]OUT_SyntheticFuels!$B$4:$B$1000)*1,[1]OUT_SyntheticFuels!I$4:I$1000)</f>
        <v>4.8404033741506499E-6</v>
      </c>
      <c r="K2339" s="7" cm="1">
        <f t="array" ref="K2339">SUMPRODUCT(("SUP_H2DSL"=[1]OUT_SyntheticFuels!$C$4:$C$1000)*1,("var_ncap"=[1]OUT_SyntheticFuels!$B$4:$B$1000)*1,[1]OUT_SyntheticFuels!J$4:J$1000)</f>
        <v>4.6312457368351799E-4</v>
      </c>
      <c r="L2339" s="7" cm="1">
        <f t="array" ref="L2339">SUMPRODUCT(("SUP_H2DSL"=[1]OUT_SyntheticFuels!$C$4:$C$1000)*1,("var_ncap"=[1]OUT_SyntheticFuels!$B$4:$B$1000)*1,[1]OUT_SyntheticFuels!K$4:K$1000)</f>
        <v>3.2638808024077301E-6</v>
      </c>
      <c r="M2339" s="7" cm="1">
        <f t="array" ref="M2339">SUMPRODUCT(("SUP_H2DSL"=[1]OUT_SyntheticFuels!$C$4:$C$1000)*1,("var_ncap"=[1]OUT_SyntheticFuels!$B$4:$B$1000)*1,[1]OUT_SyntheticFuels!L$4:L$1000)</f>
        <v>5.8655474085713204E-6</v>
      </c>
      <c r="N2339" s="7" cm="1">
        <f t="array" ref="N2339">SUMPRODUCT(("SUP_H2DSL"=[1]OUT_SyntheticFuels!$C$4:$C$1000)*1,("var_ncap"=[1]OUT_SyntheticFuels!$B$4:$B$1000)*1,[1]OUT_SyntheticFuels!M$4:M$1000)</f>
        <v>4.4388131832894403E-6</v>
      </c>
      <c r="O2339" s="7" cm="1">
        <f t="array" ref="O2339">SUMPRODUCT(("SUP_H2DSL"=[1]OUT_SyntheticFuels!$C$4:$C$1000)*1,("var_ncap"=[1]OUT_SyntheticFuels!$B$4:$B$1000)*1,[1]OUT_SyntheticFuels!N$4:N$1000)</f>
        <v>3.2935417847280302E-4</v>
      </c>
      <c r="P2339" s="7" cm="1">
        <f t="array" ref="P2339">SUMPRODUCT(("SUP_H2DSL"=[1]OUT_SyntheticFuels!$C$4:$C$1000)*1,("var_ncap"=[1]OUT_SyntheticFuels!$B$4:$B$1000)*1,[1]OUT_SyntheticFuels!O$4:O$1000)</f>
        <v>5.3795720363232099E-6</v>
      </c>
      <c r="Q2339" s="7" cm="1">
        <f t="array" ref="Q2339">SUMPRODUCT(("SUP_H2DSL"=[1]OUT_SyntheticFuels!$C$4:$C$1000)*1,("var_ncap"=[1]OUT_SyntheticFuels!$B$4:$B$1000)*1,[1]OUT_SyntheticFuels!P$4:P$1000)</f>
        <v>3.1781408812586802E-4</v>
      </c>
      <c r="S2339" s="3"/>
    </row>
    <row r="2340" spans="2:19" x14ac:dyDescent="0.5">
      <c r="B2340" s="5" t="str">
        <f t="shared" si="2319"/>
        <v>SPS1</v>
      </c>
      <c r="C2340" s="5" t="str">
        <f t="shared" si="2320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5.4391041733809403E-7</v>
      </c>
      <c r="J2340" s="7" cm="1">
        <f t="array" ref="J2340">SUMPRODUCT(("SUP_H2GSL"=[1]OUT_SyntheticFuels!$C$4:$C$1000)*1,("var_ncap"=[1]OUT_SyntheticFuels!$B$4:$B$1000)*1,[1]OUT_SyntheticFuels!I$4:I$1000)</f>
        <v>4.5868797762921497E-6</v>
      </c>
      <c r="K2340" s="7" cm="1">
        <f t="array" ref="K2340">SUMPRODUCT(("SUP_H2GSL"=[1]OUT_SyntheticFuels!$C$4:$C$1000)*1,("var_ncap"=[1]OUT_SyntheticFuels!$B$4:$B$1000)*1,[1]OUT_SyntheticFuels!J$4:J$1000)</f>
        <v>3.8276496208297997E-2</v>
      </c>
      <c r="L2340" s="7" cm="1">
        <f t="array" ref="L2340">SUMPRODUCT(("SUP_H2GSL"=[1]OUT_SyntheticFuels!$C$4:$C$1000)*1,("var_ncap"=[1]OUT_SyntheticFuels!$B$4:$B$1000)*1,[1]OUT_SyntheticFuels!K$4:K$1000)</f>
        <v>3.01069284662445E-6</v>
      </c>
      <c r="M2340" s="7" cm="1">
        <f t="array" ref="M2340">SUMPRODUCT(("SUP_H2GSL"=[1]OUT_SyntheticFuels!$C$4:$C$1000)*1,("var_ncap"=[1]OUT_SyntheticFuels!$B$4:$B$1000)*1,[1]OUT_SyntheticFuels!L$4:L$1000)</f>
        <v>5.0349113078370696E-3</v>
      </c>
      <c r="N2340" s="7" cm="1">
        <f t="array" ref="N2340">SUMPRODUCT(("SUP_H2GSL"=[1]OUT_SyntheticFuels!$C$4:$C$1000)*1,("var_ncap"=[1]OUT_SyntheticFuels!$B$4:$B$1000)*1,[1]OUT_SyntheticFuels!M$4:M$1000)</f>
        <v>3.1326513365194901E-6</v>
      </c>
      <c r="O2340" s="7" cm="1">
        <f t="array" ref="O2340">SUMPRODUCT(("SUP_H2GSL"=[1]OUT_SyntheticFuels!$C$4:$C$1000)*1,("var_ncap"=[1]OUT_SyntheticFuels!$B$4:$B$1000)*1,[1]OUT_SyntheticFuels!N$4:N$1000)</f>
        <v>5.6869266814581799E-3</v>
      </c>
      <c r="P2340" s="7" cm="1">
        <f t="array" ref="P2340">SUMPRODUCT(("SUP_H2GSL"=[1]OUT_SyntheticFuels!$C$4:$C$1000)*1,("var_ncap"=[1]OUT_SyntheticFuels!$B$4:$B$1000)*1,[1]OUT_SyntheticFuels!O$4:O$1000)</f>
        <v>4.7091247174021697E-6</v>
      </c>
      <c r="Q2340" s="7" cm="1">
        <f t="array" ref="Q2340">SUMPRODUCT(("SUP_H2GSL"=[1]OUT_SyntheticFuels!$C$4:$C$1000)*1,("var_ncap"=[1]OUT_SyntheticFuels!$B$4:$B$1000)*1,[1]OUT_SyntheticFuels!P$4:P$1000)</f>
        <v>3.33446118036473E-3</v>
      </c>
      <c r="S2340" s="3"/>
    </row>
  </sheetData>
  <sortState xmlns:xlrd2="http://schemas.microsoft.com/office/spreadsheetml/2017/richdata2" ref="D1574:D1576">
    <sortCondition ref="D1574:D1576"/>
  </sortState>
  <phoneticPr fontId="3" type="noConversion"/>
  <conditionalFormatting sqref="F736:G736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Q1158">
    <cfRule type="cellIs" dxfId="1" priority="7" operator="lessThan">
      <formula>0</formula>
    </cfRule>
  </conditionalFormatting>
  <conditionalFormatting sqref="H1:Q113 S2:S2340 H131:Q1205 R224 T224 H1208:Q1343 H1346:Q1427 H1430:Q1569 H1572:Q1616 H1619:Q2340 H234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75" x14ac:dyDescent="0.5"/>
  <cols>
    <col min="2" max="2" width="36.5625" bestFit="1" customWidth="1"/>
    <col min="3" max="3" width="9.4375" bestFit="1" customWidth="1"/>
  </cols>
  <sheetData>
    <row r="2" spans="2:8" x14ac:dyDescent="0.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5">
      <c r="B3" s="2" t="s">
        <v>1719</v>
      </c>
      <c r="C3" s="3">
        <f>SUM(C4:C7)</f>
        <v>695.76464099382997</v>
      </c>
      <c r="D3" s="3">
        <f t="shared" ref="D3:H3" si="0">SUM(D4:D7)</f>
        <v>686.39188886444481</v>
      </c>
      <c r="E3" s="3">
        <f t="shared" si="0"/>
        <v>685.256354310044</v>
      </c>
      <c r="F3" s="3">
        <f t="shared" si="0"/>
        <v>627.89371596115404</v>
      </c>
      <c r="G3" s="3">
        <f t="shared" si="0"/>
        <v>584.80459278004207</v>
      </c>
      <c r="H3" s="3">
        <f t="shared" si="0"/>
        <v>563.22396564646033</v>
      </c>
    </row>
    <row r="4" spans="2:8" x14ac:dyDescent="0.5">
      <c r="B4" s="23" t="s">
        <v>1727</v>
      </c>
      <c r="C4" s="1">
        <f>'SPS1'!F763</f>
        <v>142.21738207396129</v>
      </c>
      <c r="D4" s="1">
        <f>'SPS1'!G763</f>
        <v>141.16504051406838</v>
      </c>
      <c r="E4" s="1">
        <f>'SPS1'!H763</f>
        <v>142.70091781891969</v>
      </c>
      <c r="F4" s="1">
        <f>'SPS1'!I763</f>
        <v>144.11206580556222</v>
      </c>
      <c r="G4" s="1">
        <f>'SPS1'!J763</f>
        <v>142.74664370652894</v>
      </c>
      <c r="H4" s="1">
        <f>'SPS1'!K763</f>
        <v>142.14411855701027</v>
      </c>
    </row>
    <row r="5" spans="2:8" x14ac:dyDescent="0.5">
      <c r="B5" s="23" t="s">
        <v>1728</v>
      </c>
      <c r="C5" s="1">
        <f>'SPS1'!F882</f>
        <v>140.10106782806588</v>
      </c>
      <c r="D5" s="1">
        <f>'SPS1'!G882</f>
        <v>139.80497938670564</v>
      </c>
      <c r="E5" s="1">
        <f>'SPS1'!H882</f>
        <v>142.83106126016165</v>
      </c>
      <c r="F5" s="1">
        <f>'SPS1'!I882</f>
        <v>134.87353983401917</v>
      </c>
      <c r="G5" s="1">
        <f>'SPS1'!J882</f>
        <v>132.34488139027505</v>
      </c>
      <c r="H5" s="1">
        <f>'SPS1'!K882</f>
        <v>130.85980949110188</v>
      </c>
    </row>
    <row r="6" spans="2:8" x14ac:dyDescent="0.5">
      <c r="B6" s="23" t="s">
        <v>1729</v>
      </c>
      <c r="C6" s="1">
        <f>'SPS1'!F972</f>
        <v>217.25206393385324</v>
      </c>
      <c r="D6" s="1">
        <f>'SPS1'!G972</f>
        <v>218.08061273874986</v>
      </c>
      <c r="E6" s="1">
        <f>'SPS1'!H972</f>
        <v>218.57161791369063</v>
      </c>
      <c r="F6" s="1">
        <f>'SPS1'!I972</f>
        <v>213.93241312096023</v>
      </c>
      <c r="G6" s="1">
        <f>'SPS1'!J972</f>
        <v>208.04251622106921</v>
      </c>
      <c r="H6" s="1">
        <f>'SPS1'!K972</f>
        <v>198.70824133585828</v>
      </c>
    </row>
    <row r="7" spans="2:8" x14ac:dyDescent="0.5">
      <c r="B7" s="23" t="s">
        <v>1730</v>
      </c>
      <c r="C7" s="1">
        <f>'SPS1'!F1136+'SPS1'!F1315+'SPS1'!F1399+'SPS1'!F1483+'SPS1'!F1490+'SPS1'!F1497+'SPS1'!F1546+'SPS1'!F1593+'SPS1'!F1640</f>
        <v>196.19412715794951</v>
      </c>
      <c r="D7" s="1">
        <f>'SPS1'!G1136+'SPS1'!G1315+'SPS1'!G1399+'SPS1'!G1483+'SPS1'!G1490+'SPS1'!G1497+'SPS1'!G1546+'SPS1'!G1593+'SPS1'!G1640</f>
        <v>187.34125622492095</v>
      </c>
      <c r="E7" s="1">
        <f>'SPS1'!H1136+'SPS1'!H1315+'SPS1'!H1399+'SPS1'!H1483+'SPS1'!H1490+'SPS1'!H1497+'SPS1'!H1546+'SPS1'!H1593+'SPS1'!H1640</f>
        <v>181.15275731727206</v>
      </c>
      <c r="F7" s="1">
        <f>'SPS1'!I1136+'SPS1'!I1315+'SPS1'!I1399+'SPS1'!I1483+'SPS1'!I1490+'SPS1'!I1497+'SPS1'!I1546+'SPS1'!I1593+'SPS1'!I1640</f>
        <v>134.97569720061236</v>
      </c>
      <c r="G7" s="1">
        <f>'SPS1'!J1136+'SPS1'!J1315+'SPS1'!J1399+'SPS1'!J1483+'SPS1'!J1490+'SPS1'!J1497+'SPS1'!J1546+'SPS1'!J1593+'SPS1'!J1640</f>
        <v>101.67055146216885</v>
      </c>
      <c r="H7" s="1">
        <f>'SPS1'!K1136+'SPS1'!K1315+'SPS1'!K1399+'SPS1'!K1483+'SPS1'!K1490+'SPS1'!K1497+'SPS1'!K1546+'SPS1'!K1593+'SPS1'!K1640</f>
        <v>91.511796262489923</v>
      </c>
    </row>
    <row r="8" spans="2:8" x14ac:dyDescent="0.5">
      <c r="B8" s="2" t="s">
        <v>1735</v>
      </c>
      <c r="C8" s="3">
        <f>SUM(C9:C12)</f>
        <v>509.595511523911</v>
      </c>
      <c r="D8" s="3">
        <f t="shared" ref="D8:H8" si="1">SUM(D9:D12)</f>
        <v>498.30794086748841</v>
      </c>
      <c r="E8" s="3">
        <f t="shared" si="1"/>
        <v>507.46216076057999</v>
      </c>
      <c r="F8" s="3">
        <f t="shared" si="1"/>
        <v>540.48076594802308</v>
      </c>
      <c r="G8" s="3">
        <f t="shared" si="1"/>
        <v>554.2980836221451</v>
      </c>
      <c r="H8" s="3">
        <f t="shared" si="1"/>
        <v>477.62553998583985</v>
      </c>
    </row>
    <row r="9" spans="2:8" x14ac:dyDescent="0.5">
      <c r="B9" s="23" t="s">
        <v>1732</v>
      </c>
      <c r="C9" s="1">
        <f>'SPS1'!F291+'SPS1'!F409</f>
        <v>493.29049333707042</v>
      </c>
      <c r="D9" s="1">
        <f>'SPS1'!G291+'SPS1'!G409</f>
        <v>475.91165123246174</v>
      </c>
      <c r="E9" s="1">
        <f>'SPS1'!H291+'SPS1'!H409</f>
        <v>482.58438591436664</v>
      </c>
      <c r="F9" s="1">
        <f>'SPS1'!I291+'SPS1'!I409</f>
        <v>517.30991705443205</v>
      </c>
      <c r="G9" s="1">
        <f>'SPS1'!J291+'SPS1'!J409</f>
        <v>515.73005979890763</v>
      </c>
      <c r="H9" s="1">
        <f>'SPS1'!K291+'SPS1'!K409</f>
        <v>440.02563477296155</v>
      </c>
    </row>
    <row r="10" spans="2:8" x14ac:dyDescent="0.5">
      <c r="B10" s="23" t="s">
        <v>1733</v>
      </c>
      <c r="C10" s="1">
        <f>'SPS1'!F590+'SPS1'!F604+'SPS1'!F644</f>
        <v>16.300059499563645</v>
      </c>
      <c r="D10" s="1">
        <f>'SPS1'!G590+'SPS1'!G604+'SPS1'!G644</f>
        <v>22.389031037625966</v>
      </c>
      <c r="E10" s="1">
        <f>'SPS1'!H590+'SPS1'!H604+'SPS1'!H644</f>
        <v>24.870628077082124</v>
      </c>
      <c r="F10" s="1">
        <f>'SPS1'!I590+'SPS1'!I604+'SPS1'!I644</f>
        <v>23.113816798463755</v>
      </c>
      <c r="G10" s="1">
        <f>'SPS1'!J590+'SPS1'!J604+'SPS1'!J644</f>
        <v>23.093543395223911</v>
      </c>
      <c r="H10" s="1">
        <f>'SPS1'!K590+'SPS1'!K604+'SPS1'!K644</f>
        <v>22.575695501326383</v>
      </c>
    </row>
    <row r="11" spans="2:8" x14ac:dyDescent="0.5">
      <c r="B11" s="23" t="s">
        <v>1731</v>
      </c>
      <c r="C11" s="1">
        <f>'SPS1'!F679</f>
        <v>4.9586872769599539E-3</v>
      </c>
      <c r="D11" s="1">
        <f>'SPS1'!G679</f>
        <v>7.2585974007148193E-3</v>
      </c>
      <c r="E11" s="1">
        <f>'SPS1'!H679</f>
        <v>7.1467691312356724E-3</v>
      </c>
      <c r="F11" s="1">
        <f>'SPS1'!I679</f>
        <v>5.7032095127261845E-2</v>
      </c>
      <c r="G11" s="1">
        <f>'SPS1'!J679</f>
        <v>15.474480428013488</v>
      </c>
      <c r="H11" s="1">
        <f>'SPS1'!K679</f>
        <v>15.024172917203169</v>
      </c>
    </row>
    <row r="12" spans="2:8" x14ac:dyDescent="0.5">
      <c r="B12" s="23" t="s">
        <v>1734</v>
      </c>
      <c r="C12" s="1">
        <f>'SPS1'!F1707</f>
        <v>0</v>
      </c>
      <c r="D12" s="1">
        <f>'SPS1'!G1707</f>
        <v>0</v>
      </c>
      <c r="E12" s="1">
        <f>'SPS1'!H1707</f>
        <v>0</v>
      </c>
      <c r="F12" s="1">
        <f>'SPS1'!I1707</f>
        <v>0</v>
      </c>
      <c r="G12" s="1">
        <f>'SPS1'!J1707</f>
        <v>0</v>
      </c>
      <c r="H12" s="1">
        <f>'SPS1'!K1707</f>
        <v>3.6794348764746372E-5</v>
      </c>
    </row>
    <row r="13" spans="2:8" x14ac:dyDescent="0.5">
      <c r="B13" s="2" t="s">
        <v>1736</v>
      </c>
      <c r="C13" s="3">
        <f>'SPS1'!F2+'SPS1'!F20-'SPS1'!F57</f>
        <v>962.44427273554038</v>
      </c>
      <c r="D13" s="3">
        <f>'SPS1'!G2+'SPS1'!G20-'SPS1'!G57</f>
        <v>960.34447326199881</v>
      </c>
      <c r="E13" s="3">
        <f>'SPS1'!H2+'SPS1'!H20-'SPS1'!H57</f>
        <v>925.03415634071519</v>
      </c>
      <c r="F13" s="3">
        <f>'SPS1'!I2+'SPS1'!I20-'SPS1'!I57</f>
        <v>879.28614249926363</v>
      </c>
      <c r="G13" s="3">
        <f>'SPS1'!J2+'SPS1'!J20-'SPS1'!J57</f>
        <v>828.40924804396332</v>
      </c>
      <c r="H13" s="3">
        <f>'SPS1'!K2+'SPS1'!K20-'SPS1'!K57</f>
        <v>763.36546061389026</v>
      </c>
    </row>
    <row r="14" spans="2:8" x14ac:dyDescent="0.5">
      <c r="B14" s="23" t="s">
        <v>1737</v>
      </c>
      <c r="C14" s="1">
        <f>'SPS1'!F2</f>
        <v>300.18597109768484</v>
      </c>
      <c r="D14" s="1">
        <f>'SPS1'!G2</f>
        <v>293.57785516861276</v>
      </c>
      <c r="E14" s="1">
        <f>'SPS1'!H2</f>
        <v>331.3945480450555</v>
      </c>
      <c r="F14" s="1">
        <f>'SPS1'!I2</f>
        <v>376.95385508927171</v>
      </c>
      <c r="G14" s="1">
        <f>'SPS1'!J2</f>
        <v>422.79188028181579</v>
      </c>
      <c r="H14" s="1">
        <f>'SPS1'!K2</f>
        <v>434.94449202802167</v>
      </c>
    </row>
    <row r="15" spans="2:8" x14ac:dyDescent="0.5">
      <c r="B15" s="23" t="s">
        <v>19</v>
      </c>
      <c r="C15" s="1">
        <f>'SPS1'!F20</f>
        <v>779.42830531016716</v>
      </c>
      <c r="D15" s="1">
        <f>'SPS1'!G20</f>
        <v>702.39966798578541</v>
      </c>
      <c r="E15" s="1">
        <f>'SPS1'!H20</f>
        <v>658.07016761561465</v>
      </c>
      <c r="F15" s="1">
        <f>'SPS1'!I20</f>
        <v>572.17635308119566</v>
      </c>
      <c r="G15" s="1">
        <f>'SPS1'!J20</f>
        <v>456.25305612286235</v>
      </c>
      <c r="H15" s="1">
        <f>'SPS1'!K20</f>
        <v>364.6446669705893</v>
      </c>
    </row>
    <row r="16" spans="2:8" x14ac:dyDescent="0.5">
      <c r="B16" s="23" t="s">
        <v>24</v>
      </c>
      <c r="C16" s="1">
        <f>'SPS1'!F57</f>
        <v>117.17000367231168</v>
      </c>
      <c r="D16" s="1">
        <f>'SPS1'!G57</f>
        <v>35.633049892399249</v>
      </c>
      <c r="E16" s="1">
        <f>'SPS1'!H57</f>
        <v>64.430559319954995</v>
      </c>
      <c r="F16" s="1">
        <f>'SPS1'!I57</f>
        <v>69.844065671203708</v>
      </c>
      <c r="G16" s="1">
        <f>'SPS1'!J57</f>
        <v>50.635688360714759</v>
      </c>
      <c r="H16" s="1">
        <f>'SPS1'!K57</f>
        <v>36.223698384720699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Fernandez de Losada, Lucas Javier</cp:lastModifiedBy>
  <dcterms:created xsi:type="dcterms:W3CDTF">2023-01-16T15:31:56Z</dcterms:created>
  <dcterms:modified xsi:type="dcterms:W3CDTF">2026-03-24T10:29:33Z</dcterms:modified>
</cp:coreProperties>
</file>